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0" yWindow="0" windowWidth="10455" windowHeight="50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土地级别" sheetId="83" r:id="rId10"/>
    <sheet name="资料" sheetId="80" r:id="rId11"/>
    <sheet name="定义" sheetId="10" state="hidden" r:id="rId12"/>
    <sheet name="常用公式" sheetId="78" state="hidden" r:id="rId13"/>
    <sheet name="项目基本情况" sheetId="4" r:id="rId14"/>
    <sheet name="数据-基础表" sheetId="3" r:id="rId15"/>
    <sheet name="面积整理" sheetId="81" r:id="rId16"/>
    <sheet name="数据-汇总表" sheetId="6" r:id="rId17"/>
    <sheet name="数据-取费表" sheetId="1" r:id="rId18"/>
    <sheet name="估价对象房地状况" sheetId="20" state="hidden" r:id="rId19"/>
    <sheet name="结果" sheetId="82" r:id="rId20"/>
    <sheet name="结果表" sheetId="9" state="hidden" r:id="rId21"/>
    <sheet name="比较法-住宅" sheetId="21" r:id="rId22"/>
    <sheet name="指数" sheetId="89" r:id="rId23"/>
    <sheet name="成交案例" sheetId="88" r:id="rId24"/>
    <sheet name="成本法" sheetId="68" r:id="rId25"/>
    <sheet name="成本法 (元)" sheetId="69" state="hidden" r:id="rId26"/>
    <sheet name="假设开发法" sheetId="12" state="hidden" r:id="rId27"/>
    <sheet name="基准地价修正" sheetId="43" r:id="rId28"/>
    <sheet name="收益法" sheetId="1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成本逼近法" sheetId="86" r:id="rId38"/>
    <sheet name="土地比较法-住宅、综合" sheetId="39" r:id="rId39"/>
    <sheet name="土地比较法-工业" sheetId="40" state="hidden" r:id="rId40"/>
    <sheet name="典型户型修正" sheetId="31" state="hidden" r:id="rId41"/>
    <sheet name="基准地价（汇总）" sheetId="76" state="hidden" r:id="rId42"/>
    <sheet name="一级开发成本案例" sheetId="84"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r:id="rId51"/>
    <sheet name="系统读取表" sheetId="74" r:id="rId52"/>
    <sheet name="存贷款利率" sheetId="73" state="hidden"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14"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3"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24">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20">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6">'数据-汇总表'!$A$1:$P$32</definedName>
    <definedName name="_xlnm.Print_Area" localSheetId="39">'土地比较法-工业'!$A$1:$K$61,'土地比较法-工业'!$A$64:$M$121</definedName>
    <definedName name="_xlnm.Print_Area" localSheetId="38">'土地比较法-住宅、综合'!$A$1:$O$65,'土地比较法-住宅、综合'!$A$68:$M$131</definedName>
    <definedName name="_xlnm.Print_Area" localSheetId="51">系统读取表!$A$1:$I$26</definedName>
    <definedName name="_xlnm.Print_Area" localSheetId="13">项目基本情况!$A$1:$I$38</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[1]修正!$C$17:$C$39</definedName>
    <definedName name="二级分类">修正!$C$19:$C$51</definedName>
    <definedName name="法定最高年限" localSheetId="37">[1]定义!$G$1:$G$4</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判定">[1]定义!$D$1:$D$4</definedName>
    <definedName name="七级">区片价!$O$1:$O$45</definedName>
    <definedName name="七通一平" localSheetId="37">[1]修正!$A$6:$A$14</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[1]修正!$C$59:$C$119</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交易情况" localSheetId="37">'[1]土地比较法-住宅、综合'!$A$73:$M$73</definedName>
    <definedName name="套工交易情况">'土地比较法-住宅、综合'!$A$72:$M$72</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'[1]土地比较法-住宅、综合'!$B$106:$M$106</definedName>
    <definedName name="套综道路等级">'土地比较法-住宅、综合'!$B$105:$M$105</definedName>
    <definedName name="套综工程地质条件" localSheetId="37">'[1]土地比较法-住宅、综合'!$B$125:$M$125</definedName>
    <definedName name="套综工程地质条件">'土地比较法-住宅、综合'!$B$124:$M$124</definedName>
    <definedName name="套综交易情况" localSheetId="37">'[1]土地比较法-住宅、综合'!$A$73:$M$73</definedName>
    <definedName name="套综交易情况">'土地比较法-住宅、综合'!$A$72:$M$72</definedName>
    <definedName name="套综临街宽度及深度" localSheetId="37">'[1]土地比较法-住宅、综合'!$B$121:$M$121</definedName>
    <definedName name="套综临街宽度及深度">'土地比较法-住宅、综合'!$B$120:$M$120</definedName>
    <definedName name="套综土地级别" localSheetId="37">'[1]土地比较法-住宅、综合'!$B$108:$M$108</definedName>
    <definedName name="套综土地级别">'土地比较法-住宅、综合'!$B$107:$M$107</definedName>
    <definedName name="套综用途" localSheetId="37">'[1]土地比较法-住宅、综合'!$B$75:$M$75</definedName>
    <definedName name="套综用途">'土地比较法-住宅、综合'!$B$74:$M$74</definedName>
    <definedName name="套综宗地内开发程度" localSheetId="37">'[1]土地比较法-住宅、综合'!$B$123:$M$123</definedName>
    <definedName name="套综宗地内开发程度">'土地比较法-住宅、综合'!$B$122:$M$122</definedName>
    <definedName name="套综宗地形状" localSheetId="37">'[1]土地比较法-住宅、综合'!$B$119:$M$119</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 localSheetId="37">[1]定义!$I$1:$I$8</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37">'[1]数据-汇总表'!$C$17:$C$26</definedName>
    <definedName name="项目类型" localSheetId="30">'[2]数据-汇总表'!$C$17:$C$26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[1]定义!$F$1:$F$10</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E6" i="82" l="1"/>
  <c r="G59" i="21"/>
  <c r="H59" i="21"/>
  <c r="I59" i="21"/>
  <c r="J59" i="21"/>
  <c r="K59" i="21"/>
  <c r="L59" i="21"/>
  <c r="M59" i="21"/>
  <c r="F59" i="21"/>
  <c r="E59" i="21"/>
  <c r="D59" i="21"/>
  <c r="A31" i="89"/>
  <c r="K30" i="89"/>
  <c r="L31" i="89" s="1"/>
  <c r="J30" i="89"/>
  <c r="K31" i="89" s="1"/>
  <c r="I30" i="89"/>
  <c r="J31" i="89" s="1"/>
  <c r="H30" i="89"/>
  <c r="I31" i="89" s="1"/>
  <c r="G30" i="89"/>
  <c r="H31" i="89" s="1"/>
  <c r="F30" i="89"/>
  <c r="G31" i="89" s="1"/>
  <c r="E30" i="89"/>
  <c r="F31" i="89" s="1"/>
  <c r="D30" i="89"/>
  <c r="E31" i="89" s="1"/>
  <c r="C30" i="89"/>
  <c r="D31" i="89" s="1"/>
  <c r="B30" i="89"/>
  <c r="C31" i="89" s="1"/>
  <c r="A30" i="89"/>
  <c r="B31" i="89" s="1"/>
  <c r="B32" i="89" s="1"/>
  <c r="J29" i="89"/>
  <c r="I29" i="89"/>
  <c r="H29" i="89"/>
  <c r="G29" i="89"/>
  <c r="F29" i="89"/>
  <c r="E29" i="89"/>
  <c r="D29" i="89"/>
  <c r="C29" i="89"/>
  <c r="B29" i="89"/>
  <c r="A29" i="89"/>
  <c r="I47" i="21"/>
  <c r="G47" i="21"/>
  <c r="E47" i="21"/>
  <c r="I33" i="21"/>
  <c r="G33" i="21"/>
  <c r="E33" i="21"/>
  <c r="I7" i="21"/>
  <c r="G7" i="21"/>
  <c r="E7" i="21"/>
  <c r="I5" i="21"/>
  <c r="G5" i="21"/>
  <c r="E5" i="21"/>
  <c r="C32" i="89" l="1"/>
  <c r="B33" i="89"/>
  <c r="C6" i="68"/>
  <c r="D33" i="43"/>
  <c r="D10" i="81"/>
  <c r="C33" i="89" l="1"/>
  <c r="D32" i="89"/>
  <c r="E5" i="82"/>
  <c r="D33" i="89" l="1"/>
  <c r="E32" i="89"/>
  <c r="B14" i="74"/>
  <c r="E33" i="89" l="1"/>
  <c r="F32" i="89"/>
  <c r="E11" i="82"/>
  <c r="F12" i="82"/>
  <c r="E13" i="86"/>
  <c r="D8" i="86"/>
  <c r="E8" i="86"/>
  <c r="G32" i="89" l="1"/>
  <c r="F33" i="89"/>
  <c r="J7" i="39"/>
  <c r="H7" i="39"/>
  <c r="C8" i="86"/>
  <c r="C7" i="86" s="1"/>
  <c r="C9" i="86"/>
  <c r="D12" i="86"/>
  <c r="E12" i="86"/>
  <c r="D13" i="86"/>
  <c r="C14" i="86"/>
  <c r="C15" i="86"/>
  <c r="C16" i="86"/>
  <c r="F17" i="86"/>
  <c r="G17" i="86"/>
  <c r="F7" i="39"/>
  <c r="O5" i="39"/>
  <c r="O7" i="39"/>
  <c r="O8" i="39"/>
  <c r="O9" i="39"/>
  <c r="O15" i="39"/>
  <c r="O16" i="39"/>
  <c r="O17" i="39"/>
  <c r="O18" i="39"/>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N5" i="39"/>
  <c r="N7" i="39"/>
  <c r="N8" i="39"/>
  <c r="N9" i="39"/>
  <c r="N15" i="39"/>
  <c r="N16" i="39"/>
  <c r="N17" i="39"/>
  <c r="N18" i="39"/>
  <c r="N19" i="39"/>
  <c r="N20" i="39"/>
  <c r="N21" i="39"/>
  <c r="N22" i="39"/>
  <c r="N23" i="39"/>
  <c r="N24" i="39"/>
  <c r="N25" i="39"/>
  <c r="N26" i="39"/>
  <c r="N27" i="39"/>
  <c r="N28" i="39"/>
  <c r="N29" i="39"/>
  <c r="N30" i="39"/>
  <c r="N31" i="39"/>
  <c r="N32" i="39"/>
  <c r="N33" i="39"/>
  <c r="N34" i="39"/>
  <c r="N35" i="39"/>
  <c r="N36" i="39"/>
  <c r="N37" i="39"/>
  <c r="N38" i="39"/>
  <c r="N39" i="39"/>
  <c r="N40" i="39"/>
  <c r="N41" i="39"/>
  <c r="N42" i="39"/>
  <c r="N43" i="39"/>
  <c r="N44" i="39"/>
  <c r="N45" i="39"/>
  <c r="C38" i="39"/>
  <c r="B10" i="81"/>
  <c r="AN17" i="3"/>
  <c r="AN16" i="3"/>
  <c r="AN15" i="3"/>
  <c r="AN14" i="3"/>
  <c r="AN13" i="3"/>
  <c r="AL13" i="3"/>
  <c r="H1" i="81"/>
  <c r="G73" i="43"/>
  <c r="G74" i="43"/>
  <c r="G75" i="43"/>
  <c r="G76" i="43"/>
  <c r="G77" i="43"/>
  <c r="G78" i="43"/>
  <c r="G79" i="43"/>
  <c r="G80" i="43"/>
  <c r="G72" i="43"/>
  <c r="C11" i="81"/>
  <c r="B56" i="1"/>
  <c r="F19" i="6"/>
  <c r="B53" i="81"/>
  <c r="B50" i="81"/>
  <c r="B51" i="81"/>
  <c r="B52" i="81"/>
  <c r="B54" i="81"/>
  <c r="B49" i="81"/>
  <c r="G53" i="81"/>
  <c r="G52" i="81"/>
  <c r="G51" i="81"/>
  <c r="G50" i="81"/>
  <c r="G49" i="81"/>
  <c r="C52" i="81"/>
  <c r="C50" i="81"/>
  <c r="C51" i="81"/>
  <c r="C49" i="81"/>
  <c r="E49" i="81"/>
  <c r="N54" i="81"/>
  <c r="M54" i="81"/>
  <c r="L54" i="81"/>
  <c r="K54" i="81"/>
  <c r="J54" i="81"/>
  <c r="I54" i="81"/>
  <c r="H54" i="81"/>
  <c r="D54" i="81"/>
  <c r="L49" i="81"/>
  <c r="F49" i="81"/>
  <c r="F54" i="81" s="1"/>
  <c r="E54" i="81"/>
  <c r="D49" i="81"/>
  <c r="F46" i="81"/>
  <c r="AT17" i="3"/>
  <c r="AT13" i="3"/>
  <c r="AZ3" i="3"/>
  <c r="AY3" i="3"/>
  <c r="E4" i="81"/>
  <c r="AL16" i="3"/>
  <c r="AL15" i="3"/>
  <c r="AL14" i="3"/>
  <c r="J28" i="81"/>
  <c r="I28" i="81"/>
  <c r="I14" i="3"/>
  <c r="I15" i="3"/>
  <c r="I16" i="3"/>
  <c r="C14" i="3"/>
  <c r="C15" i="3"/>
  <c r="C16" i="3"/>
  <c r="C13" i="3"/>
  <c r="N9" i="81"/>
  <c r="M9" i="81"/>
  <c r="H9" i="81"/>
  <c r="I9" i="81"/>
  <c r="J9" i="81"/>
  <c r="K9" i="81"/>
  <c r="L9" i="81"/>
  <c r="G9" i="81"/>
  <c r="E9" i="81"/>
  <c r="C9" i="81"/>
  <c r="B9" i="81"/>
  <c r="L4" i="81"/>
  <c r="F4" i="81"/>
  <c r="D4" i="81"/>
  <c r="I13" i="3" s="1"/>
  <c r="D31" i="81"/>
  <c r="A3" i="3"/>
  <c r="I46" i="39"/>
  <c r="G46" i="39"/>
  <c r="E46" i="39"/>
  <c r="M14" i="39"/>
  <c r="N14" i="39" s="1"/>
  <c r="O14" i="39" s="1"/>
  <c r="M13" i="39"/>
  <c r="N13" i="39" s="1"/>
  <c r="O13" i="39" s="1"/>
  <c r="M12" i="39"/>
  <c r="N12" i="39" s="1"/>
  <c r="O12" i="39" s="1"/>
  <c r="M11" i="39"/>
  <c r="N11" i="39" s="1"/>
  <c r="O11" i="39" s="1"/>
  <c r="M10" i="39"/>
  <c r="N10" i="39" s="1"/>
  <c r="O10" i="39" s="1"/>
  <c r="M6" i="39"/>
  <c r="N6" i="39" s="1"/>
  <c r="O6" i="39" s="1"/>
  <c r="N4" i="39"/>
  <c r="O4" i="39" s="1"/>
  <c r="I5" i="39"/>
  <c r="G5" i="39"/>
  <c r="E5" i="39"/>
  <c r="J14" i="84"/>
  <c r="J9" i="84"/>
  <c r="G33" i="89" l="1"/>
  <c r="H32" i="89"/>
  <c r="C13" i="86"/>
  <c r="C11" i="86" s="1"/>
  <c r="C10" i="86" s="1"/>
  <c r="C12" i="86"/>
  <c r="C17" i="86"/>
  <c r="C18" i="86"/>
  <c r="G54" i="81"/>
  <c r="C54" i="81"/>
  <c r="F9" i="81"/>
  <c r="D9" i="81"/>
  <c r="J20" i="84"/>
  <c r="K20" i="84" s="1"/>
  <c r="J18" i="84"/>
  <c r="K18" i="84" s="1"/>
  <c r="J17" i="84"/>
  <c r="K17" i="84" s="1"/>
  <c r="J16" i="84"/>
  <c r="K16" i="84" s="1"/>
  <c r="J12" i="84"/>
  <c r="K12" i="84" s="1"/>
  <c r="K8" i="84"/>
  <c r="J8" i="84"/>
  <c r="I8" i="84"/>
  <c r="F8" i="84"/>
  <c r="J7" i="84"/>
  <c r="K7" i="84" s="1"/>
  <c r="K6" i="84"/>
  <c r="J5" i="84"/>
  <c r="K5" i="84" s="1"/>
  <c r="I4" i="84"/>
  <c r="J4" i="84" s="1"/>
  <c r="K4" i="84" s="1"/>
  <c r="J3" i="84"/>
  <c r="K3" i="84" s="1"/>
  <c r="I2" i="84"/>
  <c r="H2" i="84"/>
  <c r="J2" i="84" s="1"/>
  <c r="K2" i="84" s="1"/>
  <c r="F21" i="81"/>
  <c r="D3" i="4"/>
  <c r="N21" i="81"/>
  <c r="M21" i="81"/>
  <c r="L21" i="81"/>
  <c r="K21" i="81"/>
  <c r="J21" i="81"/>
  <c r="I21" i="81"/>
  <c r="G21" i="81"/>
  <c r="E21" i="81"/>
  <c r="D21" i="81"/>
  <c r="C21" i="81"/>
  <c r="B21" i="81"/>
  <c r="F1" i="81"/>
  <c r="H33" i="89" l="1"/>
  <c r="I32" i="89"/>
  <c r="C19" i="86"/>
  <c r="C20" i="86"/>
  <c r="C21" i="86"/>
  <c r="C22" i="86" s="1"/>
  <c r="C23" i="86" s="1"/>
  <c r="B2" i="86" s="1"/>
  <c r="J32" i="89" l="1"/>
  <c r="I33" i="89"/>
  <c r="B5" i="86"/>
  <c r="B3" i="86"/>
  <c r="B4" i="86"/>
  <c r="E12" i="82" s="1"/>
  <c r="G11" i="82" s="1"/>
  <c r="K32" i="89" l="1"/>
  <c r="J33" i="89"/>
  <c r="C5" i="80"/>
  <c r="L32" i="89" l="1"/>
  <c r="L33" i="89" s="1"/>
  <c r="K33" i="89"/>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S14" i="79"/>
  <c r="T27" i="79"/>
  <c r="W27" i="79" s="1"/>
  <c r="U37" i="79"/>
  <c r="Y3" i="79"/>
  <c r="U12" i="79"/>
  <c r="V13" i="79"/>
  <c r="U28" i="79"/>
  <c r="S35" i="79"/>
  <c r="AD38" i="79"/>
  <c r="V3" i="79"/>
  <c r="Z3" i="79"/>
  <c r="R12" i="79"/>
  <c r="S13" i="79"/>
  <c r="M25" i="79"/>
  <c r="P25" i="79" s="1"/>
  <c r="AD37" i="79"/>
  <c r="S38" i="79"/>
  <c r="R13" i="79"/>
  <c r="S15" i="79"/>
  <c r="U25" i="79"/>
  <c r="AD34" i="79"/>
  <c r="U3" i="79"/>
  <c r="V12" i="79"/>
  <c r="T14" i="79"/>
  <c r="W14" i="79" s="1"/>
  <c r="U36" i="79"/>
  <c r="S12" i="79"/>
  <c r="U14" i="79"/>
  <c r="U15" i="79"/>
  <c r="S28" i="79"/>
  <c r="T34" i="79"/>
  <c r="U35" i="79"/>
  <c r="AD36" i="79"/>
  <c r="S37" i="79"/>
  <c r="S27" i="79"/>
  <c r="M3" i="79"/>
  <c r="P3" i="79" s="1"/>
  <c r="T3" i="79"/>
  <c r="W3" i="79" s="1"/>
  <c r="U27" i="79"/>
  <c r="AD33" i="79"/>
  <c r="T32" i="79"/>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c r="Q25" i="71"/>
  <c r="F24" i="71"/>
  <c r="F23" i="71"/>
  <c r="F22" i="71"/>
  <c r="P25" i="71"/>
  <c r="O25" i="71"/>
  <c r="N25" i="71"/>
  <c r="B24" i="71"/>
  <c r="B23" i="7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V68" i="71"/>
  <c r="E68" i="71"/>
  <c r="P68" i="71" s="1"/>
  <c r="C68" i="71"/>
  <c r="B68" i="71"/>
  <c r="S68" i="71"/>
  <c r="B67" i="71"/>
  <c r="B66" i="71" s="1"/>
  <c r="N65" i="71" s="1"/>
  <c r="D65" i="71"/>
  <c r="Q64" i="71"/>
  <c r="P64" i="71"/>
  <c r="O64" i="71"/>
  <c r="N64" i="71"/>
  <c r="Q63" i="71"/>
  <c r="P63" i="71"/>
  <c r="O63" i="71"/>
  <c r="N63" i="71"/>
  <c r="Q62" i="71"/>
  <c r="P62" i="71"/>
  <c r="O62" i="71"/>
  <c r="C63" i="71" s="1"/>
  <c r="C64" i="71" s="1"/>
  <c r="D64"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Q53" i="71"/>
  <c r="F54" i="71"/>
  <c r="P53" i="71"/>
  <c r="E54" i="71"/>
  <c r="O53" i="71"/>
  <c r="C54" i="71" s="1"/>
  <c r="N53" i="71"/>
  <c r="B54" i="71"/>
  <c r="B55" i="71"/>
  <c r="B56" i="7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AB39" i="71"/>
  <c r="Q39" i="71"/>
  <c r="P39" i="71"/>
  <c r="AA39" i="71"/>
  <c r="O39" i="71"/>
  <c r="N39" i="71"/>
  <c r="X10" i="71" s="1"/>
  <c r="X39" i="71"/>
  <c r="Q38" i="71"/>
  <c r="AB38" i="71"/>
  <c r="P38" i="71"/>
  <c r="O38" i="71"/>
  <c r="Y38" i="71" s="1"/>
  <c r="Z38" i="71" s="1"/>
  <c r="N38" i="71"/>
  <c r="Q37" i="71"/>
  <c r="P37" i="71"/>
  <c r="O37" i="71"/>
  <c r="N37" i="71"/>
  <c r="B38" i="71" s="1"/>
  <c r="B39" i="71" s="1"/>
  <c r="D37" i="71"/>
  <c r="Q36" i="71"/>
  <c r="P36" i="71"/>
  <c r="O36" i="71"/>
  <c r="N36" i="71"/>
  <c r="X33" i="71" s="1"/>
  <c r="Q35" i="71"/>
  <c r="P35" i="71"/>
  <c r="O35" i="71"/>
  <c r="Y35" i="71"/>
  <c r="Z35" i="71" s="1"/>
  <c r="N35" i="71"/>
  <c r="Q34" i="71"/>
  <c r="P34" i="71"/>
  <c r="O34" i="71"/>
  <c r="N34" i="71"/>
  <c r="F36" i="71"/>
  <c r="V36" i="71" s="1"/>
  <c r="Q33" i="71"/>
  <c r="F34" i="71" s="1"/>
  <c r="F35" i="71" s="1"/>
  <c r="P33" i="71"/>
  <c r="E34" i="71" s="1"/>
  <c r="E35" i="71" s="1"/>
  <c r="E36" i="71" s="1"/>
  <c r="O33" i="71"/>
  <c r="N33" i="71"/>
  <c r="D33" i="71"/>
  <c r="Q32" i="71"/>
  <c r="P32" i="71"/>
  <c r="O32" i="71"/>
  <c r="N32" i="71"/>
  <c r="Q31" i="71"/>
  <c r="P31" i="71"/>
  <c r="O31" i="71"/>
  <c r="N31" i="71"/>
  <c r="Q30" i="71"/>
  <c r="P30" i="71"/>
  <c r="O30" i="71"/>
  <c r="N30" i="71"/>
  <c r="X30" i="71" s="1"/>
  <c r="F30" i="71"/>
  <c r="F31" i="71" s="1"/>
  <c r="F32" i="71" s="1"/>
  <c r="V32" i="71" s="1"/>
  <c r="Q29" i="71"/>
  <c r="P29" i="71"/>
  <c r="O29" i="71"/>
  <c r="N29" i="71"/>
  <c r="D29" i="71"/>
  <c r="O28" i="71"/>
  <c r="N28" i="71"/>
  <c r="B30" i="71"/>
  <c r="B31" i="71"/>
  <c r="B32" i="71" s="1"/>
  <c r="S32" i="71" s="1"/>
  <c r="E30" i="71"/>
  <c r="E31" i="71" s="1"/>
  <c r="B34" i="71"/>
  <c r="B35" i="71"/>
  <c r="B36" i="71"/>
  <c r="S36" i="71"/>
  <c r="B40" i="71"/>
  <c r="S40" i="71" s="1"/>
  <c r="E38" i="71"/>
  <c r="E39" i="71"/>
  <c r="E40" i="71" s="1"/>
  <c r="U40" i="71" s="1"/>
  <c r="AA37" i="71"/>
  <c r="N68" i="71"/>
  <c r="U36" i="71"/>
  <c r="C30" i="71"/>
  <c r="X31" i="71"/>
  <c r="X32" i="71"/>
  <c r="AA32" i="71"/>
  <c r="C34" i="71"/>
  <c r="AB33" i="71"/>
  <c r="AA34" i="71"/>
  <c r="X35" i="71"/>
  <c r="AA35" i="71"/>
  <c r="X36" i="71"/>
  <c r="AA36" i="71"/>
  <c r="C38" i="71"/>
  <c r="Y37" i="71"/>
  <c r="Z37" i="71" s="1"/>
  <c r="X38" i="71"/>
  <c r="AA38" i="71"/>
  <c r="C28" i="71"/>
  <c r="T28" i="71" s="1"/>
  <c r="Y26" i="71"/>
  <c r="Z26" i="71" s="1"/>
  <c r="B28" i="71"/>
  <c r="B27" i="71"/>
  <c r="B26" i="71"/>
  <c r="X25" i="71"/>
  <c r="X28" i="71"/>
  <c r="C31" i="71"/>
  <c r="D30" i="71"/>
  <c r="C39" i="71"/>
  <c r="D38" i="71"/>
  <c r="C47" i="71"/>
  <c r="D47" i="71" s="1"/>
  <c r="D46" i="71"/>
  <c r="C51" i="71"/>
  <c r="D50" i="71"/>
  <c r="P28" i="71"/>
  <c r="E55" i="71"/>
  <c r="E56" i="71"/>
  <c r="U56" i="71"/>
  <c r="E59" i="71"/>
  <c r="E60" i="71" s="1"/>
  <c r="U60" i="71" s="1"/>
  <c r="E63" i="71"/>
  <c r="E64" i="71"/>
  <c r="U64" i="71" s="1"/>
  <c r="U68" i="71"/>
  <c r="E67" i="71"/>
  <c r="Q28" i="71"/>
  <c r="C59" i="71"/>
  <c r="C60" i="71" s="1"/>
  <c r="D62" i="71"/>
  <c r="N67" i="71"/>
  <c r="T68" i="71"/>
  <c r="O68" i="71"/>
  <c r="D68" i="71"/>
  <c r="C67" i="71"/>
  <c r="Q68" i="71"/>
  <c r="C71" i="71"/>
  <c r="E71" i="71"/>
  <c r="E70" i="71"/>
  <c r="D72" i="71"/>
  <c r="C75" i="71"/>
  <c r="C74" i="71" s="1"/>
  <c r="D74" i="71" s="1"/>
  <c r="E75" i="71"/>
  <c r="E74" i="71"/>
  <c r="D76" i="71"/>
  <c r="C79" i="71"/>
  <c r="E79" i="71"/>
  <c r="E78" i="71"/>
  <c r="D80" i="71"/>
  <c r="C83" i="71"/>
  <c r="C87" i="71"/>
  <c r="C27" i="71"/>
  <c r="C26" i="71" s="1"/>
  <c r="D26" i="71" s="1"/>
  <c r="S28" i="71"/>
  <c r="F28" i="71"/>
  <c r="F27" i="71"/>
  <c r="F26" i="71"/>
  <c r="AB25" i="71"/>
  <c r="AB28" i="71"/>
  <c r="E28" i="71"/>
  <c r="E27" i="71" s="1"/>
  <c r="E26" i="71" s="1"/>
  <c r="AA3" i="71"/>
  <c r="AA25" i="71"/>
  <c r="AA28" i="71"/>
  <c r="C66" i="71"/>
  <c r="O65" i="71" s="1"/>
  <c r="O67" i="71"/>
  <c r="D67" i="71"/>
  <c r="D83" i="71"/>
  <c r="C82" i="71"/>
  <c r="D82" i="71" s="1"/>
  <c r="D75" i="71"/>
  <c r="N66" i="71"/>
  <c r="D87" i="71"/>
  <c r="C86" i="71"/>
  <c r="D86" i="71"/>
  <c r="D79" i="71"/>
  <c r="C78" i="71"/>
  <c r="D78" i="71" s="1"/>
  <c r="D71" i="71"/>
  <c r="C70" i="71"/>
  <c r="D70" i="71" s="1"/>
  <c r="D59" i="71"/>
  <c r="P67" i="71"/>
  <c r="E66" i="71"/>
  <c r="P65" i="71" s="1"/>
  <c r="C52" i="71"/>
  <c r="T52" i="71" s="1"/>
  <c r="D51" i="71"/>
  <c r="C40" i="71"/>
  <c r="T40" i="71" s="1"/>
  <c r="D39" i="71"/>
  <c r="C32" i="71"/>
  <c r="T32" i="71" s="1"/>
  <c r="D31" i="71"/>
  <c r="D27" i="71"/>
  <c r="V28" i="71"/>
  <c r="P66" i="71"/>
  <c r="O66" i="71"/>
  <c r="D66" i="71"/>
  <c r="D32" i="71"/>
  <c r="D40"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G83" i="21" s="1"/>
  <c r="H1" i="69"/>
  <c r="AC25" i="40"/>
  <c r="W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A19" i="3" s="1"/>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R5" i="3" s="1"/>
  <c r="BS547" i="3"/>
  <c r="BT547" i="3"/>
  <c r="H548" i="3"/>
  <c r="AC548" i="3"/>
  <c r="BB548" i="3"/>
  <c r="BC548" i="3"/>
  <c r="BD548" i="3"/>
  <c r="BE548" i="3"/>
  <c r="BA548" i="3" s="1"/>
  <c r="BF548" i="3"/>
  <c r="BG548" i="3"/>
  <c r="BH548" i="3"/>
  <c r="BI548" i="3"/>
  <c r="BI5" i="3" s="1"/>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A550" i="3" s="1"/>
  <c r="AZ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c r="L112" i="34" s="1"/>
  <c r="M112" i="34" s="1"/>
  <c r="F40" i="33"/>
  <c r="J41" i="33"/>
  <c r="W41" i="33" s="1"/>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c r="AA38" i="40" s="1"/>
  <c r="D115" i="40"/>
  <c r="E115" i="40" s="1"/>
  <c r="F115" i="40"/>
  <c r="G115" i="40" s="1"/>
  <c r="H115" i="40" s="1"/>
  <c r="I115" i="40" s="1"/>
  <c r="J115" i="40" s="1"/>
  <c r="K115" i="40" s="1"/>
  <c r="L115" i="40"/>
  <c r="M115" i="40" s="1"/>
  <c r="D113" i="40"/>
  <c r="E113" i="40" s="1"/>
  <c r="F113" i="40" s="1"/>
  <c r="G113" i="40" s="1"/>
  <c r="H113" i="40" s="1"/>
  <c r="I113" i="40" s="1"/>
  <c r="J113" i="40" s="1"/>
  <c r="K113" i="40" s="1"/>
  <c r="L113" i="40"/>
  <c r="M113" i="40"/>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c r="J100" i="40"/>
  <c r="K100" i="40" s="1"/>
  <c r="L100" i="40" s="1"/>
  <c r="M100" i="40" s="1"/>
  <c r="D98" i="40"/>
  <c r="E98" i="40" s="1"/>
  <c r="F98" i="40" s="1"/>
  <c r="J28" i="40"/>
  <c r="AC28" i="40" s="1"/>
  <c r="D96" i="40"/>
  <c r="E96" i="40" s="1"/>
  <c r="F96" i="40"/>
  <c r="G96" i="40" s="1"/>
  <c r="H96" i="40"/>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F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s="1"/>
  <c r="AC39" i="37"/>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c r="D71" i="37"/>
  <c r="H15" i="37"/>
  <c r="AB15" i="37" s="1"/>
  <c r="B68" i="37"/>
  <c r="H14" i="37"/>
  <c r="AB14" i="37"/>
  <c r="B66" i="37"/>
  <c r="B64" i="37"/>
  <c r="D63" i="37"/>
  <c r="E63" i="37"/>
  <c r="F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s="1"/>
  <c r="Q28" i="37"/>
  <c r="Z28" i="37" s="1"/>
  <c r="Q27" i="37"/>
  <c r="Z27" i="37"/>
  <c r="Q26" i="37"/>
  <c r="Z26" i="37" s="1"/>
  <c r="J26" i="37"/>
  <c r="AC26" i="37" s="1"/>
  <c r="H26" i="37"/>
  <c r="AB26" i="37" s="1"/>
  <c r="F26" i="37"/>
  <c r="AA26" i="37" s="1"/>
  <c r="Q25" i="37"/>
  <c r="Z25" i="37" s="1"/>
  <c r="J25" i="37"/>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c r="K81" i="36" s="1"/>
  <c r="L81" i="36" s="1"/>
  <c r="M81" i="36" s="1"/>
  <c r="F79" i="36"/>
  <c r="E79" i="36"/>
  <c r="D79" i="36"/>
  <c r="C79" i="36"/>
  <c r="B93" i="36"/>
  <c r="H33" i="36" s="1"/>
  <c r="B91" i="36"/>
  <c r="F32" i="36"/>
  <c r="AA32" i="36" s="1"/>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B73" i="36"/>
  <c r="H24" i="36" s="1"/>
  <c r="J24" i="36"/>
  <c r="AC24" i="36" s="1"/>
  <c r="B71" i="36"/>
  <c r="D70" i="36"/>
  <c r="H22" i="36"/>
  <c r="AB22" i="36" s="1"/>
  <c r="D68" i="36"/>
  <c r="E68" i="36"/>
  <c r="F68" i="36" s="1"/>
  <c r="G68" i="36" s="1"/>
  <c r="D64" i="36"/>
  <c r="E64" i="36"/>
  <c r="F64" i="36"/>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c r="H26" i="36"/>
  <c r="AB26" i="36" s="1"/>
  <c r="Q25" i="36"/>
  <c r="Z25" i="36"/>
  <c r="Q24" i="36"/>
  <c r="Z24" i="36" s="1"/>
  <c r="AB24" i="36"/>
  <c r="Q23" i="36"/>
  <c r="Z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H34" i="35" s="1"/>
  <c r="AB34" i="35" s="1"/>
  <c r="B77" i="35"/>
  <c r="B75" i="35"/>
  <c r="F24" i="35" s="1"/>
  <c r="AA24" i="35" s="1"/>
  <c r="J24" i="35"/>
  <c r="AC24" i="35" s="1"/>
  <c r="B73" i="35"/>
  <c r="H23" i="35"/>
  <c r="U23" i="35"/>
  <c r="B57" i="35"/>
  <c r="B61" i="35"/>
  <c r="B59" i="35"/>
  <c r="B131" i="34"/>
  <c r="F47" i="34" s="1"/>
  <c r="AA47" i="34" s="1"/>
  <c r="B129" i="34"/>
  <c r="B127" i="34"/>
  <c r="B99" i="34"/>
  <c r="B97" i="34"/>
  <c r="H31" i="34" s="1"/>
  <c r="B95" i="34"/>
  <c r="B93" i="34"/>
  <c r="B75" i="34"/>
  <c r="B73" i="34"/>
  <c r="H13" i="34" s="1"/>
  <c r="AB13" i="34" s="1"/>
  <c r="B71" i="34"/>
  <c r="F12" i="34" s="1"/>
  <c r="S12" i="34" s="1"/>
  <c r="B130" i="33"/>
  <c r="B128" i="33"/>
  <c r="B126" i="33"/>
  <c r="F44" i="33" s="1"/>
  <c r="AA44" i="33" s="1"/>
  <c r="B98" i="33"/>
  <c r="B96" i="33"/>
  <c r="B94" i="33"/>
  <c r="B74" i="33"/>
  <c r="H14" i="33" s="1"/>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c r="J84" i="35"/>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J34" i="35"/>
  <c r="F34" i="35"/>
  <c r="S34" i="35" s="1"/>
  <c r="AA34" i="35"/>
  <c r="Q33" i="35"/>
  <c r="Z33" i="35"/>
  <c r="Q32" i="35"/>
  <c r="Z32" i="35"/>
  <c r="H32" i="35"/>
  <c r="AB32" i="35" s="1"/>
  <c r="F32" i="35"/>
  <c r="AA32" i="35" s="1"/>
  <c r="Q31" i="35"/>
  <c r="Z31" i="35"/>
  <c r="AB31" i="35"/>
  <c r="AA31" i="35"/>
  <c r="Q30" i="35"/>
  <c r="Z30" i="35" s="1"/>
  <c r="Q29" i="35"/>
  <c r="Z29" i="35" s="1"/>
  <c r="Q28" i="35"/>
  <c r="Z28" i="35" s="1"/>
  <c r="J28" i="35"/>
  <c r="AC28" i="35"/>
  <c r="H28" i="35"/>
  <c r="AB28" i="35" s="1"/>
  <c r="F28" i="35"/>
  <c r="AA28" i="35"/>
  <c r="Q27" i="35"/>
  <c r="Z27" i="35" s="1"/>
  <c r="Q26" i="35"/>
  <c r="Z26" i="35" s="1"/>
  <c r="Q25" i="35"/>
  <c r="Z25" i="35" s="1"/>
  <c r="Q24" i="35"/>
  <c r="Z24" i="35" s="1"/>
  <c r="Q23" i="35"/>
  <c r="Z23" i="35" s="1"/>
  <c r="J23" i="35"/>
  <c r="Q22" i="35"/>
  <c r="Z22" i="35" s="1"/>
  <c r="Q20" i="35"/>
  <c r="Z20" i="35"/>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c r="H120" i="34"/>
  <c r="I120" i="34" s="1"/>
  <c r="J120" i="34" s="1"/>
  <c r="K120" i="34" s="1"/>
  <c r="L120" i="34"/>
  <c r="M120" i="34" s="1"/>
  <c r="D90" i="34"/>
  <c r="E90" i="34" s="1"/>
  <c r="F90" i="34" s="1"/>
  <c r="G90" i="34" s="1"/>
  <c r="H90" i="34"/>
  <c r="I90" i="34"/>
  <c r="J90" i="34" s="1"/>
  <c r="K90" i="34" s="1"/>
  <c r="L90" i="34" s="1"/>
  <c r="M90" i="34"/>
  <c r="C15" i="34"/>
  <c r="D126" i="34"/>
  <c r="E126" i="34"/>
  <c r="F126" i="34"/>
  <c r="G126" i="34" s="1"/>
  <c r="D124" i="34"/>
  <c r="E124" i="34"/>
  <c r="F124" i="34"/>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F86" i="34" s="1"/>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c r="Q14" i="34"/>
  <c r="Z14" i="34"/>
  <c r="Q13" i="34"/>
  <c r="Z13" i="34"/>
  <c r="Q12" i="34"/>
  <c r="Z12" i="34"/>
  <c r="J12" i="34"/>
  <c r="W12" i="34" s="1"/>
  <c r="H12" i="34"/>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c r="D115" i="33"/>
  <c r="E115" i="33" s="1"/>
  <c r="F115" i="33" s="1"/>
  <c r="G115" i="33" s="1"/>
  <c r="H115" i="33"/>
  <c r="I115" i="33" s="1"/>
  <c r="J115" i="33" s="1"/>
  <c r="K115" i="33" s="1"/>
  <c r="L115" i="33" s="1"/>
  <c r="M115" i="33" s="1"/>
  <c r="D108" i="33"/>
  <c r="E108" i="33"/>
  <c r="F108" i="33" s="1"/>
  <c r="G108" i="33" s="1"/>
  <c r="H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c r="G77" i="33" s="1"/>
  <c r="D69" i="33"/>
  <c r="E69" i="33" s="1"/>
  <c r="F69" i="33" s="1"/>
  <c r="G69" i="33" s="1"/>
  <c r="H69" i="33"/>
  <c r="I69" i="33"/>
  <c r="J69" i="33" s="1"/>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c r="AC41" i="33"/>
  <c r="Q41" i="33"/>
  <c r="Z41" i="33"/>
  <c r="Q40" i="33"/>
  <c r="Z40" i="33" s="1"/>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s="1"/>
  <c r="Q15" i="33"/>
  <c r="Z15" i="33" s="1"/>
  <c r="F15" i="33"/>
  <c r="AA15" i="33"/>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s="1"/>
  <c r="G19" i="20"/>
  <c r="B87" i="43"/>
  <c r="G16" i="20"/>
  <c r="B84" i="43" s="1"/>
  <c r="G15" i="20"/>
  <c r="B83" i="43" s="1"/>
  <c r="C24" i="20"/>
  <c r="C21" i="20"/>
  <c r="C20" i="20"/>
  <c r="C18" i="20"/>
  <c r="B94" i="43" s="1"/>
  <c r="B73" i="43"/>
  <c r="C17" i="20"/>
  <c r="B61" i="43" s="1"/>
  <c r="C16" i="20"/>
  <c r="C17" i="39"/>
  <c r="C15" i="20"/>
  <c r="E54" i="21"/>
  <c r="F54" i="21" s="1"/>
  <c r="I54" i="21"/>
  <c r="J54" i="21" s="1"/>
  <c r="G54" i="21"/>
  <c r="H54" i="21" s="1"/>
  <c r="D125" i="21"/>
  <c r="E125" i="21"/>
  <c r="F125" i="21" s="1"/>
  <c r="G125" i="21"/>
  <c r="D123" i="21"/>
  <c r="E123" i="21"/>
  <c r="F123" i="21" s="1"/>
  <c r="F42" i="21"/>
  <c r="AA42" i="21" s="1"/>
  <c r="D119" i="21"/>
  <c r="F40" i="21"/>
  <c r="AA40" i="21" s="1"/>
  <c r="D117" i="21"/>
  <c r="E117" i="21"/>
  <c r="F117" i="21" s="1"/>
  <c r="G117" i="21" s="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c r="I108" i="21" s="1"/>
  <c r="J108" i="21"/>
  <c r="K108" i="21" s="1"/>
  <c r="L108" i="21" s="1"/>
  <c r="M108" i="21" s="1"/>
  <c r="D106" i="21"/>
  <c r="E106" i="21"/>
  <c r="F106" i="21" s="1"/>
  <c r="G106" i="21" s="1"/>
  <c r="H106" i="21" s="1"/>
  <c r="I106" i="21"/>
  <c r="J106" i="2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J46" i="21" s="1"/>
  <c r="B128" i="21"/>
  <c r="J45" i="21"/>
  <c r="W45" i="21"/>
  <c r="B126" i="21"/>
  <c r="B98" i="21"/>
  <c r="H31" i="21"/>
  <c r="B96" i="21"/>
  <c r="F30" i="21" s="1"/>
  <c r="AA30" i="21" s="1"/>
  <c r="B94" i="21"/>
  <c r="J29" i="21" s="1"/>
  <c r="AC29" i="21" s="1"/>
  <c r="B92" i="21"/>
  <c r="B90" i="21"/>
  <c r="J27" i="21" s="1"/>
  <c r="W27" i="21" s="1"/>
  <c r="B74" i="21"/>
  <c r="B72" i="21"/>
  <c r="H13" i="21" s="1"/>
  <c r="B70" i="21"/>
  <c r="F12" i="21"/>
  <c r="S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H43" i="21"/>
  <c r="AB43" i="21"/>
  <c r="F38" i="21"/>
  <c r="S38" i="21" s="1"/>
  <c r="F36" i="21"/>
  <c r="S36" i="21"/>
  <c r="F39" i="21"/>
  <c r="AA39" i="21" s="1"/>
  <c r="J40" i="21"/>
  <c r="W40" i="21"/>
  <c r="H35" i="21"/>
  <c r="AB35" i="21" s="1"/>
  <c r="J8" i="21"/>
  <c r="AC8" i="21" s="1"/>
  <c r="H8" i="21"/>
  <c r="U8" i="21" s="1"/>
  <c r="H10" i="21"/>
  <c r="AB10" i="21" s="1"/>
  <c r="H39" i="21"/>
  <c r="U39" i="21"/>
  <c r="J34" i="21"/>
  <c r="AC34" i="21" s="1"/>
  <c r="W34" i="21"/>
  <c r="H36" i="21"/>
  <c r="U36" i="21"/>
  <c r="F35" i="21"/>
  <c r="S35" i="21" s="1"/>
  <c r="J10" i="21"/>
  <c r="AC10" i="21" s="1"/>
  <c r="H26" i="21"/>
  <c r="AB26" i="21" s="1"/>
  <c r="AB19" i="21"/>
  <c r="J19" i="21"/>
  <c r="AC19" i="21" s="1"/>
  <c r="J12" i="21"/>
  <c r="AC12" i="21" s="1"/>
  <c r="H12" i="21"/>
  <c r="J26" i="21"/>
  <c r="AC26" i="21" s="1"/>
  <c r="F26" i="21"/>
  <c r="AA26" i="21" s="1"/>
  <c r="AB41" i="21"/>
  <c r="S41" i="21"/>
  <c r="AA41" i="21"/>
  <c r="F45" i="39"/>
  <c r="S45" i="39" s="1"/>
  <c r="J45" i="39"/>
  <c r="W45" i="39" s="1"/>
  <c r="J44" i="39"/>
  <c r="H36" i="39"/>
  <c r="AB36" i="39" s="1"/>
  <c r="J35" i="39"/>
  <c r="AC35" i="39" s="1"/>
  <c r="F35" i="39"/>
  <c r="W40" i="39"/>
  <c r="U30" i="37"/>
  <c r="W31" i="37"/>
  <c r="E103" i="37"/>
  <c r="F103" i="37"/>
  <c r="G103" i="37"/>
  <c r="H103" i="37" s="1"/>
  <c r="I103" i="37" s="1"/>
  <c r="J103" i="37" s="1"/>
  <c r="K103" i="37" s="1"/>
  <c r="L103" i="37"/>
  <c r="M103" i="37" s="1"/>
  <c r="F39" i="37"/>
  <c r="S39" i="37"/>
  <c r="U14" i="37"/>
  <c r="F29" i="36"/>
  <c r="AA29" i="36" s="1"/>
  <c r="F16" i="36"/>
  <c r="AA16" i="36"/>
  <c r="U9" i="36"/>
  <c r="W28" i="36"/>
  <c r="J33" i="36"/>
  <c r="AC33" i="36" s="1"/>
  <c r="H22" i="35"/>
  <c r="AB22" i="35" s="1"/>
  <c r="W28" i="35"/>
  <c r="U31" i="35"/>
  <c r="W22" i="35"/>
  <c r="S31" i="35"/>
  <c r="U34" i="35"/>
  <c r="F36" i="34"/>
  <c r="J35" i="34"/>
  <c r="U34" i="34"/>
  <c r="H39" i="33"/>
  <c r="AB39" i="33" s="1"/>
  <c r="U33" i="33"/>
  <c r="U35" i="33"/>
  <c r="S40" i="33"/>
  <c r="W33" i="33"/>
  <c r="W39" i="33"/>
  <c r="H39" i="37"/>
  <c r="AB39" i="37" s="1"/>
  <c r="F11" i="40"/>
  <c r="AA11" i="40" s="1"/>
  <c r="H11" i="40"/>
  <c r="AB11" i="40"/>
  <c r="W8" i="40"/>
  <c r="AA9" i="40"/>
  <c r="AC9" i="40"/>
  <c r="U9" i="40"/>
  <c r="S34" i="40"/>
  <c r="W31" i="40"/>
  <c r="S38" i="40"/>
  <c r="F42" i="39"/>
  <c r="AA42" i="39" s="1"/>
  <c r="F41" i="39"/>
  <c r="S41" i="39" s="1"/>
  <c r="H40" i="39"/>
  <c r="AB40" i="39" s="1"/>
  <c r="H39" i="39"/>
  <c r="S38"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F17" i="39"/>
  <c r="AA17" i="39" s="1"/>
  <c r="J23" i="40"/>
  <c r="AC23" i="40"/>
  <c r="F21" i="40"/>
  <c r="AA21" i="40"/>
  <c r="J21" i="40"/>
  <c r="W21" i="40"/>
  <c r="H42" i="39"/>
  <c r="AB42" i="39" s="1"/>
  <c r="J34" i="39"/>
  <c r="J31" i="39"/>
  <c r="W31" i="39" s="1"/>
  <c r="H27" i="39"/>
  <c r="U27" i="39" s="1"/>
  <c r="J19" i="39"/>
  <c r="AC19" i="39" s="1"/>
  <c r="J17" i="39"/>
  <c r="W17" i="39" s="1"/>
  <c r="J27" i="39"/>
  <c r="AC27" i="39" s="1"/>
  <c r="F27" i="39"/>
  <c r="AA27" i="39" s="1"/>
  <c r="F11" i="21"/>
  <c r="S11" i="21" s="1"/>
  <c r="S40" i="21"/>
  <c r="U34" i="21"/>
  <c r="S34" i="21"/>
  <c r="C25" i="39"/>
  <c r="C27" i="39"/>
  <c r="C21" i="39"/>
  <c r="H11" i="39"/>
  <c r="AB11" i="39" s="1"/>
  <c r="H32" i="33"/>
  <c r="AB32" i="33" s="1"/>
  <c r="H11" i="21"/>
  <c r="U11" i="21" s="1"/>
  <c r="J11" i="21"/>
  <c r="W11" i="21" s="1"/>
  <c r="H37" i="40"/>
  <c r="U37" i="40" s="1"/>
  <c r="H36" i="40"/>
  <c r="AB36" i="40"/>
  <c r="F35" i="40"/>
  <c r="AA35" i="40" s="1"/>
  <c r="H23" i="40"/>
  <c r="AB23" i="40"/>
  <c r="H17" i="40"/>
  <c r="J15" i="40"/>
  <c r="W15" i="40"/>
  <c r="J11" i="40"/>
  <c r="W11" i="40" s="1"/>
  <c r="AB12" i="33"/>
  <c r="AA12" i="34"/>
  <c r="AB12" i="36"/>
  <c r="W32" i="40"/>
  <c r="S44" i="39"/>
  <c r="F37" i="39"/>
  <c r="AA37" i="39" s="1"/>
  <c r="J34" i="36"/>
  <c r="W34" i="36" s="1"/>
  <c r="U30" i="36"/>
  <c r="J30" i="35"/>
  <c r="W30" i="35" s="1"/>
  <c r="H30" i="35"/>
  <c r="AB30" i="35" s="1"/>
  <c r="F22" i="35"/>
  <c r="AA22" i="35" s="1"/>
  <c r="H10" i="35"/>
  <c r="U10" i="35" s="1"/>
  <c r="AC16" i="36"/>
  <c r="F33" i="36"/>
  <c r="W30" i="36"/>
  <c r="H16" i="36"/>
  <c r="AB16" i="36" s="1"/>
  <c r="G85" i="36"/>
  <c r="H85" i="36"/>
  <c r="I85" i="36" s="1"/>
  <c r="J85" i="36" s="1"/>
  <c r="K85" i="36" s="1"/>
  <c r="L85" i="36" s="1"/>
  <c r="M85" i="36" s="1"/>
  <c r="J29" i="36"/>
  <c r="AC29" i="36" s="1"/>
  <c r="F12" i="36"/>
  <c r="F24" i="36"/>
  <c r="AA24" i="36" s="1"/>
  <c r="F34" i="36"/>
  <c r="S34" i="36"/>
  <c r="F14" i="35"/>
  <c r="F23" i="35"/>
  <c r="AA23" i="35"/>
  <c r="J32" i="35"/>
  <c r="AC32" i="35" s="1"/>
  <c r="J16" i="35"/>
  <c r="AC16" i="35"/>
  <c r="H16" i="35"/>
  <c r="U16" i="35"/>
  <c r="F16" i="35"/>
  <c r="S16" i="35"/>
  <c r="H14" i="35"/>
  <c r="AB14" i="35"/>
  <c r="J29" i="35"/>
  <c r="H33" i="35"/>
  <c r="AB33" i="35"/>
  <c r="J20" i="35"/>
  <c r="F35" i="37"/>
  <c r="S35" i="37"/>
  <c r="E101" i="37"/>
  <c r="F101" i="37" s="1"/>
  <c r="G101" i="37" s="1"/>
  <c r="H101" i="37"/>
  <c r="I101" i="37"/>
  <c r="J101" i="37" s="1"/>
  <c r="K101" i="37" s="1"/>
  <c r="L101" i="37" s="1"/>
  <c r="M101" i="37" s="1"/>
  <c r="J34" i="37"/>
  <c r="W34" i="37"/>
  <c r="AA39" i="37"/>
  <c r="AB34" i="37"/>
  <c r="J33" i="37"/>
  <c r="AC33" i="37" s="1"/>
  <c r="U42" i="34"/>
  <c r="H40" i="34"/>
  <c r="U40" i="34"/>
  <c r="E114" i="34"/>
  <c r="H36" i="34"/>
  <c r="U36" i="34"/>
  <c r="F37" i="34"/>
  <c r="AA37" i="34" s="1"/>
  <c r="AA28" i="34"/>
  <c r="F27" i="34"/>
  <c r="AA27" i="34" s="1"/>
  <c r="F25" i="34"/>
  <c r="S25" i="34"/>
  <c r="H23" i="34"/>
  <c r="U23" i="34" s="1"/>
  <c r="J23" i="34"/>
  <c r="F19" i="34"/>
  <c r="H17" i="34"/>
  <c r="U17" i="34" s="1"/>
  <c r="F15" i="34"/>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s="1"/>
  <c r="J15" i="33"/>
  <c r="AC15" i="33"/>
  <c r="F11" i="33"/>
  <c r="W40" i="33"/>
  <c r="F37" i="40"/>
  <c r="AA37" i="40"/>
  <c r="F36" i="40"/>
  <c r="AA36" i="40"/>
  <c r="H28" i="40"/>
  <c r="U28" i="40"/>
  <c r="F23" i="40"/>
  <c r="AA23" i="40"/>
  <c r="F17" i="40"/>
  <c r="AA17" i="40"/>
  <c r="J17" i="40"/>
  <c r="W17" i="40"/>
  <c r="F15" i="40"/>
  <c r="S15" i="40"/>
  <c r="H15" i="40"/>
  <c r="AB15" i="40" s="1"/>
  <c r="AC11" i="40"/>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J25" i="34"/>
  <c r="AC25" i="34" s="1"/>
  <c r="AB23" i="34"/>
  <c r="F23" i="34"/>
  <c r="AA23" i="34" s="1"/>
  <c r="J19" i="34"/>
  <c r="AC19" i="34"/>
  <c r="F17" i="34"/>
  <c r="AA17" i="34" s="1"/>
  <c r="J17" i="34"/>
  <c r="W17" i="34"/>
  <c r="AB17" i="34"/>
  <c r="AA15" i="34"/>
  <c r="S15" i="34"/>
  <c r="S41" i="33"/>
  <c r="H37" i="33"/>
  <c r="H15" i="33"/>
  <c r="AB15" i="33"/>
  <c r="H11" i="33"/>
  <c r="AB11" i="33" s="1"/>
  <c r="F28" i="40"/>
  <c r="AA28" i="40"/>
  <c r="AA29" i="35"/>
  <c r="AA42" i="34"/>
  <c r="S42" i="34"/>
  <c r="AC38" i="34"/>
  <c r="AA38" i="34"/>
  <c r="J37" i="34"/>
  <c r="AC37" i="34" s="1"/>
  <c r="J11" i="33"/>
  <c r="W11" i="33" s="1"/>
  <c r="U23" i="40"/>
  <c r="G123" i="21"/>
  <c r="H123" i="21" s="1"/>
  <c r="I123" i="21" s="1"/>
  <c r="J123" i="21" s="1"/>
  <c r="K123" i="21" s="1"/>
  <c r="L123" i="21" s="1"/>
  <c r="M123" i="21" s="1"/>
  <c r="J42" i="21"/>
  <c r="AC42" i="21" s="1"/>
  <c r="H42" i="21"/>
  <c r="U42" i="21"/>
  <c r="J44" i="34"/>
  <c r="AC44" i="34" s="1"/>
  <c r="F44" i="34"/>
  <c r="AA44" i="34" s="1"/>
  <c r="J10" i="35"/>
  <c r="AC10" i="35" s="1"/>
  <c r="BL587" i="3"/>
  <c r="AZ587" i="3" s="1"/>
  <c r="J14" i="21"/>
  <c r="F14" i="21"/>
  <c r="S14" i="21" s="1"/>
  <c r="H14" i="21"/>
  <c r="H28" i="21"/>
  <c r="AB28" i="21"/>
  <c r="F28" i="21"/>
  <c r="J28" i="21"/>
  <c r="W28" i="21"/>
  <c r="H30" i="21"/>
  <c r="U30" i="21" s="1"/>
  <c r="S30" i="21"/>
  <c r="J30" i="21"/>
  <c r="AC30" i="21" s="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AA33" i="35" s="1"/>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F27" i="21"/>
  <c r="AA27" i="21" s="1"/>
  <c r="H29" i="21"/>
  <c r="U29" i="21" s="1"/>
  <c r="J31" i="21"/>
  <c r="AC31" i="21"/>
  <c r="F31" i="21"/>
  <c r="F45" i="21"/>
  <c r="AA45" i="21"/>
  <c r="F27" i="33"/>
  <c r="AA27" i="33" s="1"/>
  <c r="J13" i="33"/>
  <c r="H13" i="33"/>
  <c r="U13" i="33" s="1"/>
  <c r="F13" i="33"/>
  <c r="S13" i="33" s="1"/>
  <c r="J29" i="33"/>
  <c r="W29" i="33" s="1"/>
  <c r="AC29" i="33"/>
  <c r="H29" i="33"/>
  <c r="F29" i="33"/>
  <c r="S29" i="33"/>
  <c r="J31" i="33"/>
  <c r="H31" i="33"/>
  <c r="F31" i="33"/>
  <c r="AA31" i="33" s="1"/>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J26" i="36"/>
  <c r="W26" i="36" s="1"/>
  <c r="H28" i="36"/>
  <c r="U28" i="36" s="1"/>
  <c r="H32" i="36"/>
  <c r="AB32" i="36" s="1"/>
  <c r="J32" i="36"/>
  <c r="W32" i="36" s="1"/>
  <c r="J11" i="36"/>
  <c r="AC11" i="36" s="1"/>
  <c r="H11" i="36"/>
  <c r="U11" i="36" s="1"/>
  <c r="F11" i="36"/>
  <c r="H13" i="36"/>
  <c r="AB13" i="36" s="1"/>
  <c r="J13" i="36"/>
  <c r="F13" i="36"/>
  <c r="S13" i="36" s="1"/>
  <c r="E89" i="37"/>
  <c r="F89" i="37"/>
  <c r="G89" i="37"/>
  <c r="H89" i="37" s="1"/>
  <c r="I89" i="37" s="1"/>
  <c r="J89" i="37" s="1"/>
  <c r="K89" i="37" s="1"/>
  <c r="L89" i="37" s="1"/>
  <c r="M89" i="37" s="1"/>
  <c r="J29" i="37"/>
  <c r="W29" i="37"/>
  <c r="F29" i="37"/>
  <c r="H36" i="37"/>
  <c r="U36" i="37" s="1"/>
  <c r="F107" i="37"/>
  <c r="J37" i="37"/>
  <c r="AC37" i="37"/>
  <c r="H37" i="37"/>
  <c r="H40" i="37"/>
  <c r="U40" i="37"/>
  <c r="J40" i="37"/>
  <c r="AC40" i="37" s="1"/>
  <c r="F40" i="37"/>
  <c r="AA40" i="37"/>
  <c r="AC12" i="40"/>
  <c r="W12" i="40"/>
  <c r="U14" i="33"/>
  <c r="F14" i="33"/>
  <c r="H30" i="33"/>
  <c r="AB30" i="33"/>
  <c r="F30" i="33"/>
  <c r="J30" i="33"/>
  <c r="H44" i="33"/>
  <c r="AB44" i="33" s="1"/>
  <c r="J44" i="33"/>
  <c r="AC44" i="33" s="1"/>
  <c r="S44" i="33"/>
  <c r="J46" i="33"/>
  <c r="AC46" i="33" s="1"/>
  <c r="F46" i="33"/>
  <c r="AA46" i="33"/>
  <c r="H46" i="33"/>
  <c r="U13" i="34"/>
  <c r="J13" i="34"/>
  <c r="J29" i="34"/>
  <c r="F29" i="34"/>
  <c r="H29" i="34"/>
  <c r="AB29" i="34"/>
  <c r="J31" i="34"/>
  <c r="AB31" i="34"/>
  <c r="F31" i="34"/>
  <c r="H45" i="34"/>
  <c r="U45" i="34"/>
  <c r="J45" i="34"/>
  <c r="F45" i="34"/>
  <c r="S45" i="34"/>
  <c r="H47" i="34"/>
  <c r="S47" i="34"/>
  <c r="J47" i="34"/>
  <c r="F13" i="35"/>
  <c r="S13" i="35"/>
  <c r="J13" i="35"/>
  <c r="H13" i="35"/>
  <c r="U13" i="35"/>
  <c r="J25" i="35"/>
  <c r="F25" i="35"/>
  <c r="S25" i="35"/>
  <c r="H25" i="35"/>
  <c r="AB25" i="35" s="1"/>
  <c r="F35" i="35"/>
  <c r="J25" i="36"/>
  <c r="F25" i="36"/>
  <c r="S25" i="36"/>
  <c r="H25" i="36"/>
  <c r="H13" i="37"/>
  <c r="AB13" i="37" s="1"/>
  <c r="F13" i="37"/>
  <c r="S13" i="37" s="1"/>
  <c r="J13" i="37"/>
  <c r="W13" i="37" s="1"/>
  <c r="F28" i="37"/>
  <c r="AA28" i="37"/>
  <c r="J28" i="37"/>
  <c r="AC28" i="37" s="1"/>
  <c r="H28" i="37"/>
  <c r="U28" i="37"/>
  <c r="H38" i="37"/>
  <c r="AB38" i="37" s="1"/>
  <c r="AC38" i="37"/>
  <c r="F38" i="37"/>
  <c r="F43" i="39"/>
  <c r="AA43" i="39" s="1"/>
  <c r="H43" i="39"/>
  <c r="J14" i="39"/>
  <c r="AC14" i="39" s="1"/>
  <c r="F14" i="39"/>
  <c r="S14" i="39" s="1"/>
  <c r="H14" i="39"/>
  <c r="AB14" i="39" s="1"/>
  <c r="F12" i="40"/>
  <c r="S12" i="40"/>
  <c r="H12" i="40"/>
  <c r="AB12" i="40" s="1"/>
  <c r="H30" i="40"/>
  <c r="AB30" i="40"/>
  <c r="F33" i="40"/>
  <c r="AA33" i="40" s="1"/>
  <c r="J35" i="40"/>
  <c r="AC35" i="40"/>
  <c r="J37" i="40"/>
  <c r="AC37" i="40"/>
  <c r="H13" i="40"/>
  <c r="U13" i="40"/>
  <c r="J13" i="40"/>
  <c r="W13" i="40"/>
  <c r="F13" i="40"/>
  <c r="AA13" i="40"/>
  <c r="F14" i="37"/>
  <c r="S14" i="37"/>
  <c r="F27" i="37"/>
  <c r="AA27" i="37"/>
  <c r="F13" i="39"/>
  <c r="J13" i="39"/>
  <c r="W13" i="39" s="1"/>
  <c r="H13" i="39"/>
  <c r="U13" i="39" s="1"/>
  <c r="H14" i="40"/>
  <c r="AB14" i="40" s="1"/>
  <c r="J14" i="40"/>
  <c r="W14" i="40"/>
  <c r="F14" i="40"/>
  <c r="J14" i="37"/>
  <c r="AC14" i="37"/>
  <c r="J27" i="37"/>
  <c r="AA13" i="35"/>
  <c r="U31" i="34"/>
  <c r="J36" i="37"/>
  <c r="W36" i="37" s="1"/>
  <c r="J10" i="36"/>
  <c r="AC10" i="36" s="1"/>
  <c r="AB26" i="33"/>
  <c r="AB30" i="21"/>
  <c r="AA14" i="37"/>
  <c r="AC13" i="36"/>
  <c r="W13" i="36"/>
  <c r="AC30" i="34"/>
  <c r="AA14" i="34"/>
  <c r="AB31" i="33"/>
  <c r="U31" i="33"/>
  <c r="AC28" i="21"/>
  <c r="S44" i="34"/>
  <c r="BA586" i="3"/>
  <c r="F17" i="21"/>
  <c r="S17" i="21" s="1"/>
  <c r="H17" i="21"/>
  <c r="F15" i="21"/>
  <c r="S15" i="21" s="1"/>
  <c r="J41" i="39"/>
  <c r="AC45" i="39"/>
  <c r="W35"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AZ584" i="3" s="1"/>
  <c r="BL580" i="3"/>
  <c r="BL572" i="3"/>
  <c r="BL568" i="3"/>
  <c r="BL560" i="3"/>
  <c r="BL554" i="3"/>
  <c r="AZ554" i="3" s="1"/>
  <c r="BL546" i="3"/>
  <c r="BL538" i="3"/>
  <c r="BL534" i="3"/>
  <c r="AZ534" i="3" s="1"/>
  <c r="BL530" i="3"/>
  <c r="AZ530" i="3" s="1"/>
  <c r="BL526" i="3"/>
  <c r="BL522" i="3"/>
  <c r="BL516" i="3"/>
  <c r="BL512" i="3"/>
  <c r="BL506" i="3"/>
  <c r="BL502" i="3"/>
  <c r="BL498" i="3"/>
  <c r="AZ498" i="3" s="1"/>
  <c r="BL494" i="3"/>
  <c r="BL582" i="3"/>
  <c r="BL578" i="3"/>
  <c r="BL574" i="3"/>
  <c r="AZ574" i="3" s="1"/>
  <c r="BL570" i="3"/>
  <c r="BL556" i="3"/>
  <c r="BL552"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2" i="3"/>
  <c r="AZ572" i="3" s="1"/>
  <c r="AZ570" i="3"/>
  <c r="BA568" i="3"/>
  <c r="AZ566" i="3"/>
  <c r="BA564" i="3"/>
  <c r="AZ564" i="3" s="1"/>
  <c r="AZ562" i="3"/>
  <c r="BA560" i="3"/>
  <c r="AZ560" i="3" s="1"/>
  <c r="BA558" i="3"/>
  <c r="BA556" i="3"/>
  <c r="AZ556" i="3" s="1"/>
  <c r="BA554" i="3"/>
  <c r="BA552" i="3"/>
  <c r="AZ552" i="3"/>
  <c r="BA544" i="3"/>
  <c r="AZ544" i="3" s="1"/>
  <c r="BA540" i="3"/>
  <c r="AZ540" i="3"/>
  <c r="BA538" i="3"/>
  <c r="AZ538" i="3"/>
  <c r="BA536" i="3"/>
  <c r="AZ536" i="3"/>
  <c r="BA534" i="3"/>
  <c r="BA532" i="3"/>
  <c r="AZ532" i="3"/>
  <c r="BA530" i="3"/>
  <c r="BA528" i="3"/>
  <c r="AZ528" i="3"/>
  <c r="BA526" i="3"/>
  <c r="AZ526" i="3" s="1"/>
  <c r="BA524" i="3"/>
  <c r="AZ524" i="3"/>
  <c r="BA522" i="3"/>
  <c r="AZ522" i="3" s="1"/>
  <c r="BA520" i="3"/>
  <c r="BA518" i="3"/>
  <c r="AZ518" i="3"/>
  <c r="BA516" i="3"/>
  <c r="BA514" i="3"/>
  <c r="BA512" i="3"/>
  <c r="AZ512" i="3" s="1"/>
  <c r="BA510" i="3"/>
  <c r="BA508" i="3"/>
  <c r="AZ508" i="3" s="1"/>
  <c r="BA506" i="3"/>
  <c r="AZ506" i="3" s="1"/>
  <c r="BA504" i="3"/>
  <c r="AZ504" i="3"/>
  <c r="BA502" i="3"/>
  <c r="BA500" i="3"/>
  <c r="AZ500" i="3" s="1"/>
  <c r="BA498" i="3"/>
  <c r="BA496" i="3"/>
  <c r="BA494" i="3"/>
  <c r="AZ494" i="3" s="1"/>
  <c r="BA587" i="3"/>
  <c r="BA583" i="3"/>
  <c r="BA581" i="3"/>
  <c r="AZ581" i="3" s="1"/>
  <c r="BA579" i="3"/>
  <c r="BA577" i="3"/>
  <c r="BA575" i="3"/>
  <c r="AZ575" i="3" s="1"/>
  <c r="BA569" i="3"/>
  <c r="BA567" i="3"/>
  <c r="AZ567" i="3" s="1"/>
  <c r="BA561" i="3"/>
  <c r="BA559" i="3"/>
  <c r="BA555" i="3"/>
  <c r="BA553" i="3"/>
  <c r="BA549" i="3"/>
  <c r="AZ549" i="3" s="1"/>
  <c r="BA547" i="3"/>
  <c r="BA541" i="3"/>
  <c r="BA539" i="3"/>
  <c r="BA537" i="3"/>
  <c r="BA535" i="3"/>
  <c r="BA533" i="3"/>
  <c r="BA531" i="3"/>
  <c r="BA529" i="3"/>
  <c r="BA527" i="3"/>
  <c r="BA525" i="3"/>
  <c r="BA523" i="3"/>
  <c r="AZ523" i="3" s="1"/>
  <c r="BA519" i="3"/>
  <c r="BA517" i="3"/>
  <c r="BA515" i="3"/>
  <c r="BA513" i="3"/>
  <c r="BA511" i="3"/>
  <c r="BA507" i="3"/>
  <c r="BA505" i="3"/>
  <c r="BA503" i="3"/>
  <c r="BA501" i="3"/>
  <c r="BA499" i="3"/>
  <c r="BA497" i="3"/>
  <c r="BA495" i="3"/>
  <c r="AZ495" i="3" s="1"/>
  <c r="BA493" i="3"/>
  <c r="G583" i="3"/>
  <c r="G581" i="3"/>
  <c r="G579" i="3"/>
  <c r="G575" i="3"/>
  <c r="G573" i="3"/>
  <c r="G567" i="3"/>
  <c r="G565" i="3"/>
  <c r="G563" i="3"/>
  <c r="G561" i="3"/>
  <c r="BL558" i="3"/>
  <c r="AZ558" i="3" s="1"/>
  <c r="BA557" i="3"/>
  <c r="AZ557" i="3" s="1"/>
  <c r="AC557" i="3"/>
  <c r="G557" i="3"/>
  <c r="BQ557" i="3"/>
  <c r="BL557" i="3" s="1"/>
  <c r="BQ583" i="3"/>
  <c r="BL583" i="3"/>
  <c r="AZ583" i="3" s="1"/>
  <c r="BQ581" i="3"/>
  <c r="BL581" i="3"/>
  <c r="BQ579" i="3"/>
  <c r="BL579" i="3" s="1"/>
  <c r="BQ577" i="3"/>
  <c r="BL577" i="3"/>
  <c r="AZ577" i="3"/>
  <c r="BQ575" i="3"/>
  <c r="BQ573" i="3"/>
  <c r="BQ571" i="3"/>
  <c r="BL571" i="3" s="1"/>
  <c r="BQ569" i="3"/>
  <c r="BL569" i="3"/>
  <c r="AZ569" i="3"/>
  <c r="BQ567" i="3"/>
  <c r="BQ565" i="3"/>
  <c r="BQ563" i="3"/>
  <c r="BL563" i="3" s="1"/>
  <c r="BQ561" i="3"/>
  <c r="BL561" i="3"/>
  <c r="AZ561" i="3"/>
  <c r="BQ559" i="3"/>
  <c r="BL559" i="3" s="1"/>
  <c r="G559" i="3"/>
  <c r="G555" i="3"/>
  <c r="G553" i="3"/>
  <c r="G547" i="3"/>
  <c r="G545" i="3"/>
  <c r="G543" i="3"/>
  <c r="G541" i="3"/>
  <c r="G539" i="3"/>
  <c r="G537" i="3"/>
  <c r="BQ555" i="3"/>
  <c r="BL555" i="3"/>
  <c r="AZ555" i="3"/>
  <c r="BQ553" i="3"/>
  <c r="BL553" i="3" s="1"/>
  <c r="AZ553" i="3" s="1"/>
  <c r="BQ551" i="3"/>
  <c r="BL551" i="3"/>
  <c r="BQ549" i="3"/>
  <c r="BQ547" i="3"/>
  <c r="BL547" i="3"/>
  <c r="AZ547" i="3"/>
  <c r="BQ545" i="3"/>
  <c r="AZ545" i="3"/>
  <c r="BQ543" i="3"/>
  <c r="BQ541" i="3"/>
  <c r="BL541" i="3" s="1"/>
  <c r="BQ539" i="3"/>
  <c r="BL539" i="3"/>
  <c r="AZ539" i="3"/>
  <c r="BQ537" i="3"/>
  <c r="BL537" i="3"/>
  <c r="AZ537" i="3"/>
  <c r="BQ535" i="3"/>
  <c r="BL535" i="3" s="1"/>
  <c r="AZ535" i="3" s="1"/>
  <c r="BQ533" i="3"/>
  <c r="BL533" i="3" s="1"/>
  <c r="BQ531" i="3"/>
  <c r="BL531" i="3"/>
  <c r="AZ531" i="3" s="1"/>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c r="H17" i="37"/>
  <c r="U17" i="37" s="1"/>
  <c r="AB27" i="37"/>
  <c r="U32" i="33"/>
  <c r="F39" i="33"/>
  <c r="AA39" i="33"/>
  <c r="E123" i="33"/>
  <c r="F123" i="33" s="1"/>
  <c r="G123" i="33" s="1"/>
  <c r="H123" i="33" s="1"/>
  <c r="I123" i="33" s="1"/>
  <c r="J123" i="33" s="1"/>
  <c r="K123" i="33" s="1"/>
  <c r="L123" i="33" s="1"/>
  <c r="M123" i="33" s="1"/>
  <c r="F42" i="33"/>
  <c r="F14" i="36"/>
  <c r="AA14" i="36" s="1"/>
  <c r="F22" i="36"/>
  <c r="S22" i="36"/>
  <c r="F26" i="36"/>
  <c r="H27" i="34"/>
  <c r="AB27" i="34"/>
  <c r="H35" i="34"/>
  <c r="F41" i="34"/>
  <c r="S41" i="34"/>
  <c r="H41" i="34"/>
  <c r="U41" i="34" s="1"/>
  <c r="J41" i="34"/>
  <c r="AC41" i="34"/>
  <c r="F10" i="35"/>
  <c r="S10" i="35" s="1"/>
  <c r="H24" i="35"/>
  <c r="U24" i="35" s="1"/>
  <c r="H23" i="37"/>
  <c r="AB23" i="37"/>
  <c r="J32" i="37"/>
  <c r="W32" i="37" s="1"/>
  <c r="F36" i="37"/>
  <c r="AA36" i="37"/>
  <c r="F37" i="37"/>
  <c r="AA37" i="37" s="1"/>
  <c r="F31" i="40"/>
  <c r="AA31" i="40"/>
  <c r="H31" i="40"/>
  <c r="AB31" i="40" s="1"/>
  <c r="F32" i="40"/>
  <c r="S32" i="40"/>
  <c r="H32" i="40"/>
  <c r="AB32" i="40" s="1"/>
  <c r="J36" i="40"/>
  <c r="W36" i="40"/>
  <c r="AA41" i="34"/>
  <c r="H19" i="37"/>
  <c r="H42" i="33"/>
  <c r="AB42" i="33"/>
  <c r="J43" i="33"/>
  <c r="AC43" i="33"/>
  <c r="U43" i="33"/>
  <c r="S28" i="31"/>
  <c r="S27" i="31"/>
  <c r="S26" i="31"/>
  <c r="U14" i="40"/>
  <c r="W14" i="37"/>
  <c r="AB28" i="37"/>
  <c r="U33" i="37"/>
  <c r="U39" i="37"/>
  <c r="W26" i="37"/>
  <c r="U26" i="37"/>
  <c r="AC36" i="34"/>
  <c r="AA13" i="33"/>
  <c r="AC45" i="33"/>
  <c r="U11" i="33"/>
  <c r="U19" i="21"/>
  <c r="AC46" i="21"/>
  <c r="F43" i="33"/>
  <c r="AA43" i="33" s="1"/>
  <c r="W16" i="35"/>
  <c r="G107" i="37"/>
  <c r="H107" i="37"/>
  <c r="I107" i="37"/>
  <c r="J107" i="37"/>
  <c r="K107" i="37" s="1"/>
  <c r="L107" i="37" s="1"/>
  <c r="M107" i="37"/>
  <c r="H37" i="21"/>
  <c r="U37" i="21" s="1"/>
  <c r="S42" i="21"/>
  <c r="H19" i="34"/>
  <c r="AB19" i="34"/>
  <c r="F36" i="35"/>
  <c r="H9" i="37"/>
  <c r="U9" i="37" s="1"/>
  <c r="F9" i="37"/>
  <c r="S9" i="37" s="1"/>
  <c r="J12" i="37"/>
  <c r="W12" i="37" s="1"/>
  <c r="H12" i="37"/>
  <c r="AB12" i="37" s="1"/>
  <c r="F12" i="37"/>
  <c r="S12" i="37" s="1"/>
  <c r="E71" i="37"/>
  <c r="F71" i="37" s="1"/>
  <c r="G71" i="37" s="1"/>
  <c r="F15" i="37"/>
  <c r="AA15" i="37"/>
  <c r="E94" i="37"/>
  <c r="F31" i="37"/>
  <c r="S31" i="37" s="1"/>
  <c r="J42" i="39"/>
  <c r="AC42" i="39" s="1"/>
  <c r="H21" i="40"/>
  <c r="AC12" i="37"/>
  <c r="F94" i="37"/>
  <c r="G94" i="37" s="1"/>
  <c r="H94" i="37" s="1"/>
  <c r="I94" i="37" s="1"/>
  <c r="J94" i="37" s="1"/>
  <c r="K94" i="37" s="1"/>
  <c r="L94" i="37" s="1"/>
  <c r="M94" i="37" s="1"/>
  <c r="H31" i="37"/>
  <c r="U31" i="37" s="1"/>
  <c r="J15" i="37"/>
  <c r="AC15" i="37" s="1"/>
  <c r="W15" i="37"/>
  <c r="AT6" i="3"/>
  <c r="H19" i="40"/>
  <c r="U19" i="40" s="1"/>
  <c r="F88" i="40"/>
  <c r="G88" i="40"/>
  <c r="F19" i="40"/>
  <c r="S19" i="40" s="1"/>
  <c r="AC1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W8" i="39"/>
  <c r="J19" i="40"/>
  <c r="J50" i="40"/>
  <c r="H103" i="9"/>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AZ20" i="3"/>
  <c r="AZ24" i="3"/>
  <c r="AZ28" i="3"/>
  <c r="AZ32" i="3"/>
  <c r="AZ497" i="3"/>
  <c r="AZ502" i="3"/>
  <c r="AZ514" i="3"/>
  <c r="G546" i="3"/>
  <c r="G524" i="3"/>
  <c r="G303" i="3"/>
  <c r="BL304" i="3"/>
  <c r="G305" i="3"/>
  <c r="BL306" i="3"/>
  <c r="BA308" i="3"/>
  <c r="AZ308" i="3"/>
  <c r="BA309" i="3"/>
  <c r="AZ309" i="3" s="1"/>
  <c r="BL309" i="3"/>
  <c r="G310" i="3"/>
  <c r="BA311" i="3"/>
  <c r="AZ311" i="3" s="1"/>
  <c r="G319" i="3"/>
  <c r="BL320" i="3"/>
  <c r="G321" i="3"/>
  <c r="BL322" i="3"/>
  <c r="AZ322" i="3" s="1"/>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s="1"/>
  <c r="G117" i="3"/>
  <c r="BA119" i="3"/>
  <c r="AZ119" i="3"/>
  <c r="BL120" i="3"/>
  <c r="G121" i="3"/>
  <c r="BA123" i="3"/>
  <c r="AZ123" i="3"/>
  <c r="BL124" i="3"/>
  <c r="AZ124" i="3" s="1"/>
  <c r="G125" i="3"/>
  <c r="BA127" i="3"/>
  <c r="AZ127" i="3" s="1"/>
  <c r="BL128" i="3"/>
  <c r="G129" i="3"/>
  <c r="BA131" i="3"/>
  <c r="AZ131" i="3" s="1"/>
  <c r="BL132" i="3"/>
  <c r="AZ132" i="3"/>
  <c r="G133" i="3"/>
  <c r="BA135" i="3"/>
  <c r="AZ135" i="3" s="1"/>
  <c r="BL136" i="3"/>
  <c r="G137" i="3"/>
  <c r="BA139" i="3"/>
  <c r="AZ139" i="3" s="1"/>
  <c r="BL140" i="3"/>
  <c r="AZ140" i="3"/>
  <c r="G141" i="3"/>
  <c r="BA143" i="3"/>
  <c r="AZ143" i="3"/>
  <c r="BL144" i="3"/>
  <c r="AZ144" i="3" s="1"/>
  <c r="G145" i="3"/>
  <c r="BA147" i="3"/>
  <c r="AZ147" i="3"/>
  <c r="BL148" i="3"/>
  <c r="AZ148" i="3" s="1"/>
  <c r="G149" i="3"/>
  <c r="BA151" i="3"/>
  <c r="AZ151" i="3"/>
  <c r="BL152" i="3"/>
  <c r="AZ152" i="3" s="1"/>
  <c r="G153" i="3"/>
  <c r="BA155" i="3"/>
  <c r="AZ155" i="3"/>
  <c r="BL156" i="3"/>
  <c r="AZ156" i="3" s="1"/>
  <c r="G157" i="3"/>
  <c r="BA159" i="3"/>
  <c r="AZ159" i="3" s="1"/>
  <c r="BL160" i="3"/>
  <c r="G161" i="3"/>
  <c r="BA163" i="3"/>
  <c r="AZ163" i="3" s="1"/>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s="1"/>
  <c r="BL192" i="3"/>
  <c r="G193" i="3"/>
  <c r="BA195" i="3"/>
  <c r="BL196" i="3"/>
  <c r="AZ196" i="3"/>
  <c r="G197" i="3"/>
  <c r="BA199" i="3"/>
  <c r="AZ199" i="3" s="1"/>
  <c r="BL200" i="3"/>
  <c r="G201" i="3"/>
  <c r="BA203" i="3"/>
  <c r="BL204" i="3"/>
  <c r="AZ204" i="3"/>
  <c r="AZ51" i="3"/>
  <c r="AZ55" i="3"/>
  <c r="AZ67" i="3"/>
  <c r="AZ71" i="3"/>
  <c r="AZ75" i="3"/>
  <c r="AZ79" i="3"/>
  <c r="AZ83" i="3"/>
  <c r="AZ136" i="3"/>
  <c r="AZ160" i="3"/>
  <c r="AZ168" i="3"/>
  <c r="AZ192" i="3"/>
  <c r="AZ200" i="3"/>
  <c r="AZ85" i="3"/>
  <c r="AZ89" i="3"/>
  <c r="AZ97" i="3"/>
  <c r="AZ101"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AZ318" i="3" s="1"/>
  <c r="BA320" i="3"/>
  <c r="AZ320" i="3" s="1"/>
  <c r="BA321" i="3"/>
  <c r="AZ321" i="3"/>
  <c r="BL321" i="3"/>
  <c r="G322" i="3"/>
  <c r="G325" i="3"/>
  <c r="BL326" i="3"/>
  <c r="BA328" i="3"/>
  <c r="AZ328" i="3" s="1"/>
  <c r="BA329" i="3"/>
  <c r="BL329" i="3"/>
  <c r="AZ329" i="3"/>
  <c r="G330" i="3"/>
  <c r="G333" i="3"/>
  <c r="BL334" i="3"/>
  <c r="AZ334" i="3" s="1"/>
  <c r="BA336" i="3"/>
  <c r="AZ336" i="3" s="1"/>
  <c r="BA337" i="3"/>
  <c r="AZ337" i="3"/>
  <c r="BL337" i="3"/>
  <c r="G338" i="3"/>
  <c r="G341" i="3"/>
  <c r="BA342" i="3"/>
  <c r="AZ342" i="3" s="1"/>
  <c r="BL342" i="3"/>
  <c r="BA344" i="3"/>
  <c r="BL344" i="3"/>
  <c r="AZ344" i="3" s="1"/>
  <c r="BA346" i="3"/>
  <c r="AZ346" i="3"/>
  <c r="BA347" i="3"/>
  <c r="AZ347" i="3" s="1"/>
  <c r="BL347" i="3"/>
  <c r="G350" i="3"/>
  <c r="BA351" i="3"/>
  <c r="AZ351" i="3" s="1"/>
  <c r="BL351" i="3"/>
  <c r="G352" i="3"/>
  <c r="G354" i="3"/>
  <c r="BA355" i="3"/>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0" i="3"/>
  <c r="AZ202" i="3"/>
  <c r="BA16" i="3"/>
  <c r="AZ16" i="3" s="1"/>
  <c r="BL303" i="3"/>
  <c r="G304" i="3"/>
  <c r="BA306" i="3"/>
  <c r="AZ306" i="3" s="1"/>
  <c r="BL307" i="3"/>
  <c r="AZ307" i="3"/>
  <c r="G308" i="3"/>
  <c r="BA310" i="3"/>
  <c r="AZ310" i="3" s="1"/>
  <c r="BL311" i="3"/>
  <c r="G312" i="3"/>
  <c r="BA314" i="3"/>
  <c r="AZ314" i="3"/>
  <c r="BL315" i="3"/>
  <c r="AZ315" i="3"/>
  <c r="G316" i="3"/>
  <c r="BA318" i="3"/>
  <c r="BL319" i="3"/>
  <c r="G320" i="3"/>
  <c r="BA322" i="3"/>
  <c r="BL323" i="3"/>
  <c r="AZ323" i="3" s="1"/>
  <c r="G324" i="3"/>
  <c r="BA326" i="3"/>
  <c r="AZ326" i="3" s="1"/>
  <c r="BL327" i="3"/>
  <c r="AZ327" i="3"/>
  <c r="G328" i="3"/>
  <c r="BA330" i="3"/>
  <c r="AZ330" i="3" s="1"/>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BA379" i="3"/>
  <c r="AZ379" i="3" s="1"/>
  <c r="BL380" i="3"/>
  <c r="G381" i="3"/>
  <c r="BA383" i="3"/>
  <c r="BL384" i="3"/>
  <c r="G385" i="3"/>
  <c r="BA387" i="3"/>
  <c r="AZ387" i="3" s="1"/>
  <c r="BL388" i="3"/>
  <c r="G389" i="3"/>
  <c r="BA391" i="3"/>
  <c r="BL392" i="3"/>
  <c r="G393" i="3"/>
  <c r="AZ263" i="3"/>
  <c r="AZ275" i="3"/>
  <c r="AZ279" i="3"/>
  <c r="AZ283" i="3"/>
  <c r="AZ287" i="3"/>
  <c r="AZ291" i="3"/>
  <c r="AZ295" i="3"/>
  <c r="AZ299" i="3"/>
  <c r="BO5" i="3"/>
  <c r="BF5" i="3"/>
  <c r="AZ317" i="3"/>
  <c r="AZ325" i="3"/>
  <c r="AZ333" i="3"/>
  <c r="BQ5" i="3"/>
  <c r="AZ496" i="3"/>
  <c r="G548" i="3"/>
  <c r="G538" i="3"/>
  <c r="G520" i="3"/>
  <c r="G502" i="3"/>
  <c r="BS5" i="3"/>
  <c r="AZ343" i="3"/>
  <c r="BK5" i="3"/>
  <c r="BE5" i="3"/>
  <c r="G17" i="3"/>
  <c r="BA17" i="3"/>
  <c r="AZ350" i="3"/>
  <c r="AZ360" i="3"/>
  <c r="AZ364" i="3"/>
  <c r="AZ368" i="3"/>
  <c r="BA15" i="3"/>
  <c r="BB5" i="3"/>
  <c r="E5" i="6" s="1"/>
  <c r="AZ384" i="3"/>
  <c r="AZ388" i="3"/>
  <c r="AZ396" i="3"/>
  <c r="AZ394" i="3"/>
  <c r="AZ499" i="3"/>
  <c r="G509" i="3"/>
  <c r="BL493" i="3"/>
  <c r="AZ493" i="3" s="1"/>
  <c r="AZ491" i="3"/>
  <c r="AZ382" i="3"/>
  <c r="U36" i="40"/>
  <c r="F83" i="43"/>
  <c r="H85" i="43" s="1"/>
  <c r="F50" i="43"/>
  <c r="H54" i="43" s="1"/>
  <c r="F72" i="43"/>
  <c r="H75" i="43" s="1"/>
  <c r="U43" i="21"/>
  <c r="U35" i="21"/>
  <c r="AC35" i="21"/>
  <c r="G8" i="1"/>
  <c r="G10" i="1"/>
  <c r="W37" i="37"/>
  <c r="W44" i="34"/>
  <c r="S15" i="37"/>
  <c r="U13" i="37"/>
  <c r="U12" i="40"/>
  <c r="AA12" i="40"/>
  <c r="J37" i="33"/>
  <c r="W37" i="33"/>
  <c r="AC17" i="34"/>
  <c r="F106" i="33"/>
  <c r="G106" i="33"/>
  <c r="H106" i="33"/>
  <c r="I106" i="33"/>
  <c r="J106" i="33" s="1"/>
  <c r="K106" i="33" s="1"/>
  <c r="L106" i="33" s="1"/>
  <c r="M106" i="33" s="1"/>
  <c r="J34" i="33"/>
  <c r="W34" i="33"/>
  <c r="F33" i="34"/>
  <c r="S33" i="34"/>
  <c r="H20" i="36"/>
  <c r="AB20" i="36" s="1"/>
  <c r="J20" i="36"/>
  <c r="W20" i="36"/>
  <c r="W24" i="36"/>
  <c r="J27" i="36"/>
  <c r="W27" i="36" s="1"/>
  <c r="F111" i="40"/>
  <c r="G111" i="40"/>
  <c r="H111" i="40" s="1"/>
  <c r="I111" i="40" s="1"/>
  <c r="J111" i="40" s="1"/>
  <c r="K111" i="40" s="1"/>
  <c r="L111" i="40" s="1"/>
  <c r="M111" i="40" s="1"/>
  <c r="H35" i="40"/>
  <c r="U35" i="40" s="1"/>
  <c r="AB35" i="40"/>
  <c r="AC29" i="35"/>
  <c r="W29" i="35"/>
  <c r="H35" i="37"/>
  <c r="U35" i="37"/>
  <c r="AC14" i="35"/>
  <c r="H20" i="35"/>
  <c r="U20" i="35"/>
  <c r="F20" i="35"/>
  <c r="AB23" i="35"/>
  <c r="AB29" i="36"/>
  <c r="U29" i="36"/>
  <c r="H32" i="37"/>
  <c r="AB32" i="37"/>
  <c r="F96" i="37"/>
  <c r="H27" i="40"/>
  <c r="J27" i="40"/>
  <c r="AC27" i="40"/>
  <c r="F27" i="40"/>
  <c r="J30" i="40"/>
  <c r="AC30" i="40"/>
  <c r="F30" i="40"/>
  <c r="AC21" i="40"/>
  <c r="S31" i="39"/>
  <c r="S11" i="40"/>
  <c r="G98" i="40"/>
  <c r="H98" i="40"/>
  <c r="I98" i="40" s="1"/>
  <c r="J98" i="40" s="1"/>
  <c r="K98" i="40"/>
  <c r="L98" i="40"/>
  <c r="M98" i="40" s="1"/>
  <c r="F10" i="33"/>
  <c r="S10" i="33" s="1"/>
  <c r="F34" i="33"/>
  <c r="AA34" i="33" s="1"/>
  <c r="S34" i="33"/>
  <c r="H34" i="33"/>
  <c r="U34" i="33"/>
  <c r="F35" i="33"/>
  <c r="AA35" i="33" s="1"/>
  <c r="S35" i="33"/>
  <c r="F39" i="34"/>
  <c r="S39" i="34"/>
  <c r="J39" i="34"/>
  <c r="AC39" i="34" s="1"/>
  <c r="F40" i="34"/>
  <c r="S40" i="34"/>
  <c r="F43" i="34"/>
  <c r="AA43" i="34" s="1"/>
  <c r="H44" i="34"/>
  <c r="AB44" i="34"/>
  <c r="AC38" i="39"/>
  <c r="F39" i="39"/>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5" i="3"/>
  <c r="AZ50" i="3"/>
  <c r="AZ53" i="3"/>
  <c r="AZ61" i="3"/>
  <c r="AZ66" i="3"/>
  <c r="AZ69" i="3"/>
  <c r="AZ72" i="3"/>
  <c r="AZ74" i="3"/>
  <c r="AZ77" i="3"/>
  <c r="AZ82" i="3"/>
  <c r="AZ86" i="3"/>
  <c r="AZ102" i="3"/>
  <c r="AZ110" i="3"/>
  <c r="F23" i="39"/>
  <c r="AA23" i="39" s="1"/>
  <c r="H27" i="36"/>
  <c r="U27" i="36" s="1"/>
  <c r="F27" i="36"/>
  <c r="AA27" i="36" s="1"/>
  <c r="H33" i="34"/>
  <c r="U33" i="34" s="1"/>
  <c r="F32" i="37"/>
  <c r="AA32" i="37"/>
  <c r="G96" i="37"/>
  <c r="H96" i="37" s="1"/>
  <c r="I96" i="37" s="1"/>
  <c r="J96" i="37" s="1"/>
  <c r="K96" i="37" s="1"/>
  <c r="L96" i="37" s="1"/>
  <c r="M96" i="37" s="1"/>
  <c r="F20" i="36"/>
  <c r="S20" i="36" s="1"/>
  <c r="AA20" i="36"/>
  <c r="J33" i="34"/>
  <c r="AC33" i="34"/>
  <c r="H23" i="39"/>
  <c r="U23" i="39" s="1"/>
  <c r="D48" i="9"/>
  <c r="M52" i="9" s="1"/>
  <c r="K9" i="1"/>
  <c r="M9" i="1" s="1"/>
  <c r="K6" i="1"/>
  <c r="AP6" i="1" s="1"/>
  <c r="W27" i="34"/>
  <c r="AC27" i="34"/>
  <c r="AB34" i="36"/>
  <c r="U34" i="36"/>
  <c r="AB33" i="36"/>
  <c r="U33" i="36"/>
  <c r="AC39" i="40"/>
  <c r="W39" i="40"/>
  <c r="AZ401" i="3"/>
  <c r="AZ412" i="3"/>
  <c r="AZ417" i="3"/>
  <c r="AZ428" i="3"/>
  <c r="AZ433" i="3"/>
  <c r="AZ465" i="3"/>
  <c r="AZ586" i="3"/>
  <c r="W12" i="33"/>
  <c r="AC12" i="33"/>
  <c r="S32" i="36"/>
  <c r="AZ551" i="3"/>
  <c r="AZ408" i="3"/>
  <c r="AZ437" i="3"/>
  <c r="AZ441" i="3"/>
  <c r="AZ457" i="3"/>
  <c r="AZ473" i="3"/>
  <c r="AZ490" i="3"/>
  <c r="AA39" i="34"/>
  <c r="AZ266" i="3"/>
  <c r="U30" i="33"/>
  <c r="W28" i="37"/>
  <c r="F12" i="33"/>
  <c r="F39" i="40"/>
  <c r="AZ367" i="3"/>
  <c r="AZ213" i="3"/>
  <c r="AZ224" i="3"/>
  <c r="AZ234" i="3"/>
  <c r="AZ238" i="3"/>
  <c r="AZ250" i="3"/>
  <c r="AZ254" i="3"/>
  <c r="AZ281" i="3"/>
  <c r="AZ286" i="3"/>
  <c r="AZ297" i="3"/>
  <c r="AZ149" i="3"/>
  <c r="AZ157" i="3"/>
  <c r="AZ165" i="3"/>
  <c r="AZ173" i="3"/>
  <c r="AZ181" i="3"/>
  <c r="AZ197"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U31" i="39"/>
  <c r="J21" i="39"/>
  <c r="W21" i="39" s="1"/>
  <c r="F21" i="39"/>
  <c r="AA21" i="39" s="1"/>
  <c r="G94" i="39"/>
  <c r="H21" i="39"/>
  <c r="AB21" i="39" s="1"/>
  <c r="S17" i="39"/>
  <c r="S15" i="39"/>
  <c r="U14" i="39"/>
  <c r="AC13" i="39"/>
  <c r="U13" i="36"/>
  <c r="U26" i="36"/>
  <c r="AA34" i="36"/>
  <c r="AC26" i="36"/>
  <c r="AA22" i="36"/>
  <c r="W14" i="36"/>
  <c r="AB14" i="36"/>
  <c r="U22" i="36"/>
  <c r="S16" i="36"/>
  <c r="AA25" i="36"/>
  <c r="S24" i="36"/>
  <c r="U24" i="36"/>
  <c r="U16" i="36"/>
  <c r="S14" i="36"/>
  <c r="AA25" i="35"/>
  <c r="S23" i="35"/>
  <c r="W24" i="35"/>
  <c r="AB13" i="35"/>
  <c r="U29" i="35"/>
  <c r="U28" i="35"/>
  <c r="AB27" i="35"/>
  <c r="U32" i="35"/>
  <c r="AC30" i="35"/>
  <c r="S32" i="35"/>
  <c r="S28" i="35"/>
  <c r="AB16" i="35"/>
  <c r="U22" i="35"/>
  <c r="S22" i="35"/>
  <c r="U14" i="35"/>
  <c r="AC9" i="35"/>
  <c r="W9" i="35"/>
  <c r="F9" i="35"/>
  <c r="S9" i="35" s="1"/>
  <c r="H9" i="35"/>
  <c r="U9" i="35" s="1"/>
  <c r="AB40" i="37"/>
  <c r="S25" i="37"/>
  <c r="S26" i="37"/>
  <c r="AC29" i="37"/>
  <c r="S32" i="37"/>
  <c r="W30" i="37"/>
  <c r="S36" i="37"/>
  <c r="U32" i="37"/>
  <c r="W38" i="37"/>
  <c r="AC35" i="37"/>
  <c r="W39" i="37"/>
  <c r="S30" i="37"/>
  <c r="S37" i="37"/>
  <c r="J17" i="37"/>
  <c r="W17" i="37"/>
  <c r="G73" i="37"/>
  <c r="F17" i="37"/>
  <c r="AA17" i="37"/>
  <c r="AB17" i="37"/>
  <c r="F75" i="37"/>
  <c r="F19" i="37"/>
  <c r="F23" i="37"/>
  <c r="S23" i="37"/>
  <c r="U23" i="37"/>
  <c r="U15" i="37"/>
  <c r="AC13" i="37"/>
  <c r="AA13" i="37"/>
  <c r="H10" i="37"/>
  <c r="AB10" i="37" s="1"/>
  <c r="F11" i="37"/>
  <c r="S11" i="37" s="1"/>
  <c r="S27" i="34"/>
  <c r="W25" i="34"/>
  <c r="AB8" i="34"/>
  <c r="AA33" i="34"/>
  <c r="U44" i="34"/>
  <c r="U43" i="34"/>
  <c r="W41" i="34"/>
  <c r="AC42" i="34"/>
  <c r="U39" i="34"/>
  <c r="S43" i="34"/>
  <c r="AB41" i="34"/>
  <c r="AA45" i="34"/>
  <c r="AA25" i="34"/>
  <c r="S17" i="34"/>
  <c r="U27" i="34"/>
  <c r="S23" i="34"/>
  <c r="U15" i="34"/>
  <c r="H10" i="34"/>
  <c r="AB10" i="34" s="1"/>
  <c r="F11" i="34"/>
  <c r="S11" i="34" s="1"/>
  <c r="F70" i="34"/>
  <c r="G70" i="34" s="1"/>
  <c r="W42" i="33"/>
  <c r="S27" i="33"/>
  <c r="S32" i="33"/>
  <c r="AA29" i="33"/>
  <c r="W38" i="33"/>
  <c r="H41" i="33"/>
  <c r="U41" i="33" s="1"/>
  <c r="F121" i="33"/>
  <c r="G121" i="33"/>
  <c r="H121" i="33"/>
  <c r="I121" i="33"/>
  <c r="J121" i="33" s="1"/>
  <c r="K121" i="33" s="1"/>
  <c r="L121" i="33" s="1"/>
  <c r="M121" i="33" s="1"/>
  <c r="U42" i="33"/>
  <c r="F36" i="33"/>
  <c r="AA36" i="33" s="1"/>
  <c r="G111" i="33"/>
  <c r="I108" i="33"/>
  <c r="J108" i="33"/>
  <c r="K108" i="33" s="1"/>
  <c r="L108" i="33" s="1"/>
  <c r="M108" i="33"/>
  <c r="J35" i="33"/>
  <c r="S37" i="33"/>
  <c r="AA37" i="33"/>
  <c r="S39" i="33"/>
  <c r="F101" i="33"/>
  <c r="G101" i="33" s="1"/>
  <c r="H101" i="33" s="1"/>
  <c r="I101" i="33"/>
  <c r="J101" i="33"/>
  <c r="K101" i="33" s="1"/>
  <c r="L101" i="33" s="1"/>
  <c r="M101" i="33"/>
  <c r="J32" i="33"/>
  <c r="AC32" i="33" s="1"/>
  <c r="S46" i="33"/>
  <c r="W43" i="33"/>
  <c r="S43" i="33"/>
  <c r="F91" i="33"/>
  <c r="G91" i="33" s="1"/>
  <c r="H27" i="33"/>
  <c r="F87" i="33"/>
  <c r="H25" i="33"/>
  <c r="U25" i="33" s="1"/>
  <c r="F25" i="33"/>
  <c r="J23" i="33"/>
  <c r="F85" i="33"/>
  <c r="H23" i="33"/>
  <c r="AB23" i="33" s="1"/>
  <c r="F81" i="33"/>
  <c r="G81" i="33" s="1"/>
  <c r="F19" i="33"/>
  <c r="S19" i="33" s="1"/>
  <c r="W19" i="33"/>
  <c r="J17" i="33"/>
  <c r="W17" i="33" s="1"/>
  <c r="F79" i="33"/>
  <c r="S15" i="33"/>
  <c r="W15" i="33"/>
  <c r="J10" i="33"/>
  <c r="W10" i="33" s="1"/>
  <c r="H10" i="33"/>
  <c r="U10" i="33" s="1"/>
  <c r="AC11" i="33"/>
  <c r="AB14" i="33"/>
  <c r="W36" i="21"/>
  <c r="W41" i="21"/>
  <c r="AB39" i="21"/>
  <c r="AA43" i="21"/>
  <c r="S39" i="21"/>
  <c r="AA38" i="21"/>
  <c r="AA36" i="21"/>
  <c r="AC40" i="21"/>
  <c r="J15" i="21"/>
  <c r="W15" i="21" s="1"/>
  <c r="F23" i="21"/>
  <c r="S23" i="21" s="1"/>
  <c r="E85" i="21"/>
  <c r="AA14" i="21"/>
  <c r="C18" i="9"/>
  <c r="D18" i="9" s="1"/>
  <c r="F34" i="67"/>
  <c r="F62" i="67" s="1"/>
  <c r="M20" i="67"/>
  <c r="F34" i="15"/>
  <c r="F62" i="15" s="1"/>
  <c r="BL13" i="3"/>
  <c r="J56" i="9"/>
  <c r="J57" i="9" s="1"/>
  <c r="J59" i="9" s="1"/>
  <c r="J61" i="9" s="1"/>
  <c r="A24" i="51"/>
  <c r="B18" i="72"/>
  <c r="U29" i="34"/>
  <c r="E32" i="6"/>
  <c r="G1" i="68"/>
  <c r="K1" i="12"/>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W23" i="40"/>
  <c r="U32" i="40"/>
  <c r="S37" i="40"/>
  <c r="AB28" i="40"/>
  <c r="W28" i="40"/>
  <c r="W34" i="40"/>
  <c r="W27" i="40"/>
  <c r="S36" i="40"/>
  <c r="W37" i="40"/>
  <c r="AC14" i="40"/>
  <c r="S13" i="40"/>
  <c r="S33" i="40"/>
  <c r="AA15" i="40"/>
  <c r="U11" i="40"/>
  <c r="S31" i="40"/>
  <c r="AB13" i="40"/>
  <c r="U15" i="40"/>
  <c r="U8" i="40"/>
  <c r="S8" i="40"/>
  <c r="AA13" i="39"/>
  <c r="S13" i="39"/>
  <c r="U11" i="39"/>
  <c r="AA45" i="39"/>
  <c r="U38" i="39"/>
  <c r="S8" i="39"/>
  <c r="U32" i="36"/>
  <c r="W29" i="36"/>
  <c r="AC20" i="36"/>
  <c r="AB28" i="36"/>
  <c r="AA13" i="36"/>
  <c r="W9" i="36"/>
  <c r="W22" i="36"/>
  <c r="S9" i="36"/>
  <c r="AB20" i="35"/>
  <c r="U25" i="35"/>
  <c r="S24" i="35"/>
  <c r="AA16" i="35"/>
  <c r="AA35" i="37"/>
  <c r="S27" i="37"/>
  <c r="S28" i="37"/>
  <c r="S40" i="37"/>
  <c r="U38" i="37"/>
  <c r="AC34" i="37"/>
  <c r="AB35" i="37"/>
  <c r="AA31" i="37"/>
  <c r="U8" i="37"/>
  <c r="AA40" i="34"/>
  <c r="AB40" i="34"/>
  <c r="U19" i="34"/>
  <c r="W19" i="34"/>
  <c r="AB33" i="34"/>
  <c r="AA30" i="34"/>
  <c r="AB45" i="34"/>
  <c r="AB36" i="34"/>
  <c r="W33" i="34"/>
  <c r="AC14" i="34"/>
  <c r="AC32" i="34"/>
  <c r="AC29" i="34"/>
  <c r="W29" i="34"/>
  <c r="S32" i="34"/>
  <c r="AA32" i="34"/>
  <c r="S37" i="34"/>
  <c r="U38" i="34"/>
  <c r="AC40" i="34"/>
  <c r="W40" i="34"/>
  <c r="AA19" i="34"/>
  <c r="S19" i="34"/>
  <c r="AA8" i="34"/>
  <c r="S8" i="34"/>
  <c r="S46" i="34"/>
  <c r="AA46" i="34"/>
  <c r="U14" i="34"/>
  <c r="AB14" i="34"/>
  <c r="W23" i="34"/>
  <c r="AC23" i="34"/>
  <c r="AC35" i="34"/>
  <c r="W35" i="34"/>
  <c r="U12" i="34"/>
  <c r="AB12" i="34"/>
  <c r="AB28" i="33"/>
  <c r="AC37" i="33"/>
  <c r="W46" i="33"/>
  <c r="U39" i="33"/>
  <c r="U38" i="33"/>
  <c r="S33" i="33"/>
  <c r="AB34" i="33"/>
  <c r="U44" i="33"/>
  <c r="S30" i="33"/>
  <c r="AA30" i="33"/>
  <c r="AC30" i="33"/>
  <c r="W30" i="33"/>
  <c r="S31" i="33"/>
  <c r="W13" i="33"/>
  <c r="AC13" i="33"/>
  <c r="U15" i="33"/>
  <c r="AC28" i="33"/>
  <c r="S28" i="33"/>
  <c r="W8" i="33"/>
  <c r="AB42" i="21"/>
  <c r="U28" i="21"/>
  <c r="S45" i="21"/>
  <c r="I101" i="21"/>
  <c r="J101" i="21" s="1"/>
  <c r="K101" i="21" s="1"/>
  <c r="L101" i="21" s="1"/>
  <c r="M101" i="21" s="1"/>
  <c r="F33" i="21"/>
  <c r="AA33" i="21" s="1"/>
  <c r="J33" i="21"/>
  <c r="AC33" i="21" s="1"/>
  <c r="H33" i="21"/>
  <c r="AB33" i="21" s="1"/>
  <c r="F37" i="21"/>
  <c r="AA37" i="21" s="1"/>
  <c r="AB46" i="21"/>
  <c r="U40" i="21"/>
  <c r="AB31" i="21"/>
  <c r="U31" i="21"/>
  <c r="U13" i="21"/>
  <c r="AB13" i="21"/>
  <c r="J37" i="21"/>
  <c r="W37" i="21" s="1"/>
  <c r="H15" i="21"/>
  <c r="J17" i="21"/>
  <c r="AC17" i="21" s="1"/>
  <c r="W39" i="21"/>
  <c r="W30" i="21"/>
  <c r="S46" i="21"/>
  <c r="H45" i="21"/>
  <c r="U45" i="21"/>
  <c r="F29" i="21"/>
  <c r="AA29" i="21" s="1"/>
  <c r="S29" i="21"/>
  <c r="F13" i="21"/>
  <c r="AA13" i="21" s="1"/>
  <c r="AC38" i="21"/>
  <c r="H32" i="21"/>
  <c r="H9" i="21"/>
  <c r="AB9" i="21" s="1"/>
  <c r="J9" i="21"/>
  <c r="AC9" i="21" s="1"/>
  <c r="J32" i="21"/>
  <c r="W32" i="21" s="1"/>
  <c r="F32" i="21"/>
  <c r="W29" i="21"/>
  <c r="K141" i="21"/>
  <c r="K144" i="21"/>
  <c r="K143" i="21"/>
  <c r="AB25" i="21"/>
  <c r="AB44" i="21"/>
  <c r="W13" i="21"/>
  <c r="W42" i="21"/>
  <c r="AC45" i="21"/>
  <c r="F10" i="21"/>
  <c r="AA10" i="21" s="1"/>
  <c r="K145" i="21"/>
  <c r="W31" i="21"/>
  <c r="AB29" i="21"/>
  <c r="W12" i="21"/>
  <c r="AB36" i="21"/>
  <c r="W30" i="40"/>
  <c r="C19" i="39"/>
  <c r="C15" i="40"/>
  <c r="C17" i="40"/>
  <c r="C23" i="40"/>
  <c r="C21" i="40"/>
  <c r="U30" i="40"/>
  <c r="B56" i="43"/>
  <c r="B67" i="43"/>
  <c r="B51" i="43"/>
  <c r="B54" i="43"/>
  <c r="B58" i="43"/>
  <c r="B62" i="43"/>
  <c r="B69" i="43"/>
  <c r="D23" i="15"/>
  <c r="D22" i="15"/>
  <c r="E4" i="4"/>
  <c r="B5" i="62" s="1"/>
  <c r="B73" i="72" s="1"/>
  <c r="C4" i="4"/>
  <c r="F30" i="68"/>
  <c r="F48" i="68" s="1"/>
  <c r="AA39" i="40"/>
  <c r="S39" i="40"/>
  <c r="S12" i="33"/>
  <c r="AA12" i="33"/>
  <c r="J32" i="39"/>
  <c r="H32" i="39"/>
  <c r="AB32" i="39" s="1"/>
  <c r="AA32" i="39"/>
  <c r="S32" i="39"/>
  <c r="AC17" i="37"/>
  <c r="S17" i="37"/>
  <c r="J19" i="37"/>
  <c r="W19" i="37" s="1"/>
  <c r="G75" i="37"/>
  <c r="S19" i="37"/>
  <c r="AA19" i="37"/>
  <c r="AA23" i="37"/>
  <c r="J23" i="37"/>
  <c r="J10" i="37"/>
  <c r="W10" i="37" s="1"/>
  <c r="G63" i="37"/>
  <c r="H11" i="37"/>
  <c r="AB11" i="37" s="1"/>
  <c r="H11" i="34"/>
  <c r="U11" i="34" s="1"/>
  <c r="J10" i="34"/>
  <c r="AC10" i="34" s="1"/>
  <c r="AB41" i="33"/>
  <c r="W35" i="33"/>
  <c r="AC35" i="33"/>
  <c r="H111" i="33"/>
  <c r="I111" i="33" s="1"/>
  <c r="J111" i="33"/>
  <c r="K111" i="33"/>
  <c r="L111" i="33" s="1"/>
  <c r="M111" i="33" s="1"/>
  <c r="J36" i="33"/>
  <c r="W36" i="33" s="1"/>
  <c r="H36" i="33"/>
  <c r="U36" i="33" s="1"/>
  <c r="S36" i="33"/>
  <c r="W32" i="33"/>
  <c r="U27" i="33"/>
  <c r="AB27" i="33"/>
  <c r="H91" i="33"/>
  <c r="I91" i="33" s="1"/>
  <c r="J91" i="33" s="1"/>
  <c r="K91" i="33" s="1"/>
  <c r="L91" i="33" s="1"/>
  <c r="M91" i="33" s="1"/>
  <c r="J27" i="33"/>
  <c r="AB25" i="33"/>
  <c r="S25" i="33"/>
  <c r="AA25" i="33"/>
  <c r="G87" i="33"/>
  <c r="H87" i="33"/>
  <c r="I87" i="33"/>
  <c r="J87" i="33"/>
  <c r="K87" i="33" s="1"/>
  <c r="L87" i="33" s="1"/>
  <c r="M87" i="33" s="1"/>
  <c r="J25" i="33"/>
  <c r="U23" i="33"/>
  <c r="F23" i="33"/>
  <c r="G85" i="33"/>
  <c r="AC23" i="33"/>
  <c r="W23" i="33"/>
  <c r="AA19" i="33"/>
  <c r="H19" i="33"/>
  <c r="G79" i="33"/>
  <c r="H17" i="33"/>
  <c r="U17" i="33" s="1"/>
  <c r="F17" i="33"/>
  <c r="S17" i="33" s="1"/>
  <c r="J23" i="21"/>
  <c r="AC23" i="21" s="1"/>
  <c r="F85" i="21"/>
  <c r="G85" i="21" s="1"/>
  <c r="H23" i="21"/>
  <c r="AB23" i="21" s="1"/>
  <c r="S13" i="21"/>
  <c r="AP7" i="1"/>
  <c r="AB45" i="21"/>
  <c r="AA32" i="21"/>
  <c r="S32" i="21"/>
  <c r="AB32" i="21"/>
  <c r="U32" i="21"/>
  <c r="U32" i="39"/>
  <c r="AC32" i="39"/>
  <c r="W32" i="39"/>
  <c r="W23" i="37"/>
  <c r="AC23" i="37"/>
  <c r="H63" i="37"/>
  <c r="I63" i="37"/>
  <c r="J63" i="37"/>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AB17" i="33"/>
  <c r="H109" i="9"/>
  <c r="M49" i="9" s="1"/>
  <c r="H112" i="9"/>
  <c r="D21" i="53"/>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76" i="67"/>
  <c r="M6" i="15"/>
  <c r="E10" i="76"/>
  <c r="J15" i="15"/>
  <c r="M22" i="15"/>
  <c r="F20" i="31"/>
  <c r="F16" i="15"/>
  <c r="F13" i="15"/>
  <c r="E12" i="76"/>
  <c r="M29" i="67"/>
  <c r="F7" i="73"/>
  <c r="F9" i="15"/>
  <c r="F6" i="15"/>
  <c r="B13" i="76"/>
  <c r="D34" i="9"/>
  <c r="B11" i="76"/>
  <c r="F43" i="15"/>
  <c r="M9" i="15"/>
  <c r="F26" i="15"/>
  <c r="F26" i="67"/>
  <c r="B7" i="76"/>
  <c r="M8" i="15"/>
  <c r="M26" i="67"/>
  <c r="B12" i="76"/>
  <c r="M22" i="67"/>
  <c r="E11" i="76"/>
  <c r="M26" i="15"/>
  <c r="F3" i="73"/>
  <c r="M23" i="67"/>
  <c r="F8" i="15"/>
  <c r="C20" i="9"/>
  <c r="F40" i="67"/>
  <c r="M29" i="15"/>
  <c r="F42" i="15"/>
  <c r="F13" i="67"/>
  <c r="C76" i="15"/>
  <c r="L48" i="15"/>
  <c r="F42" i="67"/>
  <c r="F36" i="67"/>
  <c r="F7" i="15"/>
  <c r="M8" i="67"/>
  <c r="M23" i="15"/>
  <c r="F43" i="67"/>
  <c r="F4" i="73"/>
  <c r="D35" i="9"/>
  <c r="B10" i="76"/>
  <c r="D5" i="73"/>
  <c r="E7" i="76"/>
  <c r="F6" i="73"/>
  <c r="F9" i="67"/>
  <c r="M9" i="67"/>
  <c r="M24" i="15"/>
  <c r="L47" i="15"/>
  <c r="F7" i="67"/>
  <c r="E13" i="76"/>
  <c r="M6" i="67"/>
  <c r="J15" i="67"/>
  <c r="D6" i="73"/>
  <c r="F8" i="67"/>
  <c r="F38" i="15"/>
  <c r="C19" i="9"/>
  <c r="L48" i="67"/>
  <c r="F6" i="67"/>
  <c r="E2" i="68"/>
  <c r="M28" i="67"/>
  <c r="E8" i="76"/>
  <c r="M28" i="15"/>
  <c r="B9" i="76"/>
  <c r="F37" i="67"/>
  <c r="M24" i="67"/>
  <c r="B8" i="76"/>
  <c r="E9" i="76"/>
  <c r="AO13" i="1"/>
  <c r="F16" i="67"/>
  <c r="F40" i="15"/>
  <c r="F36" i="15"/>
  <c r="E2" i="69"/>
  <c r="F37" i="15"/>
  <c r="D19" i="9"/>
  <c r="D20" i="9"/>
  <c r="F38" i="67"/>
  <c r="L47" i="67"/>
  <c r="F5" i="73"/>
  <c r="W26" i="21" l="1"/>
  <c r="U26" i="21"/>
  <c r="S37" i="21"/>
  <c r="H27" i="21"/>
  <c r="AB27" i="21" s="1"/>
  <c r="AC27" i="21"/>
  <c r="S27" i="21"/>
  <c r="W25" i="21"/>
  <c r="AA25" i="21"/>
  <c r="AC21" i="21"/>
  <c r="U23" i="21"/>
  <c r="W23" i="21"/>
  <c r="AA23" i="21"/>
  <c r="W19" i="21"/>
  <c r="S19" i="21"/>
  <c r="AA17" i="21"/>
  <c r="W17" i="21"/>
  <c r="AC15" i="21"/>
  <c r="AA15" i="21"/>
  <c r="W9" i="21"/>
  <c r="S9" i="21"/>
  <c r="U9" i="21"/>
  <c r="S12" i="39"/>
  <c r="AA12" i="39"/>
  <c r="AA14" i="39"/>
  <c r="AB13" i="39"/>
  <c r="H12" i="39"/>
  <c r="J12" i="39"/>
  <c r="AC12" i="39" s="1"/>
  <c r="AC31" i="39"/>
  <c r="D93" i="9"/>
  <c r="F32" i="15"/>
  <c r="F60" i="15" s="1"/>
  <c r="F52" i="9"/>
  <c r="F54" i="9"/>
  <c r="F28" i="15"/>
  <c r="C28" i="15" s="1"/>
  <c r="F28" i="67"/>
  <c r="F32" i="67"/>
  <c r="F60" i="67" s="1"/>
  <c r="M18" i="15"/>
  <c r="M18" i="67"/>
  <c r="F30" i="11"/>
  <c r="C48" i="11" s="1"/>
  <c r="D68" i="9"/>
  <c r="F30" i="69"/>
  <c r="F48" i="69" s="1"/>
  <c r="F31" i="12"/>
  <c r="C31" i="12" s="1"/>
  <c r="C40" i="69"/>
  <c r="C21" i="68"/>
  <c r="E19" i="11"/>
  <c r="E19" i="68"/>
  <c r="BL17" i="3"/>
  <c r="AZ17" i="3" s="1"/>
  <c r="AC5" i="3"/>
  <c r="BL14" i="3"/>
  <c r="AZ14" i="3" s="1"/>
  <c r="G13" i="3"/>
  <c r="BA13" i="3"/>
  <c r="BL19" i="3"/>
  <c r="AZ19" i="3" s="1"/>
  <c r="BC5" i="3"/>
  <c r="BG5" i="3"/>
  <c r="BA18" i="3"/>
  <c r="BL18" i="3"/>
  <c r="BT5" i="3"/>
  <c r="G28" i="6" s="1"/>
  <c r="BM5" i="3"/>
  <c r="F29" i="6" s="1"/>
  <c r="BL15" i="3"/>
  <c r="AZ15" i="3"/>
  <c r="BH5" i="3"/>
  <c r="F28" i="6"/>
  <c r="BD5" i="3"/>
  <c r="G14" i="3"/>
  <c r="H5" i="3"/>
  <c r="U40" i="39"/>
  <c r="S42" i="39"/>
  <c r="W29" i="39"/>
  <c r="U29" i="39"/>
  <c r="S27" i="39"/>
  <c r="AB27" i="39"/>
  <c r="U25" i="39"/>
  <c r="W23" i="39"/>
  <c r="S23" i="39"/>
  <c r="S21" i="39"/>
  <c r="U21" i="39"/>
  <c r="W19" i="39"/>
  <c r="U19" i="39"/>
  <c r="S19" i="39"/>
  <c r="AC17" i="39"/>
  <c r="U42" i="39"/>
  <c r="U41" i="39"/>
  <c r="AA41" i="39"/>
  <c r="AB34" i="39"/>
  <c r="S34" i="39"/>
  <c r="S9" i="39"/>
  <c r="S11" i="39"/>
  <c r="AB8" i="39"/>
  <c r="U15" i="21"/>
  <c r="AB15" i="21"/>
  <c r="AA20" i="35"/>
  <c r="S20" i="35"/>
  <c r="H64" i="43"/>
  <c r="H67" i="43"/>
  <c r="D8" i="53"/>
  <c r="D120" i="9"/>
  <c r="W41" i="39"/>
  <c r="AC41" i="39"/>
  <c r="W25" i="35"/>
  <c r="AC25" i="35"/>
  <c r="U47" i="34"/>
  <c r="AB47" i="34"/>
  <c r="AC31" i="34"/>
  <c r="W31" i="34"/>
  <c r="AA45" i="33"/>
  <c r="S45" i="33"/>
  <c r="W14" i="21"/>
  <c r="AC14" i="21"/>
  <c r="AC43" i="34"/>
  <c r="W43" i="34"/>
  <c r="AA11" i="33"/>
  <c r="S11" i="33"/>
  <c r="AB17" i="39"/>
  <c r="U17" i="39"/>
  <c r="B72" i="43"/>
  <c r="C15" i="39"/>
  <c r="B97" i="43"/>
  <c r="B75" i="43"/>
  <c r="B65" i="43"/>
  <c r="J35" i="35"/>
  <c r="H35" i="35"/>
  <c r="BL543" i="3"/>
  <c r="AZ543" i="3"/>
  <c r="BJ5" i="3"/>
  <c r="AZ542" i="3"/>
  <c r="S39" i="39"/>
  <c r="AA39" i="39"/>
  <c r="W39" i="34"/>
  <c r="U27" i="40"/>
  <c r="AB27" i="40"/>
  <c r="AZ391" i="3"/>
  <c r="W40" i="37"/>
  <c r="W44" i="33"/>
  <c r="S26" i="36"/>
  <c r="AA26" i="36"/>
  <c r="AZ503" i="3"/>
  <c r="AZ513" i="3"/>
  <c r="AZ579" i="3"/>
  <c r="W25" i="36"/>
  <c r="AC25" i="36"/>
  <c r="W13" i="34"/>
  <c r="AC13" i="34"/>
  <c r="S29" i="37"/>
  <c r="AA29" i="37"/>
  <c r="S11" i="35"/>
  <c r="AA11" i="35"/>
  <c r="W46" i="34"/>
  <c r="AC46" i="34"/>
  <c r="U29" i="33"/>
  <c r="AB29" i="33"/>
  <c r="U14" i="21"/>
  <c r="AB14" i="21"/>
  <c r="AB37" i="33"/>
  <c r="U37" i="33"/>
  <c r="AA14" i="35"/>
  <c r="S14" i="35"/>
  <c r="AA12" i="36"/>
  <c r="S12" i="36"/>
  <c r="BA585" i="3"/>
  <c r="J44" i="21"/>
  <c r="F44" i="21"/>
  <c r="J9" i="33"/>
  <c r="H9" i="33"/>
  <c r="F9" i="33"/>
  <c r="AA9" i="33" s="1"/>
  <c r="W12" i="36"/>
  <c r="AC12" i="36"/>
  <c r="W25" i="37"/>
  <c r="AC25" i="37"/>
  <c r="U25" i="37"/>
  <c r="AB25" i="37"/>
  <c r="BL565" i="3"/>
  <c r="AZ565" i="3"/>
  <c r="AZ563" i="3"/>
  <c r="AC19" i="37"/>
  <c r="C21" i="71"/>
  <c r="D19" i="53"/>
  <c r="B38" i="72" s="1"/>
  <c r="D16" i="53"/>
  <c r="B34" i="72" s="1"/>
  <c r="AC17" i="33"/>
  <c r="S27" i="40"/>
  <c r="AA27" i="40"/>
  <c r="U20" i="36"/>
  <c r="AZ355" i="3"/>
  <c r="AC19" i="40"/>
  <c r="W19" i="40"/>
  <c r="W25" i="39"/>
  <c r="AC25" i="39"/>
  <c r="AB21" i="40"/>
  <c r="U21" i="40"/>
  <c r="AB19" i="37"/>
  <c r="U19" i="37"/>
  <c r="U31" i="40"/>
  <c r="AC32" i="37"/>
  <c r="AB24" i="35"/>
  <c r="U35" i="34"/>
  <c r="AB35" i="34"/>
  <c r="AA42" i="33"/>
  <c r="S42" i="33"/>
  <c r="AZ515" i="3"/>
  <c r="AZ525" i="3"/>
  <c r="AZ533" i="3"/>
  <c r="AZ541" i="3"/>
  <c r="AZ516" i="3"/>
  <c r="AZ568" i="3"/>
  <c r="AA14" i="40"/>
  <c r="S14" i="40"/>
  <c r="S38" i="37"/>
  <c r="AA38" i="37"/>
  <c r="AB25" i="36"/>
  <c r="U25" i="36"/>
  <c r="AC47" i="34"/>
  <c r="W47" i="34"/>
  <c r="S31" i="34"/>
  <c r="AA31" i="34"/>
  <c r="S14" i="33"/>
  <c r="AA14" i="33"/>
  <c r="AA11" i="36"/>
  <c r="S11" i="36"/>
  <c r="W31" i="33"/>
  <c r="AC31" i="33"/>
  <c r="S31" i="21"/>
  <c r="AA31" i="21"/>
  <c r="AA28" i="21"/>
  <c r="S28" i="21"/>
  <c r="AB25" i="34"/>
  <c r="U25" i="34"/>
  <c r="W20" i="35"/>
  <c r="AC20" i="35"/>
  <c r="U17" i="40"/>
  <c r="AB17" i="40"/>
  <c r="AA36" i="34"/>
  <c r="S36" i="34"/>
  <c r="AA35" i="39"/>
  <c r="S35" i="39"/>
  <c r="S26" i="21"/>
  <c r="AB12" i="21"/>
  <c r="U12" i="21"/>
  <c r="AA35" i="21"/>
  <c r="U38" i="21"/>
  <c r="AB38" i="21"/>
  <c r="J9" i="34"/>
  <c r="H9" i="34"/>
  <c r="F9" i="34"/>
  <c r="AA9" i="34" s="1"/>
  <c r="BL573" i="3"/>
  <c r="AZ573" i="3" s="1"/>
  <c r="AZ571" i="3"/>
  <c r="AB31" i="37"/>
  <c r="AA30" i="40"/>
  <c r="S30" i="40"/>
  <c r="AC11" i="39"/>
  <c r="S36" i="35"/>
  <c r="AA36" i="35"/>
  <c r="AZ559" i="3"/>
  <c r="AB17" i="21"/>
  <c r="U17" i="21"/>
  <c r="AC36" i="37"/>
  <c r="AC27" i="37"/>
  <c r="W27" i="37"/>
  <c r="U43" i="39"/>
  <c r="AB43" i="39"/>
  <c r="AA35" i="35"/>
  <c r="S35" i="35"/>
  <c r="AC13" i="35"/>
  <c r="W13" i="35"/>
  <c r="W45" i="34"/>
  <c r="AC45" i="34"/>
  <c r="S29" i="34"/>
  <c r="AA29" i="34"/>
  <c r="AB46" i="33"/>
  <c r="U46" i="33"/>
  <c r="U37" i="37"/>
  <c r="AB37" i="37"/>
  <c r="AB36" i="37"/>
  <c r="U46" i="34"/>
  <c r="AB46" i="34"/>
  <c r="U32" i="34"/>
  <c r="AB32" i="34"/>
  <c r="U30" i="34"/>
  <c r="AB30" i="34"/>
  <c r="U45" i="33"/>
  <c r="AB45" i="33"/>
  <c r="W15" i="34"/>
  <c r="AC15" i="34"/>
  <c r="AA33" i="36"/>
  <c r="S33" i="36"/>
  <c r="AC34" i="39"/>
  <c r="W34" i="39"/>
  <c r="U39" i="39"/>
  <c r="AB39" i="39"/>
  <c r="AC44" i="39"/>
  <c r="W44" i="39"/>
  <c r="AC23" i="35"/>
  <c r="W23" i="35"/>
  <c r="AA27" i="35"/>
  <c r="S27" i="35"/>
  <c r="AA40" i="39"/>
  <c r="S40" i="39"/>
  <c r="BL548" i="3"/>
  <c r="AZ548" i="3" s="1"/>
  <c r="BL585" i="3"/>
  <c r="J23" i="36"/>
  <c r="F23" i="36"/>
  <c r="H23" i="36"/>
  <c r="AB34" i="40"/>
  <c r="U34" i="40"/>
  <c r="AB38" i="40"/>
  <c r="U38" i="40"/>
  <c r="C28" i="67"/>
  <c r="W12" i="39"/>
  <c r="AC33" i="40"/>
  <c r="BN5" i="3"/>
  <c r="W9" i="39"/>
  <c r="H28" i="34"/>
  <c r="BA546" i="3"/>
  <c r="AZ546" i="3" s="1"/>
  <c r="F13" i="34"/>
  <c r="J14" i="33"/>
  <c r="U9" i="39"/>
  <c r="AC34" i="35"/>
  <c r="W34" i="35"/>
  <c r="H12" i="35"/>
  <c r="J12" i="35"/>
  <c r="W27" i="35"/>
  <c r="AC27" i="35"/>
  <c r="AB31" i="36"/>
  <c r="U31" i="36"/>
  <c r="H40" i="40"/>
  <c r="J40" i="40"/>
  <c r="F40" i="40"/>
  <c r="F36" i="39"/>
  <c r="J36" i="39"/>
  <c r="W43" i="21"/>
  <c r="U29" i="37"/>
  <c r="BP5" i="3"/>
  <c r="AA12" i="21"/>
  <c r="H33" i="40"/>
  <c r="AC12" i="34"/>
  <c r="B99" i="43"/>
  <c r="B76" i="43"/>
  <c r="AB40" i="33"/>
  <c r="U40" i="33"/>
  <c r="J26" i="33"/>
  <c r="F26" i="33"/>
  <c r="F12" i="35"/>
  <c r="B101" i="43"/>
  <c r="B79" i="43"/>
  <c r="H36" i="35"/>
  <c r="J36" i="35"/>
  <c r="G551" i="3"/>
  <c r="W31" i="35"/>
  <c r="AC31" i="35"/>
  <c r="G562" i="3"/>
  <c r="AZ400" i="3"/>
  <c r="AZ413" i="3"/>
  <c r="AZ466" i="3"/>
  <c r="H39" i="40"/>
  <c r="AZ404" i="3"/>
  <c r="AZ416" i="3"/>
  <c r="AZ421" i="3"/>
  <c r="AZ423" i="3"/>
  <c r="AZ425" i="3"/>
  <c r="AZ431" i="3"/>
  <c r="AZ444" i="3"/>
  <c r="AZ471" i="3"/>
  <c r="AZ399" i="3"/>
  <c r="AZ402" i="3"/>
  <c r="AZ403" i="3"/>
  <c r="AZ414" i="3"/>
  <c r="AZ419" i="3"/>
  <c r="AZ420" i="3"/>
  <c r="AZ424" i="3"/>
  <c r="AZ438" i="3"/>
  <c r="AZ467" i="3"/>
  <c r="AZ469" i="3"/>
  <c r="AZ470" i="3"/>
  <c r="AZ489" i="3"/>
  <c r="AZ397" i="3"/>
  <c r="AZ210" i="3"/>
  <c r="AZ274" i="3"/>
  <c r="AZ277" i="3"/>
  <c r="AZ302" i="3"/>
  <c r="AZ113" i="3"/>
  <c r="BA370" i="3"/>
  <c r="AZ370" i="3" s="1"/>
  <c r="BL385" i="3"/>
  <c r="AZ395" i="3"/>
  <c r="AZ208" i="3"/>
  <c r="AZ211" i="3"/>
  <c r="AZ228" i="3"/>
  <c r="AZ230" i="3"/>
  <c r="AZ255" i="3"/>
  <c r="AZ270" i="3"/>
  <c r="AZ272" i="3"/>
  <c r="AZ278" i="3"/>
  <c r="AZ300" i="3"/>
  <c r="AZ145" i="3"/>
  <c r="A15" i="62"/>
  <c r="B61" i="72" s="1"/>
  <c r="BL383" i="3"/>
  <c r="AZ383" i="3" s="1"/>
  <c r="BA392" i="3"/>
  <c r="AZ392" i="3" s="1"/>
  <c r="AZ220" i="3"/>
  <c r="AZ239" i="3"/>
  <c r="AZ244" i="3"/>
  <c r="AZ247" i="3"/>
  <c r="AZ264" i="3"/>
  <c r="AZ294" i="3"/>
  <c r="AZ118" i="3"/>
  <c r="AZ126" i="3"/>
  <c r="AZ134" i="3"/>
  <c r="AZ141" i="3"/>
  <c r="AZ153" i="3"/>
  <c r="AZ177" i="3"/>
  <c r="AZ385" i="3"/>
  <c r="BL194" i="3"/>
  <c r="AZ194" i="3" s="1"/>
  <c r="AZ205" i="3"/>
  <c r="BA34" i="3"/>
  <c r="AZ36" i="3"/>
  <c r="BA38" i="3"/>
  <c r="AZ38" i="3" s="1"/>
  <c r="BL43" i="3"/>
  <c r="AZ43" i="3" s="1"/>
  <c r="G53" i="3"/>
  <c r="BL63" i="3"/>
  <c r="AZ64" i="3"/>
  <c r="AZ81" i="3"/>
  <c r="AZ65" i="3"/>
  <c r="AZ76" i="3"/>
  <c r="BL189" i="3"/>
  <c r="AZ189" i="3" s="1"/>
  <c r="BL195" i="3"/>
  <c r="AZ195" i="3" s="1"/>
  <c r="G198" i="3"/>
  <c r="BL198" i="3"/>
  <c r="AZ198" i="3" s="1"/>
  <c r="BL203" i="3"/>
  <c r="AZ203" i="3" s="1"/>
  <c r="AZ23" i="3"/>
  <c r="AZ48" i="3"/>
  <c r="BL59" i="3"/>
  <c r="AZ59" i="3" s="1"/>
  <c r="AZ96" i="3"/>
  <c r="BL34" i="3"/>
  <c r="AZ44" i="3"/>
  <c r="AZ60" i="3"/>
  <c r="AZ68" i="3"/>
  <c r="BA207" i="3"/>
  <c r="AZ207" i="3" s="1"/>
  <c r="BA22" i="3"/>
  <c r="AZ22" i="3" s="1"/>
  <c r="G26" i="3"/>
  <c r="BA30" i="3"/>
  <c r="AZ30" i="3" s="1"/>
  <c r="BL39" i="3"/>
  <c r="AZ39" i="3" s="1"/>
  <c r="G43" i="3"/>
  <c r="G48" i="3"/>
  <c r="BL52" i="3"/>
  <c r="AZ52" i="3" s="1"/>
  <c r="G59" i="3"/>
  <c r="G64" i="3"/>
  <c r="BA92" i="3"/>
  <c r="AZ92" i="3" s="1"/>
  <c r="BA93" i="3"/>
  <c r="AZ93" i="3" s="1"/>
  <c r="BA94" i="3"/>
  <c r="AZ94" i="3" s="1"/>
  <c r="BA99" i="3"/>
  <c r="AZ99" i="3" s="1"/>
  <c r="BL105" i="3"/>
  <c r="AZ105" i="3" s="1"/>
  <c r="T60" i="71"/>
  <c r="D60" i="71"/>
  <c r="C55" i="71"/>
  <c r="D54" i="71"/>
  <c r="BL206" i="3"/>
  <c r="AZ206" i="3" s="1"/>
  <c r="BL21" i="3"/>
  <c r="AZ21" i="3" s="1"/>
  <c r="BA25" i="3"/>
  <c r="AZ25" i="3" s="1"/>
  <c r="BL29" i="3"/>
  <c r="AZ29" i="3" s="1"/>
  <c r="G33" i="3"/>
  <c r="G38" i="3"/>
  <c r="BA42" i="3"/>
  <c r="AZ42" i="3" s="1"/>
  <c r="BA47" i="3"/>
  <c r="AZ47" i="3" s="1"/>
  <c r="BA58" i="3"/>
  <c r="AZ58" i="3" s="1"/>
  <c r="BA63" i="3"/>
  <c r="AZ63" i="3" s="1"/>
  <c r="BL73" i="3"/>
  <c r="AZ73" i="3" s="1"/>
  <c r="BL78" i="3"/>
  <c r="AZ78" i="3" s="1"/>
  <c r="BL87" i="3"/>
  <c r="AZ87" i="3" s="1"/>
  <c r="BL91" i="3"/>
  <c r="AZ91" i="3" s="1"/>
  <c r="BL98" i="3"/>
  <c r="AZ98" i="3" s="1"/>
  <c r="BA103" i="3"/>
  <c r="AZ103" i="3" s="1"/>
  <c r="AZ104" i="3"/>
  <c r="AZ112" i="3"/>
  <c r="U18" i="35"/>
  <c r="U25" i="40"/>
  <c r="AB29" i="71"/>
  <c r="AB26" i="71"/>
  <c r="AB27" i="71"/>
  <c r="AA30" i="71"/>
  <c r="AA31" i="71"/>
  <c r="AB31" i="71"/>
  <c r="AB35" i="71"/>
  <c r="X22" i="71"/>
  <c r="X24" i="71"/>
  <c r="Y24" i="71"/>
  <c r="Z24" i="71" s="1"/>
  <c r="AA18" i="71"/>
  <c r="X18" i="71"/>
  <c r="X17" i="71"/>
  <c r="S21" i="21"/>
  <c r="U18" i="36"/>
  <c r="AB36" i="71"/>
  <c r="AB37" i="71"/>
  <c r="AA22" i="71"/>
  <c r="AB21" i="71"/>
  <c r="E23" i="71"/>
  <c r="E22" i="71" s="1"/>
  <c r="E21" i="71" s="1"/>
  <c r="E20" i="71" s="1"/>
  <c r="V24" i="71"/>
  <c r="X21" i="71"/>
  <c r="AA21" i="71"/>
  <c r="Y18" i="71"/>
  <c r="Z18" i="71" s="1"/>
  <c r="AB17" i="71"/>
  <c r="Y11" i="71"/>
  <c r="Z11" i="71" s="1"/>
  <c r="C35" i="71"/>
  <c r="D34" i="71"/>
  <c r="AA29" i="71"/>
  <c r="X29" i="71"/>
  <c r="X26" i="71"/>
  <c r="X27" i="71"/>
  <c r="AB32" i="71"/>
  <c r="Y32" i="71"/>
  <c r="Z32" i="71" s="1"/>
  <c r="Y31" i="71"/>
  <c r="Z31" i="71" s="1"/>
  <c r="Y33" i="71"/>
  <c r="Z33" i="71" s="1"/>
  <c r="AB34" i="71"/>
  <c r="Y34" i="71"/>
  <c r="Z34" i="71" s="1"/>
  <c r="Y36" i="71"/>
  <c r="Z36" i="71" s="1"/>
  <c r="F38" i="71"/>
  <c r="F39" i="71" s="1"/>
  <c r="F40" i="71" s="1"/>
  <c r="V40" i="71" s="1"/>
  <c r="Y9" i="71"/>
  <c r="Z9" i="71" s="1"/>
  <c r="Y10" i="71"/>
  <c r="Z10" i="71" s="1"/>
  <c r="Y39" i="71"/>
  <c r="Z39" i="71" s="1"/>
  <c r="AA24" i="71"/>
  <c r="Y21" i="71"/>
  <c r="Z21" i="71" s="1"/>
  <c r="AB18" i="71"/>
  <c r="AA17" i="71"/>
  <c r="D63" i="71"/>
  <c r="D28" i="71"/>
  <c r="U28" i="71" s="1"/>
  <c r="AA26" i="71"/>
  <c r="AA27" i="71"/>
  <c r="Y28" i="71"/>
  <c r="Z28" i="71" s="1"/>
  <c r="E32" i="71"/>
  <c r="U32" i="71" s="1"/>
  <c r="Y29" i="71"/>
  <c r="Z29" i="71" s="1"/>
  <c r="Y30" i="71"/>
  <c r="Z30" i="71" s="1"/>
  <c r="Y25" i="71"/>
  <c r="Z25" i="71" s="1"/>
  <c r="Y27" i="71"/>
  <c r="Z27" i="71" s="1"/>
  <c r="AB30" i="71"/>
  <c r="C43" i="71"/>
  <c r="D42" i="71"/>
  <c r="F66" i="71"/>
  <c r="Q67" i="71"/>
  <c r="AB24" i="71"/>
  <c r="AB14" i="71"/>
  <c r="X37" i="71"/>
  <c r="AA9" i="71"/>
  <c r="Y23" i="71"/>
  <c r="Z23" i="71" s="1"/>
  <c r="AA23" i="71"/>
  <c r="AA15" i="71"/>
  <c r="AB13" i="71"/>
  <c r="AA11" i="71"/>
  <c r="Y13" i="71"/>
  <c r="Z13" i="71" s="1"/>
  <c r="X11" i="71"/>
  <c r="X34" i="71"/>
  <c r="AA33" i="71"/>
  <c r="AB9" i="71"/>
  <c r="AB15" i="71"/>
  <c r="Y17" i="71"/>
  <c r="Z17" i="71" s="1"/>
  <c r="AB12" i="71"/>
  <c r="AA10" i="71"/>
  <c r="AA14" i="71"/>
  <c r="Y22" i="71"/>
  <c r="Z22" i="71" s="1"/>
  <c r="AB23" i="71"/>
  <c r="X15" i="71"/>
  <c r="AB11" i="71"/>
  <c r="AA12" i="71"/>
  <c r="Y12" i="71"/>
  <c r="Z12" i="71" s="1"/>
  <c r="Y14" i="71"/>
  <c r="Z14" i="71" s="1"/>
  <c r="X13" i="71"/>
  <c r="X9" i="71"/>
  <c r="AB10" i="71"/>
  <c r="AA13"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D3" i="73"/>
  <c r="C36" i="68"/>
  <c r="D4" i="73"/>
  <c r="C16" i="67"/>
  <c r="D9" i="68"/>
  <c r="C16" i="15"/>
  <c r="D7" i="73"/>
  <c r="U27" i="21" l="1"/>
  <c r="U12" i="39"/>
  <c r="AB12" i="39"/>
  <c r="E28" i="6"/>
  <c r="K14" i="1" s="1"/>
  <c r="F30" i="6"/>
  <c r="G29" i="6"/>
  <c r="G30" i="6" s="1"/>
  <c r="G31" i="6" s="1"/>
  <c r="AZ18" i="3"/>
  <c r="E11" i="6"/>
  <c r="E60" i="39" s="1"/>
  <c r="E13" i="6"/>
  <c r="E12" i="6"/>
  <c r="E57" i="40" s="1"/>
  <c r="E10" i="6"/>
  <c r="E14" i="6"/>
  <c r="E29" i="6"/>
  <c r="G26" i="43"/>
  <c r="N94" i="46"/>
  <c r="J26" i="43"/>
  <c r="N370" i="46"/>
  <c r="F26" i="43"/>
  <c r="E26" i="43"/>
  <c r="P6" i="1"/>
  <c r="C13" i="12" s="1"/>
  <c r="K1" i="73"/>
  <c r="E19" i="71"/>
  <c r="E18" i="71" s="1"/>
  <c r="E17" i="71" s="1"/>
  <c r="E16" i="71" s="1"/>
  <c r="V20" i="71"/>
  <c r="S36" i="39"/>
  <c r="AA36" i="39"/>
  <c r="W12" i="35"/>
  <c r="AC12" i="35"/>
  <c r="AB28" i="34"/>
  <c r="U28" i="34"/>
  <c r="AC23" i="36"/>
  <c r="W23" i="36"/>
  <c r="G5" i="3"/>
  <c r="B3" i="3" s="1"/>
  <c r="E59" i="3" s="1"/>
  <c r="W44" i="21"/>
  <c r="AC44" i="21"/>
  <c r="B15" i="71"/>
  <c r="B14" i="71" s="1"/>
  <c r="B13" i="71" s="1"/>
  <c r="B12" i="71" s="1"/>
  <c r="S16" i="71"/>
  <c r="J7" i="37"/>
  <c r="AC7" i="37" s="1"/>
  <c r="V42" i="37" s="1"/>
  <c r="I42" i="37" s="1"/>
  <c r="C44" i="71"/>
  <c r="D43" i="71"/>
  <c r="C36" i="71"/>
  <c r="D35" i="71"/>
  <c r="C56" i="71"/>
  <c r="D55" i="71"/>
  <c r="U39" i="40"/>
  <c r="AB39" i="40"/>
  <c r="AC36" i="35"/>
  <c r="W36" i="35"/>
  <c r="S12" i="35"/>
  <c r="AA12" i="35"/>
  <c r="U33" i="40"/>
  <c r="AB33" i="40"/>
  <c r="S40" i="40"/>
  <c r="AA40" i="40"/>
  <c r="U12" i="35"/>
  <c r="AB12" i="35"/>
  <c r="W14" i="33"/>
  <c r="AC14" i="33"/>
  <c r="BL5" i="3"/>
  <c r="AB9" i="33"/>
  <c r="U9" i="33"/>
  <c r="AZ585" i="3"/>
  <c r="U35" i="35"/>
  <c r="AB35" i="35"/>
  <c r="AZ34" i="3"/>
  <c r="AZ5" i="3" s="1"/>
  <c r="AB36" i="35"/>
  <c r="U36" i="35"/>
  <c r="AA26" i="33"/>
  <c r="S26" i="33"/>
  <c r="BA5" i="3"/>
  <c r="E27" i="6" s="1"/>
  <c r="K26" i="6" s="1"/>
  <c r="M26" i="6" s="1"/>
  <c r="I26" i="6" s="1"/>
  <c r="S26" i="6" s="1"/>
  <c r="W40" i="40"/>
  <c r="AC40" i="40"/>
  <c r="AA13" i="34"/>
  <c r="S13" i="34"/>
  <c r="AB23" i="36"/>
  <c r="U23" i="36"/>
  <c r="AB9" i="34"/>
  <c r="U9" i="34"/>
  <c r="C20" i="71"/>
  <c r="D21" i="71"/>
  <c r="AC9" i="33"/>
  <c r="W9" i="33"/>
  <c r="AC35" i="35"/>
  <c r="W35" i="35"/>
  <c r="D121" i="9"/>
  <c r="D7" i="52" s="1"/>
  <c r="D6" i="52"/>
  <c r="Q66" i="71"/>
  <c r="Q65" i="71"/>
  <c r="AC26" i="33"/>
  <c r="W26" i="33"/>
  <c r="AC36" i="39"/>
  <c r="W36" i="39"/>
  <c r="AB40" i="40"/>
  <c r="U40" i="40"/>
  <c r="AA23" i="36"/>
  <c r="S23" i="36"/>
  <c r="AC9" i="34"/>
  <c r="W9" i="34"/>
  <c r="AA44" i="21"/>
  <c r="S44" i="21"/>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G1" i="73"/>
  <c r="F27" i="68"/>
  <c r="C28" i="43" l="1"/>
  <c r="E16" i="6"/>
  <c r="E62" i="39"/>
  <c r="E58" i="40"/>
  <c r="E63" i="39"/>
  <c r="E65" i="39" s="1"/>
  <c r="E59" i="40"/>
  <c r="K15" i="1"/>
  <c r="K16" i="1" s="1"/>
  <c r="L19" i="6"/>
  <c r="L27" i="6" s="1"/>
  <c r="E48" i="3"/>
  <c r="E64" i="3"/>
  <c r="E33" i="3"/>
  <c r="D26" i="43"/>
  <c r="C25" i="43" s="1"/>
  <c r="B40" i="1"/>
  <c r="L36" i="43" s="1"/>
  <c r="Q36" i="43" s="1"/>
  <c r="AY6" i="3"/>
  <c r="AY115" i="3" s="1"/>
  <c r="E3" i="6"/>
  <c r="E510" i="3"/>
  <c r="E536" i="3"/>
  <c r="E148" i="3"/>
  <c r="E212" i="3"/>
  <c r="E199" i="3"/>
  <c r="E286" i="3"/>
  <c r="R6" i="3"/>
  <c r="E442" i="3"/>
  <c r="E466" i="3"/>
  <c r="E541" i="3"/>
  <c r="E430" i="3"/>
  <c r="E449" i="3"/>
  <c r="E255" i="3"/>
  <c r="I3" i="6"/>
  <c r="AP6" i="3"/>
  <c r="E165" i="3"/>
  <c r="E188" i="3"/>
  <c r="E197" i="3"/>
  <c r="E141" i="3"/>
  <c r="E393" i="3"/>
  <c r="E534" i="3"/>
  <c r="E552" i="3"/>
  <c r="E427" i="3"/>
  <c r="E469" i="3"/>
  <c r="E398" i="3"/>
  <c r="E440" i="3"/>
  <c r="E360" i="3"/>
  <c r="E566" i="3"/>
  <c r="J6" i="3"/>
  <c r="E498" i="3"/>
  <c r="E419" i="3"/>
  <c r="E483" i="3"/>
  <c r="E401" i="3"/>
  <c r="E463" i="3"/>
  <c r="E40" i="3"/>
  <c r="E25" i="3"/>
  <c r="E108" i="3"/>
  <c r="E178" i="3"/>
  <c r="E119" i="3"/>
  <c r="E202" i="3"/>
  <c r="E242" i="3"/>
  <c r="E226" i="3"/>
  <c r="E276" i="3"/>
  <c r="E346" i="3"/>
  <c r="E333" i="3"/>
  <c r="E372" i="3"/>
  <c r="L6" i="3"/>
  <c r="E60" i="3"/>
  <c r="E540" i="3"/>
  <c r="E473" i="3"/>
  <c r="E15" i="3"/>
  <c r="E455" i="3"/>
  <c r="E79"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6" i="3"/>
  <c r="E140" i="3"/>
  <c r="E167" i="3"/>
  <c r="E105" i="3"/>
  <c r="E525" i="3"/>
  <c r="E542" i="3"/>
  <c r="E543" i="3"/>
  <c r="E456" i="3"/>
  <c r="E487" i="3"/>
  <c r="E422" i="3"/>
  <c r="E451" i="3"/>
  <c r="E374" i="3"/>
  <c r="AH6" i="3"/>
  <c r="E554" i="3"/>
  <c r="E517" i="3"/>
  <c r="E435" i="3"/>
  <c r="E491" i="3"/>
  <c r="E417" i="3"/>
  <c r="E479" i="3"/>
  <c r="E56" i="3"/>
  <c r="E37" i="3"/>
  <c r="E95" i="3"/>
  <c r="E152" i="3"/>
  <c r="E132" i="3"/>
  <c r="E192" i="3"/>
  <c r="E258" i="3"/>
  <c r="E241" i="3"/>
  <c r="E292" i="3"/>
  <c r="E363" i="3"/>
  <c r="E349" i="3"/>
  <c r="E389" i="3"/>
  <c r="E544" i="3"/>
  <c r="E76" i="3"/>
  <c r="E409" i="3"/>
  <c r="E484" i="3"/>
  <c r="E425" i="3"/>
  <c r="E467" i="3"/>
  <c r="E46" i="3"/>
  <c r="E103" i="3"/>
  <c r="E160" i="3"/>
  <c r="E142" i="3"/>
  <c r="E200" i="3"/>
  <c r="E267" i="3"/>
  <c r="E249" i="3"/>
  <c r="E300" i="3"/>
  <c r="E371" i="3"/>
  <c r="E310" i="3"/>
  <c r="E492" i="3"/>
  <c r="E23" i="3"/>
  <c r="E84" i="3"/>
  <c r="E67" i="3"/>
  <c r="E144" i="3"/>
  <c r="E184" i="3"/>
  <c r="E233" i="3"/>
  <c r="E355" i="3"/>
  <c r="E381" i="3"/>
  <c r="E68" i="3"/>
  <c r="E63" i="3"/>
  <c r="E81" i="3"/>
  <c r="E118" i="3"/>
  <c r="E264" i="3"/>
  <c r="E283" i="3"/>
  <c r="E309" i="3"/>
  <c r="E513" i="3"/>
  <c r="E21" i="3"/>
  <c r="E206" i="3"/>
  <c r="E80" i="3"/>
  <c r="E158" i="3"/>
  <c r="E308" i="3"/>
  <c r="E22" i="3"/>
  <c r="E83" i="3"/>
  <c r="E205" i="3"/>
  <c r="E244" i="3"/>
  <c r="E223" i="3"/>
  <c r="E312" i="3"/>
  <c r="E493" i="3"/>
  <c r="T6" i="3"/>
  <c r="E421" i="3"/>
  <c r="E512" i="3"/>
  <c r="E416" i="3"/>
  <c r="E556" i="3"/>
  <c r="E413" i="3"/>
  <c r="E520" i="3"/>
  <c r="E436" i="3"/>
  <c r="E90" i="3"/>
  <c r="E187" i="3"/>
  <c r="E240" i="3"/>
  <c r="E348" i="3"/>
  <c r="E504" i="3"/>
  <c r="E110" i="3"/>
  <c r="E47" i="3"/>
  <c r="E138" i="3"/>
  <c r="E248" i="3"/>
  <c r="E386" i="3"/>
  <c r="E66" i="3"/>
  <c r="E250" i="3"/>
  <c r="Y6" i="3"/>
  <c r="E51" i="3"/>
  <c r="E179" i="3"/>
  <c r="E323" i="3"/>
  <c r="E329" i="3"/>
  <c r="E296" i="3"/>
  <c r="E149" i="3"/>
  <c r="E116" i="3"/>
  <c r="E369" i="3"/>
  <c r="AD6" i="3"/>
  <c r="E564" i="3"/>
  <c r="E405" i="3"/>
  <c r="E464" i="3"/>
  <c r="E507" i="3"/>
  <c r="E408" i="3"/>
  <c r="E459" i="3"/>
  <c r="E376" i="3"/>
  <c r="E497" i="3"/>
  <c r="E13" i="3"/>
  <c r="E494" i="3"/>
  <c r="E452" i="3"/>
  <c r="E470" i="3"/>
  <c r="E420" i="3"/>
  <c r="E104" i="3"/>
  <c r="E41" i="3"/>
  <c r="E115"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32" i="3"/>
  <c r="E251" i="3"/>
  <c r="E370" i="3"/>
  <c r="AF6" i="3"/>
  <c r="E102" i="3"/>
  <c r="E113" i="3"/>
  <c r="E287" i="3"/>
  <c r="E326" i="3"/>
  <c r="E486" i="3"/>
  <c r="E490" i="3"/>
  <c r="E500" i="3"/>
  <c r="E460" i="3"/>
  <c r="E39" i="3"/>
  <c r="E131" i="3"/>
  <c r="E155" i="3"/>
  <c r="E259" i="3"/>
  <c r="E378" i="3"/>
  <c r="E58" i="3"/>
  <c r="E488" i="3"/>
  <c r="E446" i="3"/>
  <c r="E65" i="3"/>
  <c r="E195" i="3"/>
  <c r="E209" i="3"/>
  <c r="E307" i="3"/>
  <c r="E354" i="3"/>
  <c r="E24" i="3"/>
  <c r="E127" i="3"/>
  <c r="E341" i="3"/>
  <c r="E19" i="3"/>
  <c r="E222" i="3"/>
  <c r="E82" i="3"/>
  <c r="E173" i="3"/>
  <c r="E582" i="3"/>
  <c r="E57" i="3"/>
  <c r="E297" i="3"/>
  <c r="E375" i="3"/>
  <c r="E462" i="3"/>
  <c r="E98" i="3"/>
  <c r="E163" i="3"/>
  <c r="E266" i="3"/>
  <c r="E584" i="3"/>
  <c r="E87" i="3"/>
  <c r="E284" i="3"/>
  <c r="E154" i="3"/>
  <c r="E373" i="3"/>
  <c r="E50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25" i="3"/>
  <c r="E553" i="3"/>
  <c r="E282" i="3"/>
  <c r="N6" i="3"/>
  <c r="E516" i="3"/>
  <c r="E569" i="3"/>
  <c r="E229" i="3"/>
  <c r="E358" i="3"/>
  <c r="E551" i="3"/>
  <c r="E407" i="3"/>
  <c r="E294" i="3"/>
  <c r="E130" i="3"/>
  <c r="E395" i="3"/>
  <c r="E260" i="3"/>
  <c r="E290" i="3"/>
  <c r="E382" i="3"/>
  <c r="E293" i="3"/>
  <c r="E336" i="3"/>
  <c r="E52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366" i="3"/>
  <c r="E239" i="3"/>
  <c r="E396" i="3"/>
  <c r="E151" i="3"/>
  <c r="V6" i="3"/>
  <c r="E320" i="3"/>
  <c r="E230" i="3"/>
  <c r="E415" i="3"/>
  <c r="E550" i="3"/>
  <c r="E61" i="3"/>
  <c r="E578" i="3"/>
  <c r="E583" i="3"/>
  <c r="E49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75" i="3"/>
  <c r="E53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59" i="3"/>
  <c r="E114" i="3"/>
  <c r="E117" i="3"/>
  <c r="E245" i="3"/>
  <c r="E518" i="3"/>
  <c r="D36" i="71"/>
  <c r="T36" i="71"/>
  <c r="T49" i="34"/>
  <c r="G49" i="34" s="1"/>
  <c r="C19" i="71"/>
  <c r="T20" i="71"/>
  <c r="D20" i="71"/>
  <c r="U20" i="71" s="1"/>
  <c r="E38" i="3"/>
  <c r="D56" i="71"/>
  <c r="T56" i="71"/>
  <c r="D44" i="71"/>
  <c r="T44" i="71"/>
  <c r="B11" i="71"/>
  <c r="B10" i="71" s="1"/>
  <c r="B9" i="71" s="1"/>
  <c r="B8" i="71" s="1"/>
  <c r="B7" i="71" s="1"/>
  <c r="B6" i="71" s="1"/>
  <c r="B5" i="71" s="1"/>
  <c r="S12" i="71"/>
  <c r="E198" i="3"/>
  <c r="E15" i="71"/>
  <c r="E14" i="71" s="1"/>
  <c r="E13" i="71" s="1"/>
  <c r="E12" i="71" s="1"/>
  <c r="V16" i="71"/>
  <c r="E43" i="3"/>
  <c r="E26"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279" i="3"/>
  <c r="AY524" i="3"/>
  <c r="AY195"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15"/>
  <c r="M27" i="67"/>
  <c r="C33" i="43" l="1"/>
  <c r="C7" i="68" s="1"/>
  <c r="AY450" i="3"/>
  <c r="AY287" i="3"/>
  <c r="AY334" i="3"/>
  <c r="AY293" i="3"/>
  <c r="AY391" i="3"/>
  <c r="AY258" i="3"/>
  <c r="AY554" i="3"/>
  <c r="AY415" i="3"/>
  <c r="AY346" i="3"/>
  <c r="AY116" i="3"/>
  <c r="AY228" i="3"/>
  <c r="AY547" i="3"/>
  <c r="AY337" i="3"/>
  <c r="AY440" i="3"/>
  <c r="AY218" i="3"/>
  <c r="AY128" i="3"/>
  <c r="AY249" i="3"/>
  <c r="AY439" i="3"/>
  <c r="AY48" i="3"/>
  <c r="AY373" i="3"/>
  <c r="AY31" i="3"/>
  <c r="AY211" i="3"/>
  <c r="BF6" i="3"/>
  <c r="AY294" i="3"/>
  <c r="AY363" i="3"/>
  <c r="AY248" i="3"/>
  <c r="AY21" i="3"/>
  <c r="AY120" i="3"/>
  <c r="AY586" i="3"/>
  <c r="AY55" i="3"/>
  <c r="AY192" i="3"/>
  <c r="AY471" i="3"/>
  <c r="AY494" i="3"/>
  <c r="AY173" i="3"/>
  <c r="AY532" i="3"/>
  <c r="AY182" i="3"/>
  <c r="AY488" i="3"/>
  <c r="AY28" i="3"/>
  <c r="AY303" i="3"/>
  <c r="AY400" i="3"/>
  <c r="AY493" i="3"/>
  <c r="AY322" i="3"/>
  <c r="AY530" i="3"/>
  <c r="AY448" i="3"/>
  <c r="AY558" i="3"/>
  <c r="AY578" i="3"/>
  <c r="AY364" i="3"/>
  <c r="AY419" i="3"/>
  <c r="AY540" i="3"/>
  <c r="AY454" i="3"/>
  <c r="AY562" i="3"/>
  <c r="AY290" i="3"/>
  <c r="BK6" i="3"/>
  <c r="AY152"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80" i="3"/>
  <c r="AY181" i="3"/>
  <c r="AY270" i="3"/>
  <c r="AY20" i="3"/>
  <c r="AY436" i="3"/>
  <c r="AY455" i="3"/>
  <c r="AY49" i="3"/>
  <c r="AY527" i="3"/>
  <c r="AY340" i="3"/>
  <c r="AY40" i="3"/>
  <c r="AY271" i="3"/>
  <c r="AY53" i="3"/>
  <c r="AY481" i="3"/>
  <c r="AY90" i="3"/>
  <c r="BQ6" i="3"/>
  <c r="AY348" i="3"/>
  <c r="AY166" i="3"/>
  <c r="AY397" i="3"/>
  <c r="AY133" i="3"/>
  <c r="AY61" i="3"/>
  <c r="AY420" i="3"/>
  <c r="AY26" i="3"/>
  <c r="AY261" i="3"/>
  <c r="AY225"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35" i="3"/>
  <c r="AY323" i="3"/>
  <c r="AY550" i="3"/>
  <c r="AY205" i="3"/>
  <c r="AY235" i="3"/>
  <c r="AY461" i="3"/>
  <c r="AY399" i="3"/>
  <c r="AY537" i="3"/>
  <c r="AY110" i="3"/>
  <c r="AY140" i="3"/>
  <c r="AY482" i="3"/>
  <c r="AY528" i="3"/>
  <c r="AY22" i="3"/>
  <c r="AY288" i="3"/>
  <c r="AY339" i="3"/>
  <c r="AY413" i="3"/>
  <c r="AY64" i="3"/>
  <c r="AY361" i="3"/>
  <c r="AY479" i="3"/>
  <c r="AY402" i="3"/>
  <c r="AY522" i="3"/>
  <c r="BP6" i="3"/>
  <c r="AY19" i="3"/>
  <c r="AY265" i="3"/>
  <c r="AY315" i="3"/>
  <c r="AY500" i="3"/>
  <c r="AY143" i="3"/>
  <c r="AY386" i="3"/>
  <c r="AY443" i="3"/>
  <c r="BT6"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1" i="6" s="1"/>
  <c r="AY509" i="3"/>
  <c r="AY531" i="3"/>
  <c r="AY94" i="3"/>
  <c r="AY167" i="3"/>
  <c r="AY280" i="3"/>
  <c r="AY221" i="3"/>
  <c r="AY331" i="3"/>
  <c r="AY466" i="3"/>
  <c r="AY405" i="3"/>
  <c r="AY512" i="3"/>
  <c r="AY86" i="3"/>
  <c r="AY27" i="3"/>
  <c r="AY159" i="3"/>
  <c r="AY273" i="3"/>
  <c r="AY213" i="3"/>
  <c r="AY459" i="3"/>
  <c r="AY504" i="3"/>
  <c r="AY321" i="3"/>
  <c r="AY216" i="3"/>
  <c r="AY113" i="3"/>
  <c r="AY71"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324" i="3"/>
  <c r="AY29" i="3"/>
  <c r="AY255" i="3"/>
  <c r="AY84" i="3"/>
  <c r="AY478" i="3"/>
  <c r="AY489" i="3"/>
  <c r="AY112" i="3"/>
  <c r="BN6" i="3"/>
  <c r="AY325" i="3"/>
  <c r="AY93" i="3"/>
  <c r="AY302" i="3"/>
  <c r="AY85" i="3"/>
  <c r="AY390" i="3"/>
  <c r="AY98" i="3"/>
  <c r="AY427" i="3"/>
  <c r="AY349" i="3"/>
  <c r="AY24" i="3"/>
  <c r="AY214" i="3"/>
  <c r="AY138" i="3"/>
  <c r="AY108" i="3"/>
  <c r="AY465" i="3"/>
  <c r="AY409" i="3"/>
  <c r="AY74" i="3"/>
  <c r="AY253" i="3"/>
  <c r="AY144"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425" i="3"/>
  <c r="AY495" i="3"/>
  <c r="AY462" i="3"/>
  <c r="AY242" i="3"/>
  <c r="AY109" i="3"/>
  <c r="AY247" i="3"/>
  <c r="AY190" i="3"/>
  <c r="AY533" i="3"/>
  <c r="AY372" i="3"/>
  <c r="AY473" i="3"/>
  <c r="AY50" i="3"/>
  <c r="AY276" i="3"/>
  <c r="AY66" i="3"/>
  <c r="H6" i="3"/>
  <c r="AC6" i="3"/>
  <c r="N36" i="43"/>
  <c r="F22" i="11"/>
  <c r="C24" i="11" s="1"/>
  <c r="D116" i="43"/>
  <c r="F24" i="67"/>
  <c r="C24" i="67" s="1"/>
  <c r="M36" i="43"/>
  <c r="P36" i="43"/>
  <c r="F24" i="15"/>
  <c r="C24" i="15" s="1"/>
  <c r="F22" i="69"/>
  <c r="F41" i="69" s="1"/>
  <c r="O36" i="43"/>
  <c r="L37" i="43"/>
  <c r="O37" i="43" s="1"/>
  <c r="F22" i="68"/>
  <c r="F41" i="68" s="1"/>
  <c r="F25" i="12"/>
  <c r="C26" i="12" s="1"/>
  <c r="D25" i="12" s="1"/>
  <c r="C18" i="71"/>
  <c r="D19" i="71"/>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C17" i="67"/>
  <c r="D10" i="68"/>
  <c r="C17" i="15"/>
  <c r="C14" i="67"/>
  <c r="D6" i="6" l="1"/>
  <c r="M19" i="9"/>
  <c r="C118" i="9" s="1"/>
  <c r="B2" i="74" s="1"/>
  <c r="D30" i="6"/>
  <c r="D5" i="6"/>
  <c r="D22" i="6"/>
  <c r="H24" i="6"/>
  <c r="D13" i="6"/>
  <c r="D23" i="6"/>
  <c r="H21" i="6"/>
  <c r="L19" i="9"/>
  <c r="C21" i="9" s="1"/>
  <c r="D14" i="6"/>
  <c r="D20" i="6"/>
  <c r="D15" i="6"/>
  <c r="H26" i="6"/>
  <c r="D11" i="6"/>
  <c r="C18" i="4"/>
  <c r="H22" i="6"/>
  <c r="R22" i="6" s="1"/>
  <c r="R9" i="1" s="1"/>
  <c r="D10" i="6"/>
  <c r="D8" i="6"/>
  <c r="D24" i="6"/>
  <c r="D25" i="6"/>
  <c r="D27" i="6" s="1"/>
  <c r="D31" i="6" s="1"/>
  <c r="E61" i="40"/>
  <c r="D12" i="6"/>
  <c r="D19" i="6"/>
  <c r="H25" i="6"/>
  <c r="R25" i="6" s="1"/>
  <c r="R12" i="1" s="1"/>
  <c r="D9" i="6"/>
  <c r="D26" i="6"/>
  <c r="C26" i="11"/>
  <c r="D22" i="11" s="1"/>
  <c r="C25" i="11"/>
  <c r="C44" i="11"/>
  <c r="D41" i="11" s="1"/>
  <c r="E6" i="3"/>
  <c r="C23" i="11"/>
  <c r="C44" i="69"/>
  <c r="D41" i="69" s="1"/>
  <c r="C26" i="69"/>
  <c r="D22" i="69" s="1"/>
  <c r="C26" i="68"/>
  <c r="D22" i="68" s="1"/>
  <c r="Q37" i="43"/>
  <c r="M37" i="43"/>
  <c r="C44" i="68"/>
  <c r="D41" i="68" s="1"/>
  <c r="N37" i="43"/>
  <c r="P37" i="43"/>
  <c r="C17" i="71"/>
  <c r="D18"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C15" i="12"/>
  <c r="C12" i="12"/>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C34" i="68"/>
  <c r="B6" i="76"/>
  <c r="R26" i="6" l="1"/>
  <c r="R24" i="6"/>
  <c r="R11" i="1" s="1"/>
  <c r="C22" i="11"/>
  <c r="C31" i="11" s="1"/>
  <c r="G21" i="9"/>
  <c r="D21" i="9"/>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F35" i="15"/>
  <c r="M21" i="67"/>
  <c r="M21" i="15"/>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F6" i="82" s="1"/>
  <c r="G6" i="82" s="1"/>
  <c r="E52" i="21"/>
  <c r="F52" i="21" s="1"/>
  <c r="E53" i="21"/>
  <c r="F53" i="21" s="1"/>
  <c r="G42" i="35"/>
  <c r="H42" i="35" s="1"/>
  <c r="I53" i="21"/>
  <c r="J53" i="21" s="1"/>
  <c r="K65" i="40"/>
  <c r="L63" i="40"/>
  <c r="I42" i="35"/>
  <c r="J42" i="35" s="1"/>
  <c r="B3" i="68"/>
  <c r="F5" i="82" l="1"/>
  <c r="G5" i="82" s="1"/>
  <c r="D14" i="74" s="1"/>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S7" i="39"/>
  <c r="AA7" i="39"/>
  <c r="R47" i="39" s="1"/>
  <c r="O63" i="40"/>
  <c r="O65" i="40" s="1"/>
  <c r="N65" i="40"/>
  <c r="D2" i="35"/>
  <c r="D2" i="34"/>
  <c r="D2" i="37"/>
  <c r="D2" i="36"/>
  <c r="L51" i="15"/>
  <c r="C9" i="71" l="1"/>
  <c r="D10"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7" i="1"/>
  <c r="AO12" i="1"/>
  <c r="AO9" i="1"/>
  <c r="AO10" i="1"/>
  <c r="AO11" i="1"/>
  <c r="AO8" i="1"/>
  <c r="AO6" i="1"/>
  <c r="R48" i="39" l="1"/>
  <c r="C48" i="39" s="1"/>
  <c r="C8" i="71"/>
  <c r="D9" i="7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D8" i="71"/>
  <c r="C7"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D7" i="7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7" i="72" l="1"/>
  <c r="B20" i="72"/>
  <c r="C104" i="9"/>
  <c r="H4" i="52"/>
  <c r="C86" i="9"/>
  <c r="B30" i="72"/>
  <c r="M55" i="9"/>
  <c r="C73" i="9"/>
  <c r="N61" i="9"/>
  <c r="N60" i="9"/>
  <c r="C6" i="74"/>
  <c r="M48" i="9"/>
  <c r="E4" i="52"/>
  <c r="B48" i="72"/>
  <c r="B21" i="72"/>
  <c r="D9" i="52"/>
  <c r="N58" i="9"/>
  <c r="N59" i="9"/>
  <c r="P57" i="9"/>
  <c r="B52" i="72"/>
  <c r="D13" i="53"/>
  <c r="D14" i="53"/>
  <c r="B32" i="72"/>
  <c r="H108" i="9"/>
  <c r="D15" i="53"/>
  <c r="B31" i="72"/>
  <c r="F119" i="9"/>
  <c r="F5" i="52"/>
  <c r="B53" i="72"/>
  <c r="D4" i="52"/>
  <c r="E97" i="9"/>
  <c r="M53" i="9"/>
  <c r="N57" i="9"/>
  <c r="D53" i="9"/>
  <c r="C93" i="9"/>
  <c r="C78" i="9"/>
  <c r="D52" i="9"/>
  <c r="D55" i="9"/>
  <c r="E80" i="9"/>
  <c r="E81" i="9"/>
  <c r="G4" i="52"/>
  <c r="I4" i="52"/>
  <c r="C105" i="9"/>
  <c r="D56" i="9"/>
  <c r="M54" i="9"/>
  <c r="G118" i="9"/>
  <c r="F118" i="9"/>
  <c r="F4" i="52"/>
  <c r="B51" i="72"/>
  <c r="D59" i="9"/>
  <c r="E96" i="9"/>
  <c r="C96" i="9"/>
  <c r="D5" i="53"/>
  <c r="D6" i="53"/>
  <c r="B22" i="72"/>
  <c r="D8" i="52"/>
  <c r="H107" i="9"/>
  <c r="D122" i="9"/>
  <c r="D123" i="9"/>
  <c r="E118" i="9"/>
  <c r="D118" i="9"/>
  <c r="D119" i="9"/>
  <c r="D5" i="52"/>
  <c r="B49" i="72"/>
  <c r="D7" i="53"/>
  <c r="H102" i="9"/>
  <c r="C5" i="74"/>
  <c r="H119" i="9"/>
  <c r="H5" i="52"/>
  <c r="C81" i="9"/>
  <c r="C72" i="9"/>
  <c r="C79" i="9"/>
  <c r="C80" i="9"/>
  <c r="C68" i="9"/>
  <c r="D54" i="9"/>
  <c r="C85" i="9"/>
  <c r="C95" i="9"/>
  <c r="C97" i="9"/>
  <c r="D58"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win10</author>
  </authors>
  <commentList>
    <comment ref="E6" authorId="0" shapeId="0">
      <text>
        <r>
          <rPr>
            <b/>
            <sz val="9"/>
            <color indexed="81"/>
            <rFont val="宋体"/>
            <family val="3"/>
            <charset val="134"/>
          </rPr>
          <t>win10:</t>
        </r>
        <r>
          <rPr>
            <sz val="9"/>
            <color indexed="81"/>
            <rFont val="宋体"/>
            <family val="3"/>
            <charset val="134"/>
          </rPr>
          <t xml:space="preserve">
水箱间</t>
        </r>
      </text>
    </comment>
    <comment ref="E18" authorId="0" shapeId="0">
      <text>
        <r>
          <rPr>
            <b/>
            <sz val="9"/>
            <color indexed="81"/>
            <rFont val="宋体"/>
            <family val="3"/>
            <charset val="134"/>
          </rPr>
          <t>win10:</t>
        </r>
        <r>
          <rPr>
            <sz val="9"/>
            <color indexed="81"/>
            <rFont val="宋体"/>
            <family val="3"/>
            <charset val="134"/>
          </rPr>
          <t xml:space="preserve">
水箱间</t>
        </r>
      </text>
    </comment>
    <comment ref="A19" authorId="0" shapeId="0">
      <text>
        <r>
          <rPr>
            <b/>
            <sz val="9"/>
            <color indexed="81"/>
            <rFont val="宋体"/>
            <family val="3"/>
            <charset val="134"/>
          </rPr>
          <t>win10:</t>
        </r>
        <r>
          <rPr>
            <sz val="9"/>
            <color indexed="81"/>
            <rFont val="宋体"/>
            <family val="3"/>
            <charset val="134"/>
          </rPr>
          <t xml:space="preserve">
测绘2号楼</t>
        </r>
      </text>
    </comment>
    <comment ref="E51" authorId="0" shapeId="0">
      <text>
        <r>
          <rPr>
            <b/>
            <sz val="9"/>
            <color indexed="81"/>
            <rFont val="宋体"/>
            <family val="3"/>
            <charset val="134"/>
          </rPr>
          <t>win10:</t>
        </r>
        <r>
          <rPr>
            <sz val="9"/>
            <color indexed="81"/>
            <rFont val="宋体"/>
            <family val="3"/>
            <charset val="134"/>
          </rPr>
          <t xml:space="preserve">
水箱间</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<sst xmlns="http://schemas.openxmlformats.org/spreadsheetml/2006/main" count="8452" uniqueCount="3761">
  <si>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</si>
  <si>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</si>
  <si>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</si>
  <si>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</si>
  <si>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</si>
  <si>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</si>
  <si>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</si>
  <si>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</si>
  <si>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</si>
  <si>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</si>
  <si>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</si>
  <si>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</si>
  <si>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</si>
  <si>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</si>
  <si>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</si>
  <si>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</si>
  <si>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</si>
  <si>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</si>
  <si>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</si>
  <si>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</si>
  <si>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</si>
  <si>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</si>
  <si>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</si>
  <si>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</si>
  <si>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</si>
  <si>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</si>
  <si>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</si>
  <si>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</si>
  <si>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</si>
  <si>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</si>
  <si>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</si>
  <si>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</si>
  <si>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</si>
  <si>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</si>
  <si>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</si>
  <si>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</si>
  <si>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</si>
  <si>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</si>
  <si>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</si>
  <si>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</si>
  <si>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</si>
  <si>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</si>
  <si>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</si>
  <si>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</si>
  <si>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</si>
  <si>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</si>
  <si>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</si>
  <si>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</si>
  <si>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</si>
  <si>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</si>
  <si>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</si>
  <si>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</si>
  <si>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</si>
  <si>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</si>
  <si>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</si>
  <si>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</si>
  <si>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</si>
  <si>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</si>
  <si>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</si>
  <si>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</si>
  <si>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</si>
  <si>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</si>
  <si>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</si>
  <si>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</si>
  <si>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</si>
  <si>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</si>
  <si>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</si>
  <si>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</si>
  <si>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</si>
  <si>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</si>
  <si>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</si>
  <si>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</si>
  <si>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</si>
  <si>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</si>
  <si>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</si>
  <si>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</si>
  <si>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</si>
  <si>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</si>
  <si>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</si>
  <si>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</si>
  <si>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</si>
  <si>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</si>
  <si>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</si>
  <si>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</si>
  <si>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</si>
  <si>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</si>
  <si>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</si>
  <si>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</si>
  <si>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</si>
  <si>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</si>
  <si>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</si>
  <si>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</si>
  <si>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</si>
  <si>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</si>
  <si>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</si>
  <si>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</si>
  <si>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</si>
  <si>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</si>
  <si>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</si>
  <si>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</si>
  <si>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</si>
  <si>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</si>
  <si>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</si>
  <si>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</si>
  <si>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</si>
  <si>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</si>
  <si>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</si>
  <si>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</si>
  <si>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</si>
  <si>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</si>
  <si>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</si>
  <si>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</si>
  <si>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</si>
  <si>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</si>
  <si>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</si>
  <si>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</si>
  <si>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</si>
  <si>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</si>
  <si>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</si>
  <si>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</si>
  <si>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</si>
  <si>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</si>
  <si>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</si>
  <si>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</si>
  <si>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</si>
  <si>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</si>
  <si>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</si>
  <si>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</si>
  <si>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</si>
  <si>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</si>
  <si>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</si>
  <si>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</si>
  <si>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</si>
  <si>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</si>
  <si>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</si>
  <si>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</si>
  <si>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</si>
  <si>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</si>
  <si>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</si>
  <si>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</si>
  <si>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</si>
  <si>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</si>
  <si>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</si>
  <si>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</si>
  <si>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</si>
  <si>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</si>
  <si>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</si>
  <si>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</si>
  <si>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</si>
  <si>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</si>
  <si>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</si>
  <si>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</si>
  <si>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</si>
  <si>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</si>
  <si>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</si>
  <si>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</si>
  <si>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</si>
  <si>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</si>
  <si>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</si>
  <si>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</si>
  <si>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</si>
  <si>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</si>
  <si>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</si>
  <si>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</si>
  <si>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</si>
  <si>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</si>
  <si>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</si>
  <si>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</si>
  <si>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</si>
  <si>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</si>
  <si>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</si>
  <si>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</si>
  <si>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</si>
  <si>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</si>
  <si>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</si>
  <si>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</si>
  <si>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</si>
  <si>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</si>
  <si>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</si>
  <si>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</si>
  <si>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</si>
  <si>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</si>
  <si>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</si>
  <si>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</si>
  <si>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</si>
  <si>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</si>
  <si>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</si>
  <si>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</si>
  <si>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</si>
  <si>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</si>
  <si>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</si>
  <si>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</si>
  <si>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</si>
  <si>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</si>
  <si>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</si>
  <si>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</si>
  <si>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</si>
  <si>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</si>
  <si>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</si>
  <si>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</si>
  <si>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</si>
  <si>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</si>
  <si>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</si>
  <si>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</si>
  <si>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</si>
  <si>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</si>
  <si>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</si>
  <si>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</si>
  <si>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</si>
  <si>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</si>
  <si>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</si>
  <si>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</si>
  <si>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</si>
  <si>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</si>
  <si>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</si>
  <si>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</si>
  <si>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</si>
  <si>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</si>
  <si>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</si>
  <si>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</si>
  <si>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</si>
  <si>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</si>
  <si>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</si>
  <si>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</si>
  <si>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</si>
  <si>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</si>
  <si>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</si>
  <si>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</si>
  <si>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</si>
  <si>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</si>
  <si>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</si>
  <si>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</si>
  <si>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</si>
  <si>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</si>
  <si>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</si>
  <si>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</si>
  <si>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</si>
  <si>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</si>
  <si>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</si>
  <si>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</si>
  <si>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</si>
  <si>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</si>
  <si>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</si>
  <si>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</si>
  <si>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</si>
  <si>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</si>
  <si>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</si>
  <si>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</si>
  <si>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</si>
  <si>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</si>
  <si>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</si>
  <si>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</si>
  <si>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</si>
  <si>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</si>
  <si>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</si>
  <si>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</si>
  <si>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</si>
  <si>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</si>
  <si>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</si>
  <si>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</si>
  <si>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</si>
  <si>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</si>
  <si>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</si>
  <si>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</si>
  <si>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</si>
  <si>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</si>
  <si>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</si>
  <si>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</si>
  <si>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</si>
  <si>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</si>
  <si>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</si>
  <si>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</si>
  <si>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</si>
  <si>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</si>
  <si>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</si>
  <si>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</si>
  <si>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</si>
  <si>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</si>
  <si>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</si>
  <si>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</si>
  <si>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</si>
  <si>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</si>
  <si>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</si>
  <si>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</si>
  <si>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</si>
  <si>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</si>
  <si>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</si>
  <si>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</si>
  <si>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</si>
  <si>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</si>
  <si>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</si>
  <si>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</si>
  <si>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</si>
  <si>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</si>
  <si>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</si>
  <si>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</si>
  <si>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</si>
  <si>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</si>
  <si>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</si>
  <si>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</si>
  <si>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</si>
  <si>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</si>
  <si>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</si>
  <si>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</si>
  <si>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</si>
  <si>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</si>
  <si>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</si>
  <si>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</si>
  <si>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</si>
  <si>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</si>
  <si>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</si>
  <si>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</si>
  <si>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</si>
  <si>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</si>
  <si>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</si>
  <si>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</si>
  <si>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</si>
  <si>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</si>
  <si>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</si>
  <si>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</si>
  <si>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</si>
  <si>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</si>
  <si>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</si>
  <si>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</si>
  <si>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</si>
  <si>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</si>
  <si>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</si>
  <si>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</si>
  <si>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</si>
  <si>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</si>
  <si>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</si>
  <si>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</si>
  <si>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</si>
  <si>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</si>
  <si>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</si>
  <si>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</si>
  <si>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</si>
  <si>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</si>
  <si>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</si>
  <si>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</si>
  <si>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</si>
  <si>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</si>
  <si>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</si>
  <si>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</si>
  <si>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</si>
  <si>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</si>
  <si>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</si>
  <si>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</si>
  <si>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</si>
  <si>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</si>
  <si>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</si>
  <si>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</si>
  <si>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</si>
  <si>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</si>
  <si>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</si>
  <si>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</si>
  <si>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</si>
  <si>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</si>
  <si>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</si>
  <si>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</si>
  <si>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</si>
  <si>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</si>
  <si>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</si>
  <si>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</si>
  <si>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</si>
  <si>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</si>
  <si>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</si>
  <si>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</si>
  <si>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</si>
  <si>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</si>
  <si>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</si>
  <si>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</si>
  <si>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</si>
  <si>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</si>
  <si>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</si>
  <si>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</si>
  <si>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</si>
  <si>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</si>
  <si>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</si>
  <si>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</si>
  <si>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</si>
  <si>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</si>
  <si>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</si>
  <si>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</si>
  <si>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</si>
  <si>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</si>
  <si>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</si>
  <si>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</si>
  <si>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</si>
  <si>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</si>
  <si>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</si>
  <si>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</si>
  <si>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</si>
  <si>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</si>
  <si>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</si>
  <si>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</si>
  <si>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</si>
  <si>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</si>
  <si>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</si>
  <si>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</si>
  <si>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</si>
  <si>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</si>
  <si>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</si>
  <si>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</si>
  <si>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</si>
  <si>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</si>
  <si>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</si>
  <si>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</si>
  <si>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</si>
  <si>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</si>
  <si>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</si>
  <si>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</si>
  <si>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</si>
  <si>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</si>
  <si>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</si>
  <si>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</si>
  <si>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</si>
  <si>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</si>
  <si>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</si>
  <si>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</si>
  <si>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</si>
  <si>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</si>
  <si>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</si>
  <si>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</si>
  <si>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</si>
  <si>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</si>
  <si>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</si>
  <si>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</si>
  <si>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</si>
  <si>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</si>
  <si>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</si>
  <si>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</si>
  <si>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</si>
  <si>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</si>
  <si>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</si>
  <si>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</si>
  <si>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</si>
  <si>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</si>
  <si>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</si>
  <si>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</si>
  <si>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</si>
  <si>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</si>
  <si>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</si>
  <si>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</si>
  <si>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</si>
  <si>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</si>
  <si>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</si>
  <si>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</si>
  <si>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</si>
  <si>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</si>
  <si>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</si>
  <si>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</si>
  <si>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</si>
  <si>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</si>
  <si>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</si>
  <si>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</si>
  <si>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</si>
  <si>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</si>
  <si>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</si>
  <si>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</si>
  <si>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</si>
  <si>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</si>
  <si>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</si>
  <si>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</si>
  <si>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</si>
  <si>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</si>
  <si>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</si>
  <si>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</si>
  <si>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</si>
  <si>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</si>
  <si>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</si>
  <si>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</si>
  <si>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</si>
  <si>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</si>
  <si>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</si>
  <si>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</si>
  <si>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</si>
  <si>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</si>
  <si>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</si>
  <si>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</si>
  <si>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</si>
  <si>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</si>
  <si>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</si>
  <si>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</si>
  <si>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</si>
  <si>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</si>
  <si>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</si>
  <si>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</si>
  <si>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</si>
  <si>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</si>
  <si>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</si>
  <si>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</si>
  <si>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</si>
  <si>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</si>
  <si>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</si>
  <si>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</si>
  <si>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</si>
  <si>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</si>
  <si>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</si>
  <si>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</si>
  <si>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</si>
  <si>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</si>
  <si>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</si>
  <si>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</si>
  <si>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</si>
  <si>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</si>
  <si>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</si>
  <si>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</si>
  <si>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</si>
  <si>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</si>
  <si>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</si>
  <si>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</si>
  <si>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</si>
  <si>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</si>
  <si>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</si>
  <si>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</si>
  <si>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</si>
  <si>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</si>
  <si>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</si>
  <si>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</si>
  <si>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</si>
  <si>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</si>
  <si>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</si>
  <si>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</si>
  <si>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</si>
  <si>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</si>
  <si>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</si>
  <si>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</si>
  <si>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</si>
  <si>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</si>
  <si>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</si>
  <si>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</si>
  <si>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</si>
  <si>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</si>
  <si>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</si>
  <si>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</si>
  <si>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</si>
  <si>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</si>
  <si>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</si>
  <si>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</si>
  <si>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</si>
  <si>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</si>
  <si>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</si>
  <si>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</si>
  <si>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</si>
  <si>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</si>
  <si>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</si>
  <si>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</si>
  <si>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</si>
  <si>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</si>
  <si>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</si>
  <si>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</si>
  <si>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</si>
  <si>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</si>
  <si>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</si>
  <si>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</si>
  <si>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</si>
  <si>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</si>
  <si>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</si>
  <si>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</si>
  <si>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</si>
  <si>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</si>
  <si>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</si>
  <si>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</si>
  <si>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</si>
  <si>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</si>
  <si>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</si>
  <si>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</si>
  <si>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</si>
  <si>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</si>
  <si>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</si>
  <si>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</si>
  <si>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</si>
  <si>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</si>
  <si>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</si>
  <si>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</si>
  <si>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</si>
  <si>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</si>
  <si>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</si>
  <si>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</si>
  <si>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</si>
  <si>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</si>
  <si>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</si>
  <si>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</si>
  <si>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</si>
  <si>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</si>
  <si>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</si>
  <si>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</si>
  <si>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</si>
  <si>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</si>
  <si>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</si>
  <si>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</si>
  <si>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</si>
  <si>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</si>
  <si>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</si>
  <si>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</si>
  <si>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</si>
  <si>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</si>
  <si>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</si>
  <si>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</si>
  <si>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</si>
  <si>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</si>
  <si>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</si>
  <si>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</si>
  <si>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</si>
  <si>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</si>
  <si>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</si>
  <si>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</si>
  <si>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</si>
  <si>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</si>
  <si>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</si>
  <si>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</si>
  <si>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</si>
  <si>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</si>
  <si>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</si>
  <si>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</si>
  <si>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</si>
  <si>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</si>
  <si>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</si>
  <si>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</si>
  <si>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</si>
  <si>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</si>
  <si>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</si>
  <si>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</si>
  <si>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</si>
  <si>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</si>
  <si>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</si>
  <si>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</si>
  <si>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</si>
  <si>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</si>
  <si>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</si>
  <si>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</si>
  <si>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</si>
  <si>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</si>
  <si>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</si>
  <si>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</si>
  <si>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</si>
  <si>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</si>
  <si>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</si>
  <si>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</si>
  <si>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</si>
  <si>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</si>
  <si>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</si>
  <si>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</si>
  <si>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</si>
  <si>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</si>
  <si>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</si>
  <si>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</si>
  <si>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</si>
  <si>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</si>
  <si>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</si>
  <si>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</si>
  <si>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</si>
  <si>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</si>
  <si>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</si>
  <si>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</si>
  <si>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</si>
  <si>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</si>
  <si>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</si>
  <si>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</si>
  <si>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</si>
  <si>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</si>
  <si>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</si>
  <si>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</si>
  <si>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</si>
  <si>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</si>
  <si>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</si>
  <si>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</si>
  <si>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</si>
  <si>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</si>
  <si>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</si>
  <si>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</si>
  <si>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</si>
  <si>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</si>
  <si>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</si>
  <si>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</si>
  <si>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</si>
  <si>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</si>
  <si>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</si>
  <si>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</si>
  <si>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</si>
  <si>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</si>
  <si>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</si>
  <si>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</si>
  <si>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</si>
  <si>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</si>
  <si>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</si>
  <si>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</si>
  <si>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</si>
  <si>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</si>
  <si>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</si>
  <si>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</si>
  <si>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</si>
  <si>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</si>
  <si>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</si>
  <si>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</si>
  <si>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</si>
  <si>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</si>
  <si>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</si>
  <si>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</si>
  <si>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</si>
  <si>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</si>
  <si>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</si>
  <si>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</si>
  <si>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</si>
  <si>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</si>
  <si>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</si>
  <si>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</si>
  <si>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</si>
  <si>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</si>
  <si>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</si>
  <si>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</si>
  <si>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</si>
  <si>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</si>
  <si>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</si>
  <si>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</si>
  <si>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</si>
  <si>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</si>
  <si>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</si>
  <si>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</si>
  <si>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</si>
  <si>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</si>
  <si>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</si>
  <si>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</si>
  <si>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</si>
  <si>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</si>
  <si>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</si>
  <si>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</si>
  <si>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</si>
  <si>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</si>
  <si>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</si>
  <si>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</si>
  <si>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</si>
  <si>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</si>
  <si>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</si>
  <si>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</si>
  <si>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</si>
  <si>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</si>
  <si>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</si>
  <si>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</si>
  <si>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</si>
  <si>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</si>
  <si>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</si>
  <si>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</si>
  <si>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</si>
  <si>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</si>
  <si>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</si>
  <si>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</si>
  <si>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</si>
  <si>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</si>
  <si>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</si>
  <si>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</si>
  <si>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</si>
  <si>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</si>
  <si>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</si>
  <si>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</si>
  <si>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</si>
  <si>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</si>
  <si>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</si>
  <si>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</si>
  <si>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</si>
  <si>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</si>
  <si>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</si>
  <si>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</si>
  <si>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</si>
  <si>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</si>
  <si>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</si>
  <si>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</si>
  <si>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</si>
  <si>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</si>
  <si>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</si>
  <si>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</si>
  <si>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</si>
  <si>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</si>
  <si>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</si>
  <si>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</si>
  <si>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</si>
  <si>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</si>
  <si>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</si>
  <si>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</si>
  <si>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</si>
  <si>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</si>
  <si>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</si>
  <si>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</si>
  <si>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</si>
  <si>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</si>
  <si>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</si>
  <si>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</si>
  <si>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</si>
  <si>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</si>
  <si>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</si>
  <si>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</si>
  <si>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</si>
  <si>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</si>
  <si>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</si>
  <si>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</si>
  <si>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</si>
  <si>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</si>
  <si>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</si>
  <si>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</si>
  <si>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</si>
  <si>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</si>
  <si>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</si>
  <si>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</si>
  <si>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</si>
  <si>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</si>
  <si>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</si>
  <si>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</si>
  <si>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</si>
  <si>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</si>
  <si>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</si>
  <si>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</si>
  <si>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</si>
  <si>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</si>
  <si>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</si>
  <si>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</si>
  <si>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</si>
  <si>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</si>
  <si>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</si>
  <si>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</si>
  <si>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</si>
  <si>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</si>
  <si>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</si>
  <si>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</si>
  <si>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</si>
  <si>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</si>
  <si>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</si>
  <si>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</si>
  <si>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</si>
  <si>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</si>
  <si>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</si>
  <si>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</si>
  <si>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</si>
  <si>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</si>
  <si>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</si>
  <si>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</si>
  <si>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</si>
  <si>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</si>
  <si>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</si>
  <si>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</si>
  <si>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</si>
  <si>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</si>
  <si>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</si>
  <si>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</si>
  <si>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</si>
  <si>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</si>
  <si>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</si>
  <si>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</si>
  <si>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</si>
  <si>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</si>
  <si>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</si>
  <si>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</si>
  <si>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</si>
  <si>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</si>
  <si>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</si>
  <si>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</si>
  <si>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</si>
  <si>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</si>
  <si>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</si>
  <si>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</si>
  <si>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</si>
  <si>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</si>
  <si>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</si>
  <si>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</si>
  <si>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</si>
  <si>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</si>
  <si>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</si>
  <si>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</si>
  <si>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</si>
  <si>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</si>
  <si>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</si>
  <si>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</si>
  <si>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</si>
  <si>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</si>
  <si>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</si>
  <si>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</si>
  <si>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</si>
  <si>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</si>
  <si>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</si>
  <si>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</si>
  <si>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</si>
  <si>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</si>
  <si>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</si>
  <si>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</si>
  <si>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</si>
  <si>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</si>
  <si>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</si>
  <si>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</si>
  <si>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</si>
  <si>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</si>
  <si>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</si>
  <si>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</si>
  <si>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</si>
  <si>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</si>
  <si>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</si>
  <si>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</si>
  <si>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</si>
  <si>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</si>
  <si>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</si>
  <si>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</si>
  <si>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</si>
  <si>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</si>
  <si>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</si>
  <si>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</si>
  <si>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</si>
  <si>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</si>
  <si>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</si>
  <si>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</si>
  <si>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</si>
  <si>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</si>
  <si>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</si>
  <si>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</si>
  <si>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</si>
  <si>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</si>
  <si>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</si>
  <si>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</si>
  <si>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</si>
  <si>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</si>
  <si>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</si>
  <si>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</si>
  <si>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</si>
  <si>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</si>
  <si>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</si>
  <si>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</si>
  <si>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</si>
  <si>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</si>
  <si>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</si>
  <si>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</si>
  <si>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</si>
  <si>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</si>
  <si>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</si>
  <si>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</si>
  <si>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</si>
  <si>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</si>
  <si>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</si>
  <si>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</si>
  <si>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</si>
  <si>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</si>
  <si>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</si>
  <si>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</si>
  <si>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</si>
  <si>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</si>
  <si>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</si>
  <si>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</si>
  <si>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</si>
  <si>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</si>
  <si>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</si>
  <si>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</si>
  <si>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</si>
  <si>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</si>
  <si>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</si>
  <si>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</si>
  <si>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</si>
  <si>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</si>
  <si>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</si>
  <si>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</si>
  <si>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</si>
  <si>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</si>
  <si>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</si>
  <si>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</si>
  <si>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</si>
  <si>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</si>
  <si>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</si>
  <si>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</si>
  <si>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</si>
  <si>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</si>
  <si>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</si>
  <si>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</si>
  <si>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</si>
  <si>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</si>
  <si>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</si>
  <si>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</si>
  <si>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</si>
  <si>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</si>
  <si>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</si>
  <si>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</si>
  <si>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</si>
  <si>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</si>
  <si>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</si>
  <si>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</si>
  <si>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</si>
  <si>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</si>
  <si>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</si>
  <si>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</si>
  <si>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</si>
  <si>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</si>
  <si>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</si>
  <si>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</si>
  <si>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</si>
  <si>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</si>
  <si>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</si>
  <si>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</si>
  <si>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</si>
  <si>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</si>
  <si>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</si>
  <si>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</si>
  <si>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</si>
  <si>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</si>
  <si>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</si>
  <si>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</si>
  <si>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</si>
  <si>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</si>
  <si>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</si>
  <si>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</si>
  <si>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</si>
  <si>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</si>
  <si>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</si>
  <si>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</si>
  <si>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</si>
  <si>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</si>
  <si>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</si>
  <si>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</si>
  <si>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</si>
  <si>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</si>
  <si>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</si>
  <si>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</si>
  <si>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</si>
  <si>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</si>
  <si>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</si>
  <si>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</si>
  <si>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</si>
  <si>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</si>
  <si>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</si>
  <si>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</si>
  <si>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</si>
  <si>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</si>
  <si>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</si>
  <si>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</si>
  <si>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</si>
  <si>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</si>
  <si>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</si>
  <si>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</si>
  <si>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</si>
  <si>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</si>
  <si>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</si>
  <si>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</si>
  <si>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</si>
  <si>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</si>
  <si>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</si>
  <si>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</si>
  <si>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</si>
  <si>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</si>
  <si>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</si>
  <si>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</si>
  <si>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</si>
  <si>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</si>
  <si>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</si>
  <si>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</si>
  <si>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</si>
  <si>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</si>
  <si>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</si>
  <si>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</si>
  <si>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</si>
  <si>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</si>
  <si>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</si>
  <si>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</si>
  <si>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</si>
  <si>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</si>
  <si>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</si>
  <si>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</si>
  <si>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</si>
  <si>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</si>
  <si>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</si>
  <si>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</si>
  <si>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</si>
  <si>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</si>
  <si>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</si>
  <si>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</si>
  <si>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</si>
  <si>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</si>
  <si>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</si>
  <si>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</si>
  <si>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</si>
  <si>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</si>
  <si>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</si>
  <si>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</si>
  <si>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</si>
  <si>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</si>
  <si>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</si>
  <si>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</si>
  <si>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</si>
  <si>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</si>
  <si>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</si>
  <si>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</si>
  <si>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</si>
  <si>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</si>
  <si>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</si>
  <si>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</si>
  <si>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</si>
  <si>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</si>
  <si>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</si>
  <si>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</si>
  <si>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</si>
  <si>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</si>
  <si>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</si>
  <si>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</si>
  <si>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</si>
  <si>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</si>
  <si>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</si>
  <si>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</si>
  <si>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</si>
  <si>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</si>
  <si>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</si>
  <si>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</si>
  <si>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</si>
  <si>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</si>
  <si>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</si>
  <si>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</si>
  <si>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</si>
  <si>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</si>
  <si>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</si>
  <si>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</si>
  <si>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</si>
  <si>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</si>
  <si>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</si>
  <si>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</si>
  <si>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</si>
  <si>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</si>
  <si>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</si>
  <si>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</si>
  <si>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</si>
  <si>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</si>
  <si>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</si>
  <si>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</si>
  <si>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</si>
  <si>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</si>
  <si>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</si>
  <si>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</si>
  <si>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</si>
  <si>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</si>
  <si>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</si>
  <si>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</si>
  <si>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</si>
  <si>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</si>
  <si>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</si>
  <si>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</si>
  <si>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</si>
  <si>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</si>
  <si>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</si>
  <si>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</si>
  <si>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</si>
  <si>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</si>
  <si>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</si>
  <si>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</si>
  <si>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</si>
  <si>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</si>
  <si>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</si>
  <si>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</si>
  <si>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</si>
  <si>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</si>
  <si>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</si>
  <si>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</si>
  <si>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</si>
  <si>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</si>
  <si>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</si>
  <si>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</si>
  <si>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</si>
  <si>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</si>
  <si>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</si>
  <si>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</si>
  <si>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</si>
  <si>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</si>
  <si>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</si>
  <si>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</si>
  <si>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</si>
  <si>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</si>
  <si>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</si>
  <si>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</si>
  <si>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</si>
  <si>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</si>
  <si>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</si>
  <si>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</si>
  <si>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</si>
  <si>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</si>
  <si>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</si>
  <si>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</si>
  <si>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</si>
  <si>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</si>
  <si>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</si>
  <si>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</si>
  <si>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</si>
  <si>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</si>
  <si>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</si>
  <si>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</si>
  <si>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</si>
  <si>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</si>
  <si>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</si>
  <si>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</si>
  <si>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</si>
  <si>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</si>
  <si>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</si>
  <si>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</si>
  <si>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</si>
  <si>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</si>
  <si>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</si>
  <si>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</si>
  <si>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</si>
  <si>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</si>
  <si>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</si>
  <si>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</si>
  <si>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</si>
  <si>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</si>
  <si>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</si>
  <si>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</si>
  <si>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</si>
  <si>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</si>
  <si>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</si>
  <si>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</si>
  <si>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</si>
  <si>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</si>
  <si>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</si>
  <si>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</si>
  <si>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</si>
  <si>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</si>
  <si>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</si>
  <si>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</si>
  <si>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</si>
  <si>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</si>
  <si>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</si>
  <si>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</si>
  <si>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</si>
  <si>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</si>
  <si>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</si>
  <si>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</si>
  <si>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</si>
  <si>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</si>
  <si>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</si>
  <si>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</si>
  <si>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</si>
  <si>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</si>
  <si>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</si>
  <si>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</si>
  <si>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</si>
  <si>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</si>
  <si>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</si>
  <si>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</si>
  <si>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</si>
  <si>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</si>
  <si>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</si>
  <si>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</si>
  <si>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</si>
  <si>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</si>
  <si>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</si>
  <si>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</si>
  <si>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</si>
  <si>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</si>
  <si>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</si>
  <si>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</si>
  <si>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</si>
  <si>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</si>
  <si>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</si>
  <si>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</si>
  <si>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</si>
  <si>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</si>
  <si>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</si>
  <si>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</si>
  <si>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</si>
  <si>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</si>
  <si>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</si>
  <si>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</si>
  <si>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</si>
  <si>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</si>
  <si>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</si>
  <si>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</si>
  <si>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</si>
  <si>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</si>
  <si>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</si>
  <si>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</si>
  <si>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</si>
  <si>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</si>
  <si>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</si>
  <si>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</si>
  <si>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</si>
  <si>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</si>
  <si>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</si>
  <si>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</si>
  <si>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</si>
  <si>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</si>
  <si>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</si>
  <si>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</si>
  <si>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</si>
  <si>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</si>
  <si>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</si>
  <si>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</si>
  <si>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</si>
  <si>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</si>
  <si>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</si>
  <si>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</si>
  <si>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</si>
  <si>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</si>
  <si>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</si>
  <si>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</si>
  <si>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</si>
  <si>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</si>
  <si>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</si>
  <si>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</si>
  <si>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</si>
  <si>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</si>
  <si>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</si>
  <si>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</si>
  <si>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</si>
  <si>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</si>
  <si>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</si>
  <si>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</si>
  <si>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</si>
  <si>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</si>
  <si>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</si>
  <si>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</si>
  <si>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</si>
  <si>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</si>
  <si>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</si>
  <si>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</si>
  <si>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</si>
  <si>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</si>
  <si>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</si>
  <si>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</si>
  <si>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</si>
  <si>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</si>
  <si>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</si>
  <si>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</si>
  <si>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</si>
  <si>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</si>
  <si>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</si>
  <si>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</si>
  <si>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</si>
  <si>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</si>
  <si>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</si>
  <si>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</si>
  <si>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</si>
  <si>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</si>
  <si>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</si>
  <si>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</si>
  <si>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</si>
  <si>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</si>
  <si>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</si>
  <si>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</si>
  <si>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</si>
  <si>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</si>
  <si>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</si>
  <si>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</si>
  <si>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</si>
  <si>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</si>
  <si>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</si>
  <si>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</si>
  <si>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</si>
  <si>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</si>
  <si>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</si>
  <si>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</si>
  <si>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</si>
  <si>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</si>
  <si>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</si>
  <si>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</si>
  <si>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</si>
  <si>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</si>
  <si>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</si>
  <si>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</si>
  <si>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</si>
  <si>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</si>
  <si>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</si>
  <si>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</si>
  <si>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</si>
  <si>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</si>
  <si>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</si>
  <si>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</si>
  <si>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</si>
  <si>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</si>
  <si>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</si>
  <si>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</si>
  <si>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</si>
  <si>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</si>
  <si>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</si>
  <si>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</si>
  <si>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</si>
  <si>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</si>
  <si>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</si>
  <si>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</si>
  <si>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</si>
  <si>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</si>
  <si>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</si>
  <si>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</si>
  <si>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</si>
  <si>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</si>
  <si>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</si>
  <si>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</si>
  <si>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</si>
  <si>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</si>
  <si>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</si>
  <si>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</si>
  <si>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</si>
  <si>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</si>
  <si>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</si>
  <si>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</si>
  <si>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</si>
  <si>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</si>
  <si>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</si>
  <si>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</si>
  <si>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</si>
  <si>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</si>
  <si>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</si>
  <si>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</si>
  <si>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</si>
  <si>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</si>
  <si>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</si>
  <si>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</si>
  <si>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</si>
  <si>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</si>
  <si>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</si>
  <si>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</si>
  <si>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</si>
  <si>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</si>
  <si>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</si>
  <si>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</si>
  <si>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</si>
  <si>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</si>
  <si>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</si>
  <si>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</si>
  <si>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</si>
  <si>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</si>
  <si>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</si>
  <si>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</si>
  <si>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</si>
  <si>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</si>
  <si>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</si>
  <si>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</si>
  <si>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</si>
  <si>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</si>
  <si>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</si>
  <si>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</si>
  <si>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</si>
  <si>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</si>
  <si>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</si>
  <si>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</si>
  <si>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</si>
  <si>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</si>
  <si>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</si>
  <si>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</si>
  <si>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</si>
  <si>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</si>
  <si>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</si>
  <si>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</si>
  <si>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</si>
  <si>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</si>
  <si>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</si>
  <si>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</si>
  <si>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</si>
  <si>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</si>
  <si>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</si>
  <si>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</si>
  <si>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</si>
  <si>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</si>
  <si>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</si>
  <si>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</si>
  <si>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</si>
  <si>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</si>
  <si>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</si>
  <si>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</si>
  <si>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</si>
  <si>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</si>
  <si>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</si>
  <si>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</si>
  <si>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</si>
  <si>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</si>
  <si>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</si>
  <si>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</si>
  <si>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</si>
  <si>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</si>
  <si>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</si>
  <si>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</si>
  <si>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</si>
  <si>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</si>
  <si>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</si>
  <si>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</si>
  <si>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</si>
  <si>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</si>
  <si>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</si>
  <si>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</si>
  <si>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</si>
  <si>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</si>
  <si>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</si>
  <si>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</si>
  <si>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</si>
  <si>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</si>
  <si>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</si>
  <si>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</si>
  <si>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</si>
  <si>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</si>
  <si>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</si>
  <si>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</si>
  <si>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</si>
  <si>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</si>
  <si>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</si>
  <si>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</si>
  <si>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</si>
  <si>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</si>
  <si>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</si>
  <si>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</si>
  <si>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</si>
  <si>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</si>
  <si>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</si>
  <si>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</si>
  <si>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</si>
  <si>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</si>
  <si>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</si>
  <si>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</si>
  <si>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</si>
  <si>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</si>
  <si>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</si>
  <si>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</si>
  <si>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</si>
  <si>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</si>
  <si>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</si>
  <si>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</si>
  <si>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</si>
  <si>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</si>
  <si>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</si>
  <si>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</si>
  <si>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</si>
  <si>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</si>
  <si>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</si>
  <si>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</si>
  <si>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</si>
  <si>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</si>
  <si>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</si>
  <si>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</si>
  <si>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</si>
  <si>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</si>
  <si>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</si>
  <si>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</si>
  <si>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</si>
  <si>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</si>
  <si>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</si>
  <si>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</si>
  <si>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</si>
  <si>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</si>
  <si>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</si>
  <si>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</si>
  <si>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</si>
  <si>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</si>
  <si>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</si>
  <si>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</si>
  <si>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</si>
  <si>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</si>
  <si>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</si>
  <si>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</si>
  <si>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</si>
  <si>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</si>
  <si>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</si>
  <si>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</si>
  <si>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</si>
  <si>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</si>
  <si>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</si>
  <si>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</si>
  <si>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</si>
  <si>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</si>
  <si>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</si>
  <si>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</si>
  <si>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</si>
  <si>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</si>
  <si>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</si>
  <si>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</si>
  <si>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</si>
  <si>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</si>
  <si>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</si>
  <si>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</si>
  <si>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</si>
  <si>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</si>
  <si>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</si>
  <si>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</si>
  <si>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</si>
  <si>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</si>
  <si>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</si>
  <si>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</si>
  <si>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</si>
  <si>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</si>
  <si>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</si>
  <si>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</si>
  <si>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</si>
  <si>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</si>
  <si>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</si>
  <si>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</si>
  <si>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</si>
  <si>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</si>
  <si>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</si>
  <si>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</si>
  <si>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</si>
  <si>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</si>
  <si>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</si>
  <si>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</si>
  <si>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</si>
  <si>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</si>
  <si>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</si>
  <si>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</si>
  <si>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</si>
  <si>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</si>
  <si>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</si>
  <si>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</si>
  <si>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</si>
  <si>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</si>
  <si>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</si>
  <si>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</si>
  <si>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</si>
  <si>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</si>
  <si>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</si>
  <si>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</si>
  <si>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</si>
  <si>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</si>
  <si>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</si>
  <si>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</si>
  <si>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</si>
  <si>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</si>
  <si>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</si>
  <si>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</si>
  <si>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</si>
  <si>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</si>
  <si>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</si>
  <si>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</si>
  <si>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</si>
  <si>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</si>
  <si>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</si>
  <si>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</si>
  <si>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</si>
  <si>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</si>
  <si>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</si>
  <si>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</si>
  <si>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</si>
  <si>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</si>
  <si>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</si>
  <si>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</si>
  <si>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</si>
  <si>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</si>
  <si>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</si>
  <si>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</si>
  <si>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</si>
  <si>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</si>
  <si>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</si>
  <si>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</si>
  <si>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</si>
  <si>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</si>
  <si>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</si>
  <si>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</si>
  <si>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</si>
  <si>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</si>
  <si>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</si>
  <si>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</si>
  <si>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</si>
  <si>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</si>
  <si>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</si>
  <si>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</si>
  <si>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</si>
  <si>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</si>
  <si>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</si>
  <si>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</si>
  <si>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</si>
  <si>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</si>
  <si>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</si>
  <si>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</si>
  <si>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</si>
  <si>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</si>
  <si>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</si>
  <si>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</si>
  <si>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</si>
  <si>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</si>
  <si>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</si>
  <si>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</si>
  <si>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</si>
  <si>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</si>
  <si>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</si>
  <si>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</si>
  <si>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</si>
  <si>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</si>
  <si>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</si>
  <si>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</si>
  <si>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</si>
  <si>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</si>
  <si>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</si>
  <si>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</si>
  <si>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</si>
  <si>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</si>
  <si>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</si>
  <si>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</si>
  <si>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</si>
  <si>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</si>
  <si>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</si>
  <si>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</si>
  <si>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</si>
  <si>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</si>
  <si>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</si>
  <si>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</si>
  <si>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</si>
  <si>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</si>
  <si>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</si>
  <si>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</si>
  <si>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</si>
  <si>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</si>
  <si>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</si>
  <si>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</si>
  <si>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</si>
  <si>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</si>
  <si>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</si>
  <si>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</si>
  <si>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</si>
  <si>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</si>
  <si>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</si>
  <si>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</si>
  <si>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</si>
  <si>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</si>
  <si>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</si>
  <si>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</si>
  <si>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</si>
  <si>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</si>
  <si>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</si>
  <si>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</si>
  <si>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</si>
  <si>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</si>
  <si>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</si>
  <si>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</si>
  <si>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</si>
  <si>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</si>
  <si>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</si>
  <si>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</si>
  <si>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</si>
  <si>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</si>
  <si>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</si>
  <si>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</si>
  <si>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</si>
  <si>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</si>
  <si>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</si>
  <si>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</si>
  <si>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</si>
  <si>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</si>
  <si>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</si>
  <si>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</si>
  <si>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</si>
  <si>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</si>
  <si>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</si>
  <si>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</si>
  <si>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</si>
  <si>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</si>
  <si>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</si>
  <si>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</si>
  <si>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</si>
  <si>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</si>
  <si>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</si>
  <si>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</si>
  <si>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</si>
  <si>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</si>
  <si>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</si>
  <si>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</si>
  <si>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</si>
  <si>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</si>
  <si>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</si>
  <si>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</si>
  <si>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</si>
  <si>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</si>
  <si>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</si>
  <si>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</si>
  <si>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</si>
  <si>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</si>
  <si>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</si>
  <si>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</si>
  <si>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</si>
  <si>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</si>
  <si>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</si>
  <si>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</si>
  <si>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</si>
  <si>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</si>
  <si>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</si>
  <si>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</si>
  <si>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</si>
  <si>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</si>
  <si>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</si>
  <si>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</si>
  <si>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</si>
  <si>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</si>
  <si>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</si>
  <si>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</si>
  <si>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</si>
  <si>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</si>
  <si>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</si>
  <si>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</si>
  <si>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</si>
  <si>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</si>
  <si>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</si>
  <si>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</si>
  <si>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</si>
  <si>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</si>
  <si>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</si>
  <si>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</si>
  <si>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</si>
  <si>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</si>
  <si>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</si>
  <si>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</si>
  <si>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</si>
  <si>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</si>
  <si>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</si>
  <si>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</si>
  <si>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</si>
  <si>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</si>
  <si>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</si>
  <si>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</si>
  <si>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</si>
  <si>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</si>
  <si>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</si>
  <si>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</si>
  <si>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</si>
  <si>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</si>
  <si>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</si>
  <si>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</si>
  <si>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</si>
  <si>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</si>
  <si>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</si>
  <si>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</si>
  <si>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</si>
  <si>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</si>
  <si>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</si>
  <si>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</si>
  <si>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</si>
  <si>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</si>
  <si>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</si>
  <si>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</si>
  <si>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</si>
  <si>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</si>
  <si>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</si>
  <si>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</si>
  <si>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</si>
  <si>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</si>
  <si>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</si>
  <si>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</si>
  <si>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</si>
  <si>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</si>
  <si>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</si>
  <si>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</si>
  <si>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</si>
  <si>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</si>
  <si>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</si>
  <si>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</si>
  <si>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</si>
  <si>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</si>
  <si>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</si>
  <si>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</si>
  <si>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</si>
  <si>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</si>
  <si>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</si>
  <si>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</si>
  <si>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</si>
  <si>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</si>
  <si>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</si>
  <si>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</si>
  <si>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</si>
  <si>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</si>
  <si>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</si>
  <si>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</si>
  <si>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</si>
  <si>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</si>
  <si>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</si>
  <si>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</si>
  <si>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</si>
  <si>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</si>
  <si>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</si>
  <si>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</si>
  <si>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</si>
  <si>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</si>
  <si>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</si>
  <si>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</si>
  <si>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</si>
  <si>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</si>
  <si>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</si>
  <si>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</si>
  <si>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</si>
  <si>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</si>
  <si>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</si>
  <si>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</si>
  <si>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</si>
  <si>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</si>
  <si>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</si>
  <si>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</si>
  <si>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</si>
  <si>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</si>
  <si>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</si>
  <si>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</si>
  <si>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</si>
  <si>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</si>
  <si>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</si>
  <si>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</si>
  <si>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</si>
  <si>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</si>
  <si>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</si>
  <si>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</si>
  <si>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</si>
  <si>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</si>
  <si>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</si>
  <si>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</si>
  <si>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</si>
  <si>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</si>
  <si>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</si>
  <si>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</si>
  <si>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</si>
  <si>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</si>
  <si>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</si>
  <si>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</si>
  <si>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</si>
  <si>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</si>
  <si>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</si>
  <si>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</si>
  <si>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</si>
  <si>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</si>
  <si>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</si>
  <si>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</si>
  <si>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</si>
  <si>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</si>
  <si>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</si>
  <si>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</si>
  <si>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</si>
  <si>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</si>
  <si>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</si>
  <si>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</si>
  <si>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</si>
  <si>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</si>
  <si>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</si>
  <si>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</si>
  <si>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</si>
  <si>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</si>
  <si>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</si>
  <si>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</si>
  <si>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</si>
  <si>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</si>
  <si>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</si>
  <si>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</si>
  <si>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</si>
  <si>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</si>
  <si>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</si>
  <si>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</si>
  <si>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</si>
  <si>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</si>
  <si>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</si>
  <si>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</si>
  <si>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</si>
  <si>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</si>
  <si>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</si>
  <si>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</si>
  <si>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</si>
  <si>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</si>
  <si>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</si>
  <si>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</si>
  <si>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</si>
  <si>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</si>
  <si>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</si>
  <si>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</si>
  <si>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</si>
  <si>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</si>
  <si>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</si>
  <si>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</si>
  <si>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</si>
  <si>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</si>
  <si>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</si>
  <si>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</si>
  <si>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</si>
  <si>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</si>
  <si>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</si>
  <si>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</si>
  <si>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</si>
  <si>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</si>
  <si>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</si>
  <si>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</si>
  <si>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</si>
  <si>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</si>
  <si>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</si>
  <si>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</si>
  <si>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</si>
  <si>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</si>
  <si>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</si>
  <si>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</si>
  <si>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</si>
  <si>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</si>
  <si>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</si>
  <si>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</si>
  <si>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</si>
  <si>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</si>
  <si>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</si>
  <si>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</si>
  <si>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</si>
  <si>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</si>
  <si>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</si>
  <si>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</si>
  <si>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</si>
  <si>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</si>
  <si>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</si>
  <si>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</si>
  <si>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</si>
  <si>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</si>
  <si>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</si>
  <si>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</si>
  <si>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</si>
  <si>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</si>
  <si>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</si>
  <si>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</si>
  <si>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</si>
  <si>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</si>
  <si>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</si>
  <si>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</si>
  <si>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</si>
  <si>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</si>
  <si>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</si>
  <si>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</si>
  <si>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</si>
  <si>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</si>
  <si>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</si>
  <si>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</si>
  <si>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</si>
  <si>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</si>
  <si>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</si>
  <si>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</si>
  <si>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</si>
  <si>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</si>
  <si>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</si>
  <si>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</si>
  <si>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</si>
  <si>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</si>
  <si>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</si>
  <si>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</si>
  <si>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</si>
  <si>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</si>
  <si>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</si>
  <si>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</si>
  <si>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</si>
  <si>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</si>
  <si>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</si>
  <si>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</si>
  <si>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</si>
  <si>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</si>
  <si>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</si>
  <si>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</si>
  <si>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</si>
  <si>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</si>
  <si>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</si>
  <si>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</si>
  <si>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</si>
  <si>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</si>
  <si>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</si>
  <si>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</si>
  <si>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</si>
  <si>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</si>
  <si>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</si>
  <si>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</si>
  <si>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</si>
  <si>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</si>
  <si>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</si>
  <si>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</si>
  <si>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</si>
  <si>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</si>
  <si>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</si>
  <si>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</si>
  <si>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</si>
  <si>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</si>
  <si>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</si>
  <si>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</si>
  <si>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</si>
  <si>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</si>
  <si>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</si>
  <si>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</si>
  <si>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</si>
  <si>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</si>
  <si>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</si>
  <si>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</si>
  <si>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</si>
  <si>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</si>
  <si>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</si>
  <si>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</si>
  <si>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</si>
  <si>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</si>
  <si>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</si>
  <si>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</si>
  <si>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</si>
  <si>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</si>
  <si>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</si>
  <si>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</si>
  <si>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</si>
  <si>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</si>
  <si>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</si>
  <si>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</si>
  <si>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</si>
  <si>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</si>
  <si>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</si>
  <si>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</si>
  <si>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</si>
  <si>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</si>
  <si>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</si>
  <si>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</si>
  <si>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</si>
  <si>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</si>
  <si>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</si>
  <si>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</si>
  <si>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</si>
  <si>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</si>
  <si>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</si>
  <si>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</si>
  <si>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</si>
  <si>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</si>
  <si>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</si>
  <si>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</si>
  <si>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</si>
  <si>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</si>
  <si>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</si>
  <si>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</si>
  <si>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</si>
  <si>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</si>
  <si>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</si>
  <si>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</si>
  <si>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</si>
  <si>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</si>
  <si>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</si>
  <si>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</si>
  <si>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</si>
  <si>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</si>
  <si>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</si>
  <si>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</si>
  <si>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</si>
  <si>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</si>
  <si>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</si>
  <si>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</si>
  <si>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</si>
  <si>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</si>
  <si>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</si>
  <si>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</si>
  <si>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</si>
  <si>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</si>
  <si>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</si>
  <si>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</si>
  <si>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</si>
  <si>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</si>
  <si>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</si>
  <si>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</si>
  <si>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</si>
  <si>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</si>
  <si>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</si>
  <si>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</si>
  <si>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</si>
  <si>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</si>
  <si>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</si>
  <si>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</si>
  <si>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</si>
  <si>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</si>
  <si>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</si>
  <si>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</si>
  <si>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</si>
  <si>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</si>
  <si>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</si>
  <si>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</si>
  <si>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</si>
  <si>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</si>
  <si>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</si>
  <si>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</si>
  <si>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</si>
  <si>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</si>
  <si>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</si>
  <si>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</si>
  <si>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</si>
  <si>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</si>
  <si>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</si>
  <si>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</si>
  <si>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</si>
  <si>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</si>
  <si>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</si>
  <si>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</si>
  <si>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</si>
  <si>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</si>
  <si>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</si>
  <si>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</si>
  <si>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</si>
  <si>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</si>
  <si>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</si>
  <si>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</si>
  <si>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</si>
  <si>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</si>
  <si>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</si>
  <si>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</si>
  <si>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</si>
  <si>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</si>
  <si>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</si>
  <si>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</si>
  <si>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</si>
  <si>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</si>
  <si>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</si>
  <si>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</si>
  <si>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</si>
  <si>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</si>
  <si>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</si>
  <si>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</si>
  <si>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</si>
  <si>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</si>
  <si>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</si>
  <si>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</si>
  <si>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</si>
  <si>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</si>
  <si>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</si>
  <si>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</si>
  <si>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</si>
  <si>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</si>
  <si>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</si>
  <si>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</si>
  <si>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</si>
  <si>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</si>
  <si>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</si>
  <si>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</si>
  <si>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</si>
  <si>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</si>
  <si>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</si>
  <si>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</si>
  <si>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</si>
  <si>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</si>
  <si>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</si>
  <si>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</si>
  <si>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</si>
  <si>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</si>
  <si>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</si>
  <si>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</si>
  <si>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</si>
  <si>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</si>
  <si>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</si>
  <si>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</si>
  <si>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</si>
  <si>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</si>
  <si>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</si>
  <si>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</si>
  <si>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</si>
  <si>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</si>
  <si>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</si>
  <si>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</si>
  <si>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</si>
  <si>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</si>
  <si>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</si>
  <si>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</si>
  <si>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</si>
  <si>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</si>
  <si>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</si>
  <si>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</si>
  <si>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</si>
  <si>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</si>
  <si>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</si>
  <si>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</si>
  <si>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</si>
  <si>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</si>
  <si>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</si>
  <si>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</si>
  <si>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</si>
  <si>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</si>
  <si>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</si>
  <si>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</si>
  <si>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</si>
  <si>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</si>
  <si>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</si>
  <si>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</si>
  <si>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</si>
  <si>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</si>
  <si>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</si>
  <si>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</si>
  <si>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</si>
  <si>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</si>
  <si>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</si>
  <si>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</si>
  <si>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</si>
  <si>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</si>
  <si>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</si>
  <si>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</si>
  <si>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</si>
  <si>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</si>
  <si>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</si>
  <si>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</si>
  <si>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</si>
  <si>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</si>
  <si>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</si>
  <si>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</si>
  <si>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</si>
  <si>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</si>
  <si>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</si>
  <si>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</si>
  <si>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</si>
  <si>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</si>
  <si>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</si>
  <si>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</si>
  <si>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</si>
  <si>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</si>
  <si>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</si>
  <si>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</si>
  <si>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</si>
  <si>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</si>
  <si>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</si>
  <si>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</si>
  <si>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</si>
  <si>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</si>
  <si>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</si>
  <si>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</si>
  <si>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</si>
  <si>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</si>
  <si>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</si>
  <si>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</si>
  <si>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</si>
  <si>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</si>
  <si>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</si>
  <si>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</si>
  <si>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</si>
  <si>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</si>
  <si>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</si>
  <si>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</si>
  <si>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</si>
  <si>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</si>
  <si>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</si>
  <si>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</si>
  <si>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</si>
  <si>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</si>
  <si>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</si>
  <si>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</si>
  <si>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</si>
  <si>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</si>
  <si>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</si>
  <si>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</si>
  <si>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</si>
  <si>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</si>
  <si>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</si>
  <si>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</si>
  <si>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</si>
  <si>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</si>
  <si>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</si>
  <si>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</si>
  <si>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</si>
  <si>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</si>
  <si>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</si>
  <si>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</si>
  <si>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</si>
  <si>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</si>
  <si>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</si>
  <si>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</si>
  <si>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</si>
  <si>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</si>
  <si>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</si>
  <si>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</si>
  <si>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</si>
  <si>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</si>
  <si>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</si>
  <si>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</si>
  <si>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</si>
  <si>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</si>
  <si>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</si>
  <si>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</si>
  <si>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</si>
  <si>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</si>
  <si>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</si>
  <si>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</si>
  <si>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</si>
  <si>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</si>
  <si>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</si>
  <si>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</si>
  <si>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</si>
  <si>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</si>
  <si>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</si>
  <si>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</si>
  <si>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</si>
  <si>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</si>
  <si>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</si>
  <si>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</si>
  <si>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</si>
  <si>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</si>
  <si>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</si>
  <si>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</si>
  <si>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</si>
  <si>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</si>
  <si>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</si>
  <si>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</si>
  <si>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</si>
  <si>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</si>
  <si>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</si>
  <si>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</si>
  <si>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</si>
  <si>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</si>
  <si>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</si>
  <si>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</si>
  <si>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</si>
  <si>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</si>
  <si>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</si>
  <si>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</si>
  <si>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</si>
  <si>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</si>
  <si>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</si>
  <si>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</si>
  <si>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</si>
  <si>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</si>
  <si>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</si>
  <si>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</si>
  <si>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</si>
  <si>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</si>
  <si>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</si>
  <si>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</si>
  <si>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</si>
  <si>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</si>
  <si>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</si>
  <si>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</si>
  <si>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</si>
  <si>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</si>
  <si>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</si>
  <si>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</si>
  <si>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</si>
  <si>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</si>
  <si>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</si>
  <si>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</si>
  <si>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</si>
  <si>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</si>
  <si>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</si>
  <si>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</si>
  <si>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</si>
  <si>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</si>
  <si>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</si>
  <si>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</si>
  <si>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</si>
  <si>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</si>
  <si>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</si>
  <si>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</si>
  <si>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</si>
  <si>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</si>
  <si>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</si>
  <si>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</si>
  <si>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</si>
  <si>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</si>
  <si>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</si>
  <si>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</si>
  <si>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</si>
  <si>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</si>
  <si>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</si>
  <si>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</si>
  <si>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</si>
  <si>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</si>
  <si>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</si>
  <si>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</si>
  <si>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</si>
  <si>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</si>
  <si>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</si>
  <si>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</si>
  <si>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</si>
  <si>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</si>
  <si>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</si>
  <si>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</si>
  <si>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</si>
  <si>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</si>
  <si>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</si>
  <si>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</si>
  <si>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</si>
  <si>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</si>
  <si>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</si>
  <si>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</si>
  <si>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</si>
  <si>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</si>
  <si>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</si>
  <si>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</si>
  <si>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</si>
  <si>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</si>
  <si>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</si>
  <si>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</si>
  <si>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</si>
  <si>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</si>
  <si>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</si>
  <si>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</si>
  <si>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</si>
  <si>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</si>
  <si>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</si>
  <si>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</si>
  <si>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</si>
  <si>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</si>
  <si>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</si>
  <si>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</si>
  <si>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</si>
  <si>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</si>
  <si>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</si>
  <si>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</si>
  <si>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</si>
  <si>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</si>
  <si>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</si>
  <si>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</si>
  <si>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</si>
  <si>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</si>
  <si>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</si>
  <si>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</si>
  <si>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</si>
  <si>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</si>
  <si>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</si>
  <si>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</si>
  <si>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</si>
  <si>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</si>
  <si>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</si>
  <si>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</si>
  <si>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</si>
  <si>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</si>
  <si>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</si>
  <si>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</si>
  <si>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</si>
  <si>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</si>
  <si>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</si>
  <si>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</si>
  <si>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</si>
  <si>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</si>
  <si>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</si>
  <si>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</si>
  <si>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</si>
  <si>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</si>
  <si>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</si>
  <si>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</si>
  <si>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</si>
  <si>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</si>
  <si>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</si>
  <si>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</si>
  <si>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</si>
  <si>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</si>
  <si>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</si>
  <si>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</si>
  <si>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</si>
  <si>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</si>
  <si>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</si>
  <si>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</si>
  <si>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</si>
  <si>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</si>
  <si>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</si>
  <si>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</si>
  <si>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</si>
  <si>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</si>
  <si>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</si>
  <si>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</si>
  <si>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</si>
  <si>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</si>
  <si>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</si>
  <si>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</si>
  <si>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</si>
  <si>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</si>
  <si>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</si>
  <si>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</si>
  <si>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</si>
  <si>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</si>
  <si>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</si>
  <si>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</si>
  <si>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</si>
  <si>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</si>
  <si>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</si>
  <si>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</si>
  <si>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</si>
  <si>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</si>
  <si>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</si>
  <si>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</si>
  <si>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</si>
  <si>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</si>
  <si>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</si>
  <si>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</si>
  <si>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</si>
  <si>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</si>
  <si>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</si>
  <si>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</si>
  <si>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</si>
  <si>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</si>
  <si>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</si>
  <si>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</si>
  <si>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</si>
  <si>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</si>
  <si>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</si>
  <si>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</si>
  <si>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</si>
  <si>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</si>
  <si>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</si>
  <si>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</si>
  <si>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</si>
  <si>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</si>
  <si>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</si>
  <si>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</si>
  <si>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</si>
  <si>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</si>
  <si>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</si>
  <si>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</si>
  <si>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</si>
  <si>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</si>
  <si>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</si>
  <si>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</si>
  <si>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</si>
  <si>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</si>
  <si>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</si>
  <si>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</si>
  <si>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</si>
  <si>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</si>
  <si>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</si>
  <si>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</si>
  <si>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</si>
  <si>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</si>
  <si>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</si>
  <si>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</si>
  <si>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</si>
  <si>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</si>
  <si>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</si>
  <si>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</si>
  <si>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</si>
  <si>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</si>
  <si>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</si>
  <si>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</si>
  <si>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</si>
  <si>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</si>
  <si>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</si>
  <si>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</si>
  <si>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</si>
  <si>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</si>
  <si>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</si>
  <si>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</si>
  <si>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</si>
  <si>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</si>
  <si>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</si>
  <si>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</si>
  <si>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</si>
  <si>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</si>
  <si>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</si>
  <si>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</si>
  <si>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</si>
  <si>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</si>
  <si>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</si>
  <si>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</si>
  <si>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</si>
  <si>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</si>
  <si>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</si>
  <si>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</si>
  <si>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</si>
  <si>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</si>
  <si>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</si>
  <si>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</si>
  <si>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</si>
  <si>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</si>
  <si>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</si>
  <si>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</si>
  <si>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</si>
  <si>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</si>
  <si>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</si>
  <si>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</si>
  <si>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</si>
  <si>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</si>
  <si>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</si>
  <si>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</si>
  <si>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</si>
  <si>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</si>
  <si>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</si>
  <si>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</si>
  <si>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</si>
  <si>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</si>
  <si>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</si>
  <si>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</si>
  <si>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</si>
  <si>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</si>
  <si>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</si>
  <si>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</si>
  <si>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</si>
  <si>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</si>
  <si>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</si>
  <si>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</si>
  <si>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</si>
  <si>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</si>
  <si>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</si>
  <si>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</si>
  <si>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</si>
  <si>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</si>
  <si>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</si>
  <si>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</si>
  <si>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</si>
  <si>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</si>
  <si>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</si>
  <si>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</si>
  <si>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</si>
  <si>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</si>
  <si>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</si>
  <si>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</si>
  <si>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</si>
  <si>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</si>
  <si>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</si>
  <si>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</si>
  <si>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</si>
  <si>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</si>
  <si>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</si>
  <si>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</si>
  <si>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</si>
  <si>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</si>
  <si>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</si>
  <si>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</si>
  <si>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</si>
  <si>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</si>
  <si>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</si>
  <si>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</si>
  <si>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</si>
  <si>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</si>
  <si>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</si>
  <si>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</si>
  <si>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</si>
  <si>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</si>
  <si>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</si>
  <si>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</si>
  <si>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</si>
  <si>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</si>
  <si>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</si>
  <si>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</si>
  <si>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</si>
  <si>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</si>
  <si>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</si>
  <si>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</si>
  <si>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</si>
  <si>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</si>
  <si>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</si>
  <si>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</si>
  <si>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</si>
  <si>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</si>
  <si>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</si>
  <si>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</si>
  <si>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</si>
  <si>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</si>
  <si>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</si>
  <si>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</si>
  <si>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</si>
  <si>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</si>
  <si>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</si>
  <si>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</si>
  <si>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</si>
  <si>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</si>
  <si>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</si>
  <si>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</si>
  <si>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</si>
  <si>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</si>
  <si>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</si>
  <si>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</si>
  <si>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</si>
  <si>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</si>
  <si>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</si>
  <si>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</si>
  <si>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</si>
  <si>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</si>
  <si>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</si>
  <si>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</si>
  <si>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</si>
  <si>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</si>
  <si>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</si>
  <si>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</si>
  <si>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</si>
  <si>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</si>
  <si>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</si>
  <si>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</si>
  <si>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</si>
  <si>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</si>
  <si>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</si>
  <si>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</si>
  <si>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</si>
  <si>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</si>
  <si>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</si>
  <si>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</si>
  <si>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</si>
  <si>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</si>
  <si>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</si>
  <si>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</si>
  <si>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</si>
  <si>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</si>
  <si>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</si>
  <si>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</si>
  <si>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</si>
  <si>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</si>
  <si>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</si>
  <si>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</si>
  <si>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</si>
  <si>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</si>
  <si>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</si>
  <si>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</si>
  <si>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</si>
  <si>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</si>
  <si>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</si>
  <si>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</si>
  <si>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</si>
  <si>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</si>
  <si>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</si>
  <si>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</si>
  <si>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</si>
  <si>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</si>
  <si>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</si>
  <si>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</si>
  <si>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</si>
  <si>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</si>
  <si>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</si>
  <si>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</si>
  <si>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</si>
  <si>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</si>
  <si>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</si>
  <si>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</si>
  <si>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</si>
  <si>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</si>
  <si>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</si>
  <si>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</si>
  <si>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</si>
  <si>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</si>
  <si>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</si>
  <si>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</si>
  <si>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</si>
  <si>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</si>
  <si>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</si>
  <si>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</si>
  <si>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</si>
  <si>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</si>
  <si>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</si>
  <si>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</si>
  <si>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</si>
  <si>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</si>
  <si>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</si>
  <si>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</si>
  <si>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</si>
  <si>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</si>
  <si>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</si>
  <si>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</si>
  <si>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</si>
  <si>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</si>
  <si>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</si>
  <si>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</si>
  <si>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</si>
  <si>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</si>
  <si>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</si>
  <si>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</si>
  <si>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</si>
  <si>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</si>
  <si>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</si>
  <si>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</si>
  <si>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</si>
  <si>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</si>
  <si>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</si>
  <si>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</si>
  <si>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</si>
  <si>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</si>
  <si>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</si>
  <si>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</si>
  <si>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</si>
  <si>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</si>
  <si>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</si>
  <si>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</si>
  <si>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</si>
  <si>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</si>
  <si>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</si>
  <si>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</si>
  <si>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</si>
  <si>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</si>
  <si>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</si>
  <si>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</si>
  <si>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</si>
  <si>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</si>
  <si>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</si>
  <si>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</si>
  <si>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</si>
  <si>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</si>
  <si>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</si>
  <si>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</si>
  <si>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</si>
  <si>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</si>
  <si>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</si>
  <si>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</si>
  <si>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</si>
  <si>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</si>
  <si>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</si>
  <si>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</si>
  <si>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</si>
  <si>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</si>
  <si>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</si>
  <si>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</si>
  <si>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</si>
  <si>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</si>
  <si>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</si>
  <si>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</si>
  <si>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</si>
  <si>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</si>
  <si>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</si>
  <si>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</si>
  <si>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</si>
  <si>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</si>
  <si>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</si>
  <si>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</si>
  <si>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</si>
  <si>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</si>
  <si>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</si>
  <si>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</si>
  <si>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</si>
  <si>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</si>
  <si>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</si>
  <si>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</si>
  <si>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</si>
  <si>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</si>
  <si>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</si>
  <si>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</si>
  <si>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</si>
  <si>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</si>
  <si>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</si>
  <si>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</si>
  <si>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</si>
  <si>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</si>
  <si>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</si>
  <si>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</si>
  <si>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</si>
  <si>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</si>
  <si>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</si>
  <si>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</si>
  <si>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</si>
  <si>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</si>
  <si>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</si>
  <si>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</si>
  <si>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</si>
  <si>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</si>
  <si>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</si>
  <si>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</si>
  <si>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</si>
  <si>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</si>
  <si>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</si>
  <si>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</si>
  <si>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</si>
  <si>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</si>
  <si>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</si>
  <si>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</si>
  <si>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</si>
  <si>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</si>
  <si>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</si>
  <si>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</si>
  <si>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</si>
  <si>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</si>
  <si>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</si>
  <si>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</si>
  <si>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</si>
  <si>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</si>
  <si>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</si>
  <si>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</si>
  <si>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</si>
  <si>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</si>
  <si>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</si>
  <si>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</si>
  <si>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</si>
  <si>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</si>
  <si>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</si>
  <si>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</si>
  <si>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</si>
  <si>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</si>
  <si>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</si>
  <si>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</si>
  <si>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</si>
  <si>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</si>
  <si>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</si>
  <si>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</si>
  <si>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</si>
  <si>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</si>
  <si>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</si>
  <si>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</si>
  <si>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</si>
  <si>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</si>
  <si>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</si>
  <si>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</si>
  <si>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</si>
  <si>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</si>
  <si>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</si>
  <si>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</si>
  <si>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</si>
  <si>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</si>
  <si>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</si>
  <si>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</si>
  <si>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</si>
  <si>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</si>
  <si>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</si>
  <si>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</si>
  <si>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</si>
  <si>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</si>
  <si>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</si>
  <si>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</si>
  <si>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</si>
  <si>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</si>
  <si>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</si>
  <si>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</si>
  <si>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</si>
  <si>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</si>
  <si>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</si>
  <si>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</si>
  <si>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</si>
  <si>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</si>
  <si>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</si>
  <si>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</si>
  <si>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</si>
  <si>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</si>
  <si>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</si>
  <si>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</si>
  <si>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</si>
  <si>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</si>
  <si>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</si>
  <si>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</si>
  <si>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</si>
  <si>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</si>
  <si>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</si>
  <si>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</si>
  <si>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</si>
  <si>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</si>
  <si>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</si>
  <si>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</si>
  <si>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</si>
  <si>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</si>
  <si>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</si>
  <si>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</si>
  <si>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</si>
  <si>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</si>
  <si>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</si>
  <si>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</si>
  <si>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</si>
  <si>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</si>
  <si>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</si>
  <si>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</si>
  <si>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</si>
  <si>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</si>
  <si>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</si>
  <si>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</si>
  <si>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</si>
  <si>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</si>
  <si>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</si>
  <si>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</si>
  <si>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</si>
  <si>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</si>
  <si>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</si>
  <si>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</si>
  <si>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</si>
  <si>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</si>
  <si>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</si>
  <si>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</si>
  <si>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</si>
  <si>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</si>
  <si>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</si>
  <si>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</si>
  <si>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</si>
  <si>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</si>
  <si>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</si>
  <si>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</si>
  <si>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</si>
  <si>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</si>
  <si>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</si>
  <si>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</si>
  <si>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</si>
  <si>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</si>
  <si>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</si>
  <si>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</si>
  <si>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</si>
  <si>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</si>
  <si>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</si>
  <si>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</si>
  <si>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</si>
  <si>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</si>
  <si>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</si>
  <si>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</si>
  <si>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</si>
  <si>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</si>
  <si>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</si>
  <si>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</si>
  <si>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</si>
  <si>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</si>
  <si>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</si>
  <si>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</si>
  <si>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</si>
  <si>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</si>
  <si>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</si>
  <si>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</si>
  <si>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</si>
  <si>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</si>
  <si>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</si>
  <si>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</si>
  <si>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</si>
  <si>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</si>
  <si>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</si>
  <si>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</si>
  <si>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</si>
  <si>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</si>
  <si>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</si>
  <si>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</si>
  <si>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</si>
  <si>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</si>
  <si>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</si>
  <si>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</si>
  <si>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</si>
  <si>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</si>
  <si>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</si>
  <si>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</si>
  <si>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</si>
  <si>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</si>
  <si>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</si>
  <si>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</si>
  <si>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</si>
  <si>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</si>
  <si>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</si>
  <si>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</si>
  <si>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</si>
  <si>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</si>
  <si>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</si>
  <si>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</si>
  <si>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</si>
  <si>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</si>
  <si>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</si>
  <si>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</si>
  <si>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</si>
  <si>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</si>
  <si>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</si>
  <si>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</si>
  <si>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</si>
  <si>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</si>
  <si>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</si>
  <si>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</si>
  <si>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</si>
  <si>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</si>
  <si>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</si>
  <si>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</si>
  <si>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</si>
  <si>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</si>
  <si>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</si>
  <si>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</si>
  <si>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</si>
  <si>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</si>
  <si>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</si>
  <si>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</si>
  <si>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</si>
  <si>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</si>
  <si>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</si>
  <si>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</si>
  <si>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</si>
  <si>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</si>
  <si>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</si>
  <si>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</si>
  <si>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</si>
  <si>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</si>
  <si>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</si>
  <si>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</si>
  <si>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</si>
  <si>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</si>
  <si>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</si>
  <si>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</si>
  <si>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</si>
  <si>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</si>
  <si>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</si>
  <si>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</si>
  <si>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</si>
  <si>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</si>
  <si>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</si>
  <si>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</si>
  <si>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</si>
  <si>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</si>
  <si>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</si>
  <si>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</si>
  <si>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</si>
  <si>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</si>
  <si>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</si>
  <si>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</si>
  <si>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</si>
  <si>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</si>
  <si>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</si>
  <si>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</si>
  <si>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</si>
  <si>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</si>
  <si>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</si>
  <si>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</si>
  <si>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</si>
  <si>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</si>
  <si>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</si>
  <si>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</si>
  <si>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</si>
  <si>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</si>
  <si>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</si>
  <si>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</si>
  <si>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</si>
  <si>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</si>
  <si>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</si>
  <si>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</si>
  <si>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</si>
  <si>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</si>
  <si>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</si>
  <si>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</si>
  <si>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</si>
  <si>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</si>
  <si>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</si>
  <si>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</si>
  <si>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</si>
  <si>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</si>
  <si>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</si>
  <si>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</si>
  <si>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</si>
  <si>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</si>
  <si>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</si>
  <si>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</si>
  <si>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</si>
  <si>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</si>
  <si>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</si>
  <si>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</si>
  <si>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</si>
  <si>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</si>
  <si>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</si>
  <si>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</si>
  <si>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</si>
  <si>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</si>
  <si>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</si>
  <si>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</si>
  <si>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</si>
  <si>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</si>
  <si>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</si>
  <si>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</si>
  <si>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</si>
  <si>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</si>
  <si>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</si>
  <si>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</si>
  <si>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</si>
  <si>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</si>
  <si>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</si>
  <si>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</si>
  <si>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</si>
  <si>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</si>
  <si>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</si>
  <si>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</si>
  <si>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</si>
  <si>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</si>
  <si>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</si>
  <si>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</si>
  <si>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</si>
  <si>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</si>
  <si>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</si>
  <si>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</si>
  <si>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</si>
  <si>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</si>
  <si>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</si>
  <si>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</si>
  <si>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</si>
  <si>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</si>
  <si>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</si>
  <si>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</si>
  <si>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</si>
  <si>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</si>
  <si>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</si>
  <si>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</si>
  <si>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</si>
  <si>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</si>
  <si>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</si>
  <si>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</si>
  <si>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</si>
  <si>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</si>
  <si>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</si>
  <si>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</si>
  <si>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</si>
  <si>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</si>
  <si>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</si>
  <si>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</si>
  <si>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</si>
  <si>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</si>
  <si>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</si>
  <si>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</si>
  <si>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</si>
  <si>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</si>
  <si>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</si>
  <si>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</si>
  <si>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</si>
  <si>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</si>
  <si>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</si>
  <si>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</si>
  <si>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</si>
  <si>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</si>
  <si>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</si>
  <si>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</si>
  <si>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</si>
  <si>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</si>
  <si>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</si>
  <si>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</si>
  <si>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</si>
  <si>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</si>
  <si>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</si>
  <si>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</si>
  <si>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</si>
  <si>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</si>
  <si>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</si>
  <si>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</si>
  <si>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</si>
  <si>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</si>
  <si>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</si>
  <si>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</si>
  <si>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</si>
  <si>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</si>
  <si>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</si>
  <si>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</si>
  <si>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</si>
  <si>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</si>
  <si>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</si>
  <si>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</si>
  <si>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</si>
  <si>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</si>
  <si>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</si>
  <si>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</si>
  <si>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</si>
  <si>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</si>
  <si>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</si>
  <si>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</si>
  <si>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</si>
  <si>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</si>
  <si>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</si>
  <si>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</si>
  <si>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</si>
  <si>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</si>
  <si>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</si>
  <si>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</si>
  <si>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</si>
  <si>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</si>
  <si>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</si>
  <si>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</si>
  <si>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</si>
  <si>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</si>
  <si>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</si>
  <si>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</si>
  <si>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</si>
  <si>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</si>
  <si>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</si>
  <si>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</si>
  <si>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</si>
  <si>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</si>
  <si>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</si>
  <si>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</si>
  <si>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</si>
  <si>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</si>
  <si>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</si>
  <si>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</si>
  <si>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</si>
  <si>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</si>
  <si>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</si>
  <si>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</si>
  <si>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</si>
  <si>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</si>
  <si>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</si>
  <si>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</si>
  <si>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</si>
  <si>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</si>
  <si>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</si>
  <si>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</si>
  <si>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</si>
  <si>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</si>
  <si>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</si>
  <si>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</si>
  <si>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</si>
  <si>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</si>
  <si>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</si>
  <si>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</si>
  <si>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</si>
  <si>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</si>
  <si>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</si>
  <si>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</si>
  <si>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</si>
  <si>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</si>
  <si>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</si>
  <si>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</si>
  <si>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</si>
  <si>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</si>
  <si>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</si>
  <si>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</si>
  <si>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</si>
  <si>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</si>
  <si>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</si>
  <si>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</si>
  <si>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</si>
  <si>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</si>
  <si>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</si>
  <si>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</si>
  <si>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</si>
  <si>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</si>
  <si>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</si>
  <si>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</si>
  <si>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</si>
  <si>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</si>
  <si>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</si>
  <si>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</si>
  <si>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</si>
  <si>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</si>
  <si>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</si>
  <si>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</si>
  <si>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</si>
  <si>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</si>
  <si>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</si>
  <si>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</si>
  <si>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</si>
  <si>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</si>
  <si>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</si>
  <si>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</si>
  <si>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</si>
  <si>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</si>
  <si>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</si>
  <si>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</si>
  <si>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</si>
  <si>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《国有建设用地使用权出让合同》[合同编号：京地出【合】字（2018）第0149号]</t>
    <phoneticPr fontId="134" type="noConversion"/>
  </si>
  <si>
    <t>受让人</t>
    <phoneticPr fontId="134" type="noConversion"/>
  </si>
  <si>
    <t>北京城建房地产开发有限公司</t>
    <phoneticPr fontId="134" type="noConversion"/>
  </si>
  <si>
    <t>宗地面积</t>
    <phoneticPr fontId="134" type="noConversion"/>
  </si>
  <si>
    <t>出让宗地面积</t>
    <phoneticPr fontId="134" type="noConversion"/>
  </si>
  <si>
    <t>坐落</t>
    <phoneticPr fontId="134" type="noConversion"/>
  </si>
  <si>
    <t>丰台区亚林西中路亚林西保障房项目经营性配套部分</t>
    <phoneticPr fontId="134" type="noConversion"/>
  </si>
  <si>
    <t>办公（公共服务设施）、商业（配套）、地下车库、地下仓储</t>
    <phoneticPr fontId="134" type="noConversion"/>
  </si>
  <si>
    <t>出让价款（含政府土地收益、实际承担土地成本）</t>
    <phoneticPr fontId="134" type="noConversion"/>
  </si>
  <si>
    <t>政府土地收益</t>
    <phoneticPr fontId="134" type="noConversion"/>
  </si>
  <si>
    <t>实际承担土地成本</t>
    <phoneticPr fontId="134" type="noConversion"/>
  </si>
  <si>
    <t>建筑总面积</t>
    <phoneticPr fontId="134" type="noConversion"/>
  </si>
  <si>
    <t>地上规划</t>
    <phoneticPr fontId="134" type="noConversion"/>
  </si>
  <si>
    <t>容积率</t>
    <phoneticPr fontId="134" type="noConversion"/>
  </si>
  <si>
    <t>建筑物性质</t>
    <phoneticPr fontId="134" type="noConversion"/>
  </si>
  <si>
    <t>保障性住房</t>
    <phoneticPr fontId="134" type="noConversion"/>
  </si>
  <si>
    <t>代征道路</t>
    <phoneticPr fontId="134" type="noConversion"/>
  </si>
  <si>
    <t>开发投资总额不低于</t>
    <phoneticPr fontId="134" type="noConversion"/>
  </si>
  <si>
    <t>万元</t>
    <phoneticPr fontId="134" type="noConversion"/>
  </si>
  <si>
    <t>元</t>
    <phoneticPr fontId="134" type="noConversion"/>
  </si>
  <si>
    <r>
      <t>《北京市发展和改革委员会 关于</t>
    </r>
    <r>
      <rPr>
        <sz val="11"/>
        <color theme="1"/>
        <rFont val="宋体"/>
        <family val="3"/>
        <charset val="134"/>
        <scheme val="minor"/>
      </rPr>
      <t>亚林西保障房项目核准的批复》[京发改（核）【2016】65号]</t>
    </r>
    <phoneticPr fontId="134" type="noConversion"/>
  </si>
  <si>
    <t>规划用地</t>
    <phoneticPr fontId="134" type="noConversion"/>
  </si>
  <si>
    <t>规划建设用地</t>
    <phoneticPr fontId="134" type="noConversion"/>
  </si>
  <si>
    <t>代征道路</t>
    <phoneticPr fontId="134" type="noConversion"/>
  </si>
  <si>
    <t>建筑控制规模（地上）</t>
    <phoneticPr fontId="134" type="noConversion"/>
  </si>
  <si>
    <t>住宅及公共服务配套</t>
    <phoneticPr fontId="134" type="noConversion"/>
  </si>
  <si>
    <t>《建设项目选址意见书附件》[2015规（丰）选字0009号]</t>
    <phoneticPr fontId="134" type="noConversion"/>
  </si>
  <si>
    <t>《建设工程规划许可证附件》[2017规（丰）建字0077号]</t>
    <phoneticPr fontId="134" type="noConversion"/>
  </si>
  <si>
    <t>补充协议</t>
    <phoneticPr fontId="134" type="noConversion"/>
  </si>
  <si>
    <t>出让建筑总面积</t>
    <phoneticPr fontId="134" type="noConversion"/>
  </si>
  <si>
    <t>地上</t>
    <phoneticPr fontId="134" type="noConversion"/>
  </si>
  <si>
    <t>地下</t>
    <phoneticPr fontId="134" type="noConversion"/>
  </si>
  <si>
    <t>商业7352、办公7026、地下车库1683、地下仓储2103</t>
    <phoneticPr fontId="134" type="noConversion"/>
  </si>
  <si>
    <r>
      <t>《北京市丰台区亚林西居住区土地一级开发项目0</t>
    </r>
    <r>
      <rPr>
        <sz val="11"/>
        <color theme="1"/>
        <rFont val="宋体"/>
        <family val="3"/>
        <charset val="134"/>
        <scheme val="minor"/>
      </rPr>
      <t>501-636地块北侧用地土地开发建设补偿协议》</t>
    </r>
    <phoneticPr fontId="134" type="noConversion"/>
  </si>
  <si>
    <t>用地总面积</t>
    <phoneticPr fontId="134" type="noConversion"/>
  </si>
  <si>
    <t>地上总建筑面积</t>
    <phoneticPr fontId="134" type="noConversion"/>
  </si>
  <si>
    <t>七通</t>
    <phoneticPr fontId="134" type="noConversion"/>
  </si>
  <si>
    <t>土地开发建设补偿建筑面积单价</t>
    <phoneticPr fontId="134" type="noConversion"/>
  </si>
  <si>
    <t>万元</t>
    <phoneticPr fontId="134" type="noConversion"/>
  </si>
  <si>
    <t>《国有建设用地划拨决定书》[编号：京丰国土划字【2017】12号]</t>
    <phoneticPr fontId="134" type="noConversion"/>
  </si>
  <si>
    <t>宗地总面积</t>
    <phoneticPr fontId="134" type="noConversion"/>
  </si>
  <si>
    <t>划拨宗地面积</t>
    <phoneticPr fontId="134" type="noConversion"/>
  </si>
  <si>
    <t>建筑物性质</t>
    <phoneticPr fontId="134" type="noConversion"/>
  </si>
  <si>
    <t>总建筑面积</t>
    <phoneticPr fontId="134" type="noConversion"/>
  </si>
  <si>
    <t>项目性质</t>
    <phoneticPr fontId="134" type="noConversion"/>
  </si>
  <si>
    <t>总建筑面积</t>
    <phoneticPr fontId="134" type="noConversion"/>
  </si>
  <si>
    <t>地上</t>
    <phoneticPr fontId="134" type="noConversion"/>
  </si>
  <si>
    <t>地下</t>
    <phoneticPr fontId="134" type="noConversion"/>
  </si>
  <si>
    <t>地上层数</t>
    <phoneticPr fontId="134" type="noConversion"/>
  </si>
  <si>
    <t>地下层数</t>
    <phoneticPr fontId="134" type="noConversion"/>
  </si>
  <si>
    <t>住房套数</t>
    <phoneticPr fontId="134" type="noConversion"/>
  </si>
  <si>
    <t>2#定向安置住宅</t>
    <phoneticPr fontId="134" type="noConversion"/>
  </si>
  <si>
    <t>住宅</t>
    <phoneticPr fontId="134" type="noConversion"/>
  </si>
  <si>
    <t>非机动车库</t>
    <phoneticPr fontId="134" type="noConversion"/>
  </si>
  <si>
    <t>储藏室</t>
    <phoneticPr fontId="134" type="noConversion"/>
  </si>
  <si>
    <t>人防室外口</t>
    <phoneticPr fontId="134" type="noConversion"/>
  </si>
  <si>
    <t>3#定向安置住宅</t>
    <phoneticPr fontId="134" type="noConversion"/>
  </si>
  <si>
    <t>水箱间</t>
    <phoneticPr fontId="134" type="noConversion"/>
  </si>
  <si>
    <t>4#定向安置住宅</t>
    <phoneticPr fontId="134" type="noConversion"/>
  </si>
  <si>
    <t>测绘</t>
    <phoneticPr fontId="134" type="noConversion"/>
  </si>
  <si>
    <r>
      <t>3</t>
    </r>
    <r>
      <rPr>
        <sz val="11"/>
        <color theme="1"/>
        <rFont val="宋体"/>
        <family val="3"/>
        <charset val="134"/>
        <scheme val="minor"/>
      </rPr>
      <t>#</t>
    </r>
    <phoneticPr fontId="134" type="noConversion"/>
  </si>
  <si>
    <t>非机动车库</t>
    <phoneticPr fontId="134" type="noConversion"/>
  </si>
  <si>
    <t>储藏室</t>
    <phoneticPr fontId="134" type="noConversion"/>
  </si>
  <si>
    <t>4#</t>
    <phoneticPr fontId="134" type="noConversion"/>
  </si>
  <si>
    <t>2#</t>
    <phoneticPr fontId="134" type="noConversion"/>
  </si>
  <si>
    <t>土地面积（㎡）</t>
  </si>
  <si>
    <t>出让部分</t>
  </si>
  <si>
    <t>划拨部分</t>
  </si>
  <si>
    <t>楼号</t>
  </si>
  <si>
    <t>总建筑面积（㎡）</t>
  </si>
  <si>
    <t>地上建筑面积（㎡）</t>
  </si>
  <si>
    <t>其中</t>
  </si>
  <si>
    <t>地下建筑面积（㎡）</t>
  </si>
  <si>
    <t>人防</t>
  </si>
  <si>
    <t>住宅</t>
  </si>
  <si>
    <t>配套公共服务设施</t>
  </si>
  <si>
    <t>人防口部及其他</t>
  </si>
  <si>
    <t>设备用房</t>
  </si>
  <si>
    <t>人防工程</t>
  </si>
  <si>
    <t>人防通道及口部面积</t>
  </si>
  <si>
    <t>-</t>
  </si>
  <si>
    <t>总计</t>
  </si>
  <si>
    <t xml:space="preserve">2#定向安置住宅 </t>
    <phoneticPr fontId="134" type="noConversion"/>
  </si>
  <si>
    <t xml:space="preserve">3#定向安置住宅 </t>
    <phoneticPr fontId="134" type="noConversion"/>
  </si>
  <si>
    <t xml:space="preserve">4#定向安置住宅 </t>
    <phoneticPr fontId="134" type="noConversion"/>
  </si>
  <si>
    <t>综合成本价</t>
    <phoneticPr fontId="134" type="noConversion"/>
  </si>
  <si>
    <t>征地和拆迁补偿费</t>
    <phoneticPr fontId="134" type="noConversion"/>
  </si>
  <si>
    <t>勘察设计和前期工程费</t>
    <phoneticPr fontId="134" type="noConversion"/>
  </si>
  <si>
    <t>建筑安装工程费</t>
    <phoneticPr fontId="134" type="noConversion"/>
  </si>
  <si>
    <t>基础设施建设费</t>
    <phoneticPr fontId="134" type="noConversion"/>
  </si>
  <si>
    <t>管理费</t>
    <phoneticPr fontId="134" type="noConversion"/>
  </si>
  <si>
    <t>贷款利息</t>
    <phoneticPr fontId="134" type="noConversion"/>
  </si>
  <si>
    <t>税金</t>
    <phoneticPr fontId="134" type="noConversion"/>
  </si>
  <si>
    <t>非机动车库</t>
    <phoneticPr fontId="134" type="noConversion"/>
  </si>
  <si>
    <t>储藏室</t>
    <phoneticPr fontId="134" type="noConversion"/>
  </si>
  <si>
    <t>-</t>
    <phoneticPr fontId="134" type="noConversion"/>
  </si>
  <si>
    <t>-</t>
    <phoneticPr fontId="134" type="noConversion"/>
  </si>
  <si>
    <t>-</t>
    <phoneticPr fontId="134" type="noConversion"/>
  </si>
  <si>
    <t>-</t>
    <phoneticPr fontId="134" type="noConversion"/>
  </si>
  <si>
    <t>地下车库</t>
    <phoneticPr fontId="134" type="noConversion"/>
  </si>
  <si>
    <t>-</t>
    <phoneticPr fontId="134" type="noConversion"/>
  </si>
  <si>
    <t>机动车库</t>
    <phoneticPr fontId="134" type="noConversion"/>
  </si>
  <si>
    <t>-</t>
    <phoneticPr fontId="134" type="noConversion"/>
  </si>
  <si>
    <t>配电室</t>
    <phoneticPr fontId="134" type="noConversion"/>
  </si>
  <si>
    <t>-</t>
    <phoneticPr fontId="134" type="noConversion"/>
  </si>
  <si>
    <t>北京市</t>
  </si>
  <si>
    <t>企业</t>
  </si>
  <si>
    <t>是</t>
  </si>
  <si>
    <t>地上</t>
  </si>
  <si>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</si>
  <si>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</si>
  <si>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</si>
  <si>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</si>
  <si>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</si>
  <si>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</si>
  <si>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</si>
  <si>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</si>
  <si>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</si>
  <si>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</si>
  <si>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</si>
  <si>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</si>
  <si>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丰台区东河沿村棚户区改造土地开发项目</t>
    </r>
    <r>
      <rPr>
        <sz val="10"/>
        <rFont val="Arial"/>
        <family val="2"/>
      </rPr>
      <t>FT00-0202-0007</t>
    </r>
    <r>
      <rPr>
        <sz val="10"/>
        <rFont val="宋体"/>
        <family val="3"/>
        <charset val="134"/>
      </rPr>
      <t>等地块</t>
    </r>
  </si>
  <si>
    <r>
      <rPr>
        <sz val="10"/>
        <rFont val="宋体"/>
        <family val="3"/>
        <charset val="134"/>
      </rPr>
      <t>Ⅵ级</t>
    </r>
  </si>
  <si>
    <r>
      <rPr>
        <sz val="10"/>
        <rFont val="宋体"/>
        <family val="3"/>
        <charset val="134"/>
      </rPr>
      <t>无</t>
    </r>
  </si>
  <si>
    <r>
      <rPr>
        <sz val="10"/>
        <rFont val="宋体"/>
        <family val="3"/>
        <charset val="134"/>
      </rPr>
      <t>Ⅲ</t>
    </r>
    <r>
      <rPr>
        <sz val="10"/>
        <rFont val="Arial"/>
        <family val="2"/>
      </rPr>
      <t>-05</t>
    </r>
  </si>
  <si>
    <r>
      <rPr>
        <sz val="10"/>
        <rFont val="宋体"/>
        <family val="3"/>
        <charset val="134"/>
      </rPr>
      <t>丰台区城乡一体化周庄子村旧村改造项目二期</t>
    </r>
    <r>
      <rPr>
        <sz val="10"/>
        <rFont val="Arial"/>
        <family val="2"/>
      </rPr>
      <t>ZZZ-06</t>
    </r>
    <r>
      <rPr>
        <sz val="10"/>
        <rFont val="宋体"/>
        <family val="3"/>
        <charset val="134"/>
      </rPr>
      <t>等地块</t>
    </r>
  </si>
  <si>
    <r>
      <rPr>
        <sz val="10"/>
        <rFont val="宋体"/>
        <family val="3"/>
        <charset val="134"/>
      </rPr>
      <t>Ⅲ</t>
    </r>
    <r>
      <rPr>
        <sz val="10"/>
        <rFont val="Arial"/>
        <family val="2"/>
      </rPr>
      <t>-04</t>
    </r>
  </si>
  <si>
    <r>
      <rPr>
        <sz val="10"/>
        <rFont val="宋体"/>
        <family val="3"/>
        <charset val="134"/>
      </rPr>
      <t>无偿还建</t>
    </r>
    <r>
      <rPr>
        <sz val="10"/>
        <rFont val="Arial"/>
        <family val="2"/>
      </rPr>
      <t>38900</t>
    </r>
    <r>
      <rPr>
        <sz val="10"/>
        <rFont val="宋体"/>
        <family val="3"/>
        <charset val="134"/>
      </rPr>
      <t>平方米，另还建89500产业用房，回购资金110004.8万元</t>
    </r>
  </si>
  <si>
    <r>
      <rPr>
        <sz val="10"/>
        <rFont val="宋体"/>
        <family val="3"/>
        <charset val="134"/>
      </rPr>
      <t>丰台区青龙湖国际文化会都核心区土地一级开发项目</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</si>
  <si>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</si>
  <si>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r>
      <rPr>
        <sz val="10"/>
        <rFont val="宋体"/>
        <family val="3"/>
        <charset val="134"/>
      </rPr>
      <t>丰台区大井三期土地一级开发项目</t>
    </r>
    <r>
      <rPr>
        <sz val="10"/>
        <rFont val="Arial"/>
        <family val="2"/>
      </rPr>
      <t>2505-0031</t>
    </r>
    <r>
      <rPr>
        <sz val="10"/>
        <rFont val="宋体"/>
        <family val="3"/>
        <charset val="134"/>
      </rPr>
      <t>地块、</t>
    </r>
    <r>
      <rPr>
        <sz val="10"/>
        <rFont val="Arial"/>
        <family val="2"/>
      </rPr>
      <t>2505-0030</t>
    </r>
    <r>
      <rPr>
        <sz val="10"/>
        <rFont val="宋体"/>
        <family val="3"/>
        <charset val="134"/>
      </rPr>
      <t>地块</t>
    </r>
  </si>
  <si>
    <t>IV级</t>
  </si>
  <si>
    <r>
      <rPr>
        <sz val="10"/>
        <rFont val="Arial"/>
        <family val="2"/>
      </rPr>
      <t>5.43</t>
    </r>
    <r>
      <rPr>
        <sz val="10"/>
        <rFont val="宋体"/>
        <family val="3"/>
        <charset val="134"/>
      </rPr>
      <t>万平方米产业用房，回购价格</t>
    </r>
    <r>
      <rPr>
        <sz val="10"/>
        <rFont val="Arial"/>
        <family val="2"/>
      </rPr>
      <t>9000</t>
    </r>
    <r>
      <rPr>
        <sz val="10"/>
        <rFont val="宋体"/>
        <family val="3"/>
        <charset val="134"/>
      </rPr>
      <t>元</t>
    </r>
    <r>
      <rPr>
        <sz val="10"/>
        <rFont val="Arial"/>
        <family val="2"/>
      </rPr>
      <t>/</t>
    </r>
    <r>
      <rPr>
        <sz val="10"/>
        <rFont val="宋体"/>
        <family val="3"/>
        <charset val="134"/>
      </rPr>
      <t>平方米</t>
    </r>
  </si>
  <si>
    <r>
      <rPr>
        <sz val="10"/>
        <rFont val="宋体"/>
        <family val="3"/>
        <charset val="134"/>
      </rPr>
      <t>丰台区张家坟棚户区改造土地开发项目</t>
    </r>
  </si>
  <si>
    <t>Ⅲ-04</t>
  </si>
  <si>
    <r>
      <rPr>
        <sz val="10"/>
        <rFont val="宋体"/>
        <family val="3"/>
        <charset val="134"/>
      </rPr>
      <t>莱茵花园土地一级开发项目</t>
    </r>
  </si>
  <si>
    <r>
      <rPr>
        <sz val="10"/>
        <rFont val="宋体"/>
        <family val="3"/>
        <charset val="134"/>
      </rPr>
      <t>朝阳区东坝东南一期土地储备项目</t>
    </r>
    <r>
      <rPr>
        <sz val="10"/>
        <rFont val="Arial"/>
        <family val="2"/>
      </rPr>
      <t>1104-611</t>
    </r>
    <r>
      <rPr>
        <sz val="10"/>
        <rFont val="宋体"/>
        <family val="3"/>
        <charset val="134"/>
      </rPr>
      <t>等地块</t>
    </r>
  </si>
  <si>
    <r>
      <rPr>
        <sz val="10"/>
        <rFont val="宋体"/>
        <family val="3"/>
        <charset val="134"/>
      </rPr>
      <t>Ⅴ级</t>
    </r>
  </si>
  <si>
    <r>
      <rPr>
        <sz val="10"/>
        <rFont val="宋体"/>
        <family val="3"/>
        <charset val="134"/>
      </rPr>
      <t>丰台区长辛店镇辛庄村（一期）项目</t>
    </r>
    <r>
      <rPr>
        <sz val="10"/>
        <rFont val="Arial"/>
        <family val="2"/>
      </rPr>
      <t>B</t>
    </r>
    <r>
      <rPr>
        <sz val="10"/>
        <rFont val="宋体"/>
        <family val="3"/>
        <charset val="134"/>
      </rPr>
      <t>地块</t>
    </r>
  </si>
  <si>
    <r>
      <rPr>
        <sz val="10"/>
        <rFont val="宋体"/>
        <family val="3"/>
        <charset val="134"/>
      </rPr>
      <t>东坝边缘集团剩余可开发区域土地一级开发项目南区</t>
    </r>
  </si>
  <si>
    <t>丰台区丽泽金融商务区南区</t>
  </si>
  <si>
    <t>丰台区长辛店镇辛庄村一期土地一级开发项目</t>
  </si>
  <si>
    <r>
      <rPr>
        <sz val="10"/>
        <rFont val="宋体"/>
        <family val="3"/>
        <charset val="134"/>
      </rPr>
      <t>丰台区石榴庄重点村土地一级开发项目</t>
    </r>
    <r>
      <rPr>
        <sz val="10"/>
        <rFont val="Arial"/>
        <family val="2"/>
      </rPr>
      <t>L02</t>
    </r>
    <r>
      <rPr>
        <sz val="10"/>
        <rFont val="宋体"/>
        <family val="3"/>
        <charset val="134"/>
      </rPr>
      <t>地块</t>
    </r>
  </si>
  <si>
    <r>
      <rPr>
        <sz val="10"/>
        <rFont val="宋体"/>
        <family val="3"/>
        <charset val="134"/>
      </rPr>
      <t>无偿还建地上</t>
    </r>
    <r>
      <rPr>
        <sz val="10"/>
        <rFont val="Arial"/>
        <family val="2"/>
      </rPr>
      <t>110165</t>
    </r>
    <r>
      <rPr>
        <sz val="10"/>
        <rFont val="宋体"/>
        <family val="3"/>
        <charset val="134"/>
      </rPr>
      <t>平方米公建</t>
    </r>
  </si>
  <si>
    <r>
      <rPr>
        <sz val="10"/>
        <rFont val="Arial"/>
        <family val="2"/>
      </rPr>
      <t>1</t>
    </r>
    <r>
      <rPr>
        <sz val="10"/>
        <rFont val="宋体"/>
        <family val="3"/>
        <charset val="134"/>
      </rPr>
      <t>季度</t>
    </r>
  </si>
  <si>
    <r>
      <rPr>
        <sz val="10"/>
        <rFont val="宋体"/>
        <family val="3"/>
        <charset val="134"/>
      </rPr>
      <t>丰台区小瓦窑重点村土地一级开发项目一期（</t>
    </r>
    <r>
      <rPr>
        <sz val="10"/>
        <rFont val="Arial"/>
        <family val="2"/>
      </rPr>
      <t>XWY-12</t>
    </r>
    <r>
      <rPr>
        <sz val="10"/>
        <rFont val="宋体"/>
        <family val="3"/>
        <charset val="134"/>
      </rPr>
      <t>、</t>
    </r>
    <r>
      <rPr>
        <sz val="10"/>
        <rFont val="Arial"/>
        <family val="2"/>
      </rPr>
      <t>16</t>
    </r>
    <r>
      <rPr>
        <sz val="10"/>
        <rFont val="宋体"/>
        <family val="3"/>
        <charset val="134"/>
      </rPr>
      <t>、</t>
    </r>
    <r>
      <rPr>
        <sz val="10"/>
        <rFont val="Arial"/>
        <family val="2"/>
      </rPr>
      <t>17</t>
    </r>
    <r>
      <rPr>
        <sz val="10"/>
        <rFont val="宋体"/>
        <family val="3"/>
        <charset val="134"/>
      </rPr>
      <t>地块）</t>
    </r>
  </si>
  <si>
    <r>
      <rPr>
        <sz val="10"/>
        <rFont val="宋体"/>
        <family val="3"/>
        <charset val="134"/>
      </rPr>
      <t>无偿还建地上</t>
    </r>
    <r>
      <rPr>
        <sz val="10"/>
        <rFont val="Arial"/>
        <family val="2"/>
      </rPr>
      <t>110995</t>
    </r>
    <r>
      <rPr>
        <sz val="10"/>
        <rFont val="宋体"/>
        <family val="3"/>
        <charset val="134"/>
      </rPr>
      <t>平方米公建，建设成本</t>
    </r>
    <r>
      <rPr>
        <sz val="10"/>
        <rFont val="Arial"/>
        <family val="2"/>
      </rPr>
      <t>5500</t>
    </r>
  </si>
  <si>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</si>
  <si>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</si>
  <si>
    <r>
      <rPr>
        <sz val="10"/>
        <rFont val="宋体"/>
        <family val="3"/>
        <charset val="134"/>
      </rPr>
      <t>朝阳区崔各庄乡马泉营村香江西住宅土地一级开发项目</t>
    </r>
  </si>
  <si>
    <t>住宅</t>
    <phoneticPr fontId="7" type="noConversion"/>
  </si>
  <si>
    <r>
      <t>丰台区万泉寺住宅小区一级开发项目</t>
    </r>
    <r>
      <rPr>
        <sz val="10"/>
        <rFont val="Arial"/>
        <family val="2"/>
      </rPr>
      <t>A</t>
    </r>
    <r>
      <rPr>
        <sz val="10"/>
        <rFont val="宋体"/>
        <family val="3"/>
        <charset val="134"/>
      </rPr>
      <t>地块</t>
    </r>
    <phoneticPr fontId="134" type="noConversion"/>
  </si>
  <si>
    <t>丰台区城乡一体化周庄子村旧村改造项目</t>
    <phoneticPr fontId="134" type="noConversion"/>
  </si>
  <si>
    <t>地价水平</t>
  </si>
  <si>
    <t>2022-1</t>
  </si>
  <si>
    <t>2021-4</t>
  </si>
  <si>
    <t>2021-3</t>
  </si>
  <si>
    <t>2021-2</t>
  </si>
  <si>
    <t>2021-1</t>
  </si>
  <si>
    <t>2020-4</t>
  </si>
  <si>
    <t>2020-3</t>
  </si>
  <si>
    <t>2020-2</t>
  </si>
  <si>
    <t>2020-1</t>
  </si>
  <si>
    <t>2019-4</t>
  </si>
  <si>
    <t>2019-3</t>
  </si>
  <si>
    <t>2019-2</t>
  </si>
  <si>
    <t>2019-1</t>
  </si>
  <si>
    <t>2018-4</t>
  </si>
  <si>
    <t>2018-3</t>
  </si>
  <si>
    <t>2018-2</t>
  </si>
  <si>
    <t>2018-1</t>
  </si>
  <si>
    <t>正常</t>
  </si>
  <si>
    <t>70</t>
    <phoneticPr fontId="30" type="noConversion"/>
  </si>
  <si>
    <t>70</t>
    <phoneticPr fontId="30" type="noConversion"/>
  </si>
  <si>
    <t>60-70</t>
    <phoneticPr fontId="30" type="noConversion"/>
  </si>
  <si>
    <t>60-70</t>
    <phoneticPr fontId="30" type="noConversion"/>
  </si>
  <si>
    <t>五级</t>
    <phoneticPr fontId="30" type="noConversion"/>
  </si>
  <si>
    <t>四级</t>
    <phoneticPr fontId="30" type="noConversion"/>
  </si>
  <si>
    <t>三级</t>
    <phoneticPr fontId="30" type="noConversion"/>
  </si>
  <si>
    <t>较规则</t>
  </si>
  <si>
    <t>七通</t>
  </si>
  <si>
    <t>六通</t>
  </si>
  <si>
    <t>五通</t>
  </si>
  <si>
    <t>四通</t>
  </si>
  <si>
    <t>三通</t>
  </si>
  <si>
    <t>较好</t>
  </si>
  <si>
    <t>划拨</t>
  </si>
  <si>
    <t>核定资产</t>
  </si>
  <si>
    <t>出让部分</t>
    <phoneticPr fontId="134" type="noConversion"/>
  </si>
  <si>
    <t>序号</t>
    <phoneticPr fontId="134" type="noConversion"/>
  </si>
  <si>
    <t>部位</t>
    <phoneticPr fontId="134" type="noConversion"/>
  </si>
  <si>
    <t>面积</t>
    <phoneticPr fontId="134" type="noConversion"/>
  </si>
  <si>
    <t>地上商业（配套）</t>
    <phoneticPr fontId="134" type="noConversion"/>
  </si>
  <si>
    <t>1#楼1层局部</t>
    <phoneticPr fontId="134" type="noConversion"/>
  </si>
  <si>
    <t>地上办公（公共服务设施）</t>
    <phoneticPr fontId="134" type="noConversion"/>
  </si>
  <si>
    <t>1#楼1层局部、1#楼2层局部</t>
    <phoneticPr fontId="134" type="noConversion"/>
  </si>
  <si>
    <t>地下仓储</t>
    <phoneticPr fontId="134" type="noConversion"/>
  </si>
  <si>
    <t>1#、2#、3#、4#地下2至5层局部、地下车库2至4层局部</t>
    <phoneticPr fontId="134" type="noConversion"/>
  </si>
  <si>
    <t>地下车库</t>
    <phoneticPr fontId="134" type="noConversion"/>
  </si>
  <si>
    <t>地下车库2至4层局部</t>
    <phoneticPr fontId="134" type="noConversion"/>
  </si>
  <si>
    <t>建筑面积合计</t>
    <phoneticPr fontId="134" type="noConversion"/>
  </si>
  <si>
    <t>土地面积</t>
    <phoneticPr fontId="134" type="noConversion"/>
  </si>
  <si>
    <t>1#公租房</t>
    <phoneticPr fontId="134" type="noConversion"/>
  </si>
  <si>
    <t>测绘</t>
    <phoneticPr fontId="134" type="noConversion"/>
  </si>
  <si>
    <t>地下车库</t>
    <phoneticPr fontId="3" type="noConversion"/>
  </si>
  <si>
    <t>1#公租房</t>
    <phoneticPr fontId="134" type="noConversion"/>
  </si>
  <si>
    <t>公租房</t>
    <phoneticPr fontId="134" type="noConversion"/>
  </si>
  <si>
    <t>集体宿舍</t>
    <phoneticPr fontId="134" type="noConversion"/>
  </si>
  <si>
    <t>社区卫生服务站</t>
    <phoneticPr fontId="134" type="noConversion"/>
  </si>
  <si>
    <t>文体活动站</t>
    <phoneticPr fontId="134" type="noConversion"/>
  </si>
  <si>
    <t>商业服务</t>
    <phoneticPr fontId="134" type="noConversion"/>
  </si>
  <si>
    <t>社区服务中心</t>
    <phoneticPr fontId="134" type="noConversion"/>
  </si>
  <si>
    <t>社区居民委员会</t>
    <phoneticPr fontId="134" type="noConversion"/>
  </si>
  <si>
    <t>物业用房</t>
    <phoneticPr fontId="134" type="noConversion"/>
  </si>
  <si>
    <t>职工餐厅</t>
    <phoneticPr fontId="134" type="noConversion"/>
  </si>
  <si>
    <t>公共活动室</t>
    <phoneticPr fontId="134" type="noConversion"/>
  </si>
  <si>
    <t>设备用房</t>
    <phoneticPr fontId="134" type="noConversion"/>
  </si>
  <si>
    <t>消控室</t>
    <phoneticPr fontId="134" type="noConversion"/>
  </si>
  <si>
    <t>车库出入口</t>
    <phoneticPr fontId="134" type="noConversion"/>
  </si>
  <si>
    <t>有线电视光电转换间</t>
    <phoneticPr fontId="134" type="noConversion"/>
  </si>
  <si>
    <t>厨房</t>
    <phoneticPr fontId="134" type="noConversion"/>
  </si>
  <si>
    <t>储备室</t>
    <phoneticPr fontId="134" type="noConversion"/>
  </si>
  <si>
    <t>人防工程（平时为汽车库）</t>
    <phoneticPr fontId="134" type="noConversion"/>
  </si>
  <si>
    <t>-</t>
    <phoneticPr fontId="134" type="noConversion"/>
  </si>
  <si>
    <t>-</t>
    <phoneticPr fontId="134" type="noConversion"/>
  </si>
  <si>
    <t>-</t>
    <phoneticPr fontId="134" type="noConversion"/>
  </si>
  <si>
    <t>利息：取LPR加浮动点数</t>
  </si>
  <si>
    <t>成新度</t>
  </si>
  <si>
    <t>城镇住宅用地</t>
  </si>
  <si>
    <t>自定义容积率</t>
  </si>
  <si>
    <t>不临65条商业街</t>
  </si>
  <si>
    <t>无</t>
  </si>
  <si>
    <t>500米范围内</t>
  </si>
  <si>
    <t>通路</t>
  </si>
  <si>
    <t>通电</t>
  </si>
  <si>
    <t>通讯</t>
  </si>
  <si>
    <t>通上水</t>
  </si>
  <si>
    <t>通下水</t>
  </si>
  <si>
    <t>通热</t>
  </si>
  <si>
    <t>燃气</t>
  </si>
  <si>
    <t>平整</t>
  </si>
  <si>
    <t>与级别开发程度一致</t>
  </si>
  <si>
    <t>好</t>
  </si>
  <si>
    <t>未包含在土地购买价格中</t>
  </si>
  <si>
    <t>全部缴纳</t>
  </si>
  <si>
    <t>已包含在土地取得成本中</t>
  </si>
  <si>
    <t>规划建筑面积（㎡）</t>
  </si>
  <si>
    <t>单价（元/㎡）</t>
  </si>
  <si>
    <t>总价（亿元）</t>
  </si>
  <si>
    <t>2022-2</t>
    <phoneticPr fontId="30" type="noConversion"/>
  </si>
  <si>
    <t>2022-3</t>
    <phoneticPr fontId="30" type="noConversion"/>
  </si>
  <si>
    <t>2022-4</t>
    <phoneticPr fontId="30" type="noConversion"/>
  </si>
  <si>
    <t>2023-1</t>
    <phoneticPr fontId="30" type="noConversion"/>
  </si>
  <si>
    <t>2023-2</t>
    <phoneticPr fontId="30" type="noConversion"/>
  </si>
  <si>
    <t>2023-3</t>
    <phoneticPr fontId="30" type="noConversion"/>
  </si>
  <si>
    <t>2023-4</t>
    <phoneticPr fontId="30" type="noConversion"/>
  </si>
  <si>
    <t>2024-1</t>
    <phoneticPr fontId="30" type="noConversion"/>
  </si>
  <si>
    <t>2018-4</t>
    <phoneticPr fontId="30" type="noConversion"/>
  </si>
  <si>
    <t>2018-3</t>
    <phoneticPr fontId="30" type="noConversion"/>
  </si>
  <si>
    <t>2018-2</t>
    <phoneticPr fontId="30" type="noConversion"/>
  </si>
  <si>
    <t>2018-1</t>
    <phoneticPr fontId="30" type="noConversion"/>
  </si>
  <si>
    <r>
      <rPr>
        <b/>
        <sz val="10"/>
        <rFont val="仿宋_GB2312"/>
        <family val="3"/>
        <charset val="134"/>
      </rPr>
      <t>土地价格</t>
    </r>
    <r>
      <rPr>
        <b/>
        <sz val="10"/>
        <rFont val="Arial"/>
        <family val="2"/>
      </rPr>
      <t>-</t>
    </r>
    <r>
      <rPr>
        <b/>
        <sz val="10"/>
        <rFont val="仿宋_GB2312"/>
        <family val="3"/>
        <charset val="134"/>
      </rPr>
      <t>总价</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</si>
  <si>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</si>
  <si>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有限年期土地价格</t>
    </r>
  </si>
  <si>
    <r>
      <rPr>
        <b/>
        <sz val="10"/>
        <rFont val="仿宋_GB2312"/>
        <family val="3"/>
        <charset val="134"/>
      </rPr>
      <t>６＋７</t>
    </r>
  </si>
  <si>
    <r>
      <rPr>
        <b/>
        <sz val="10"/>
        <rFont val="仿宋_GB2312"/>
        <family val="3"/>
        <charset val="134"/>
      </rPr>
      <t>无线年期土地价格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</si>
  <si>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</si>
  <si>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土地增值</t>
    </r>
  </si>
  <si>
    <r>
      <rPr>
        <b/>
        <sz val="10"/>
        <rFont val="Arial"/>
        <family val="2"/>
      </rPr>
      <t>1-</t>
    </r>
    <r>
      <rPr>
        <b/>
        <sz val="10"/>
        <rFont val="仿宋_GB2312"/>
        <family val="3"/>
        <charset val="134"/>
      </rPr>
      <t>５项之和</t>
    </r>
  </si>
  <si>
    <r>
      <rPr>
        <b/>
        <sz val="10"/>
        <rFont val="仿宋_GB2312"/>
        <family val="3"/>
        <charset val="134"/>
      </rPr>
      <t>土地成本价格</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</si>
  <si>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</si>
  <si>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利润</t>
    </r>
  </si>
  <si>
    <r>
      <rPr>
        <b/>
        <sz val="10"/>
        <rFont val="仿宋_GB2312"/>
        <family val="3"/>
        <charset val="134"/>
      </rPr>
      <t>贷款利息</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</si>
  <si>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</si>
  <si>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税费</t>
    </r>
  </si>
  <si>
    <t>其他可计入土地开发费的费用</t>
  </si>
  <si>
    <t>其他费用</t>
  </si>
  <si>
    <r>
      <rPr>
        <b/>
        <sz val="10"/>
        <rFont val="宋体"/>
        <family val="3"/>
        <charset val="134"/>
      </rPr>
      <t>（</t>
    </r>
    <r>
      <rPr>
        <b/>
        <sz val="10"/>
        <rFont val="Arial"/>
        <family val="2"/>
      </rPr>
      <t>3）</t>
    </r>
  </si>
  <si>
    <t>红线内土地开发费</t>
  </si>
  <si>
    <t>土地平整费</t>
  </si>
  <si>
    <r>
      <rPr>
        <b/>
        <sz val="10"/>
        <rFont val="宋体"/>
        <family val="3"/>
        <charset val="134"/>
      </rPr>
      <t>（</t>
    </r>
    <r>
      <rPr>
        <b/>
        <sz val="10"/>
        <rFont val="Arial"/>
        <family val="2"/>
      </rPr>
      <t>2</t>
    </r>
    <r>
      <rPr>
        <b/>
        <sz val="10"/>
        <rFont val="宋体"/>
        <family val="3"/>
        <charset val="134"/>
      </rPr>
      <t>）</t>
    </r>
  </si>
  <si>
    <r>
      <rPr>
        <i/>
        <sz val="10"/>
        <rFont val="仿宋_GB2312"/>
        <family val="3"/>
        <charset val="134"/>
      </rPr>
      <t>非住宅</t>
    </r>
  </si>
  <si>
    <t>2）</t>
  </si>
  <si>
    <r>
      <rPr>
        <i/>
        <sz val="10"/>
        <rFont val="仿宋_GB2312"/>
        <family val="3"/>
        <charset val="134"/>
      </rPr>
      <t>住宅</t>
    </r>
  </si>
  <si>
    <t>1）</t>
  </si>
  <si>
    <t>红线外土地开发费</t>
  </si>
  <si>
    <r>
      <rPr>
        <sz val="10"/>
        <rFont val="仿宋_GB2312"/>
        <family val="3"/>
        <charset val="134"/>
      </rPr>
      <t>城市基础设施建设费（行政收费）</t>
    </r>
  </si>
  <si>
    <r>
      <rPr>
        <b/>
        <sz val="10"/>
        <rFont val="宋体"/>
        <family val="3"/>
        <charset val="134"/>
      </rPr>
      <t>（</t>
    </r>
    <r>
      <rPr>
        <b/>
        <sz val="10"/>
        <rFont val="Arial"/>
        <family val="2"/>
      </rPr>
      <t>1</t>
    </r>
    <r>
      <rPr>
        <b/>
        <sz val="10"/>
        <rFont val="宋体"/>
        <family val="3"/>
        <charset val="134"/>
      </rPr>
      <t>）</t>
    </r>
  </si>
  <si>
    <r>
      <rPr>
        <sz val="10"/>
        <rFont val="仿宋_GB2312"/>
        <family val="3"/>
        <charset val="134"/>
      </rPr>
      <t>即宗地红线外市政费用及宗地红线内土地平整费用，根据待估宗地区域对土地开发成本来估算。</t>
    </r>
  </si>
  <si>
    <r>
      <rPr>
        <b/>
        <sz val="10"/>
        <rFont val="仿宋_GB2312"/>
        <family val="3"/>
        <charset val="134"/>
      </rPr>
      <t>土地开发费</t>
    </r>
  </si>
  <si>
    <t>安置补助费</t>
  </si>
  <si>
    <t>补偿费</t>
  </si>
  <si>
    <t>土地开发补偿费</t>
  </si>
  <si>
    <r>
      <rPr>
        <b/>
        <sz val="10"/>
        <rFont val="仿宋_GB2312"/>
        <family val="3"/>
        <charset val="134"/>
      </rPr>
      <t>土地取得费</t>
    </r>
  </si>
  <si>
    <t>备注</t>
  </si>
  <si>
    <r>
      <rPr>
        <b/>
        <sz val="10"/>
        <rFont val="仿宋_GB2312"/>
        <family val="3"/>
        <charset val="134"/>
      </rPr>
      <t>系数</t>
    </r>
  </si>
  <si>
    <r>
      <rPr>
        <b/>
        <sz val="10"/>
        <rFont val="仿宋_GB2312"/>
        <family val="3"/>
        <charset val="134"/>
      </rPr>
      <t>单价</t>
    </r>
  </si>
  <si>
    <r>
      <rPr>
        <b/>
        <sz val="10"/>
        <rFont val="仿宋_GB2312"/>
        <family val="3"/>
        <charset val="134"/>
      </rPr>
      <t>面积</t>
    </r>
  </si>
  <si>
    <r>
      <rPr>
        <b/>
        <sz val="10"/>
        <rFont val="仿宋_GB2312"/>
        <family val="3"/>
        <charset val="134"/>
      </rPr>
      <t>总额</t>
    </r>
  </si>
  <si>
    <r>
      <rPr>
        <b/>
        <sz val="10"/>
        <rFont val="仿宋_GB2312"/>
        <family val="3"/>
        <charset val="134"/>
      </rPr>
      <t>项目</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</si>
  <si>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</si>
  <si>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单位面积地价</t>
    </r>
  </si>
  <si>
    <t>楼面地价</t>
  </si>
  <si>
    <r>
      <rPr>
        <b/>
        <sz val="12"/>
        <rFont val="仿宋_GB2312"/>
        <family val="3"/>
        <charset val="134"/>
      </rPr>
      <t>总价</t>
    </r>
  </si>
  <si>
    <r>
      <rPr>
        <b/>
        <sz val="16"/>
        <color indexed="10"/>
        <rFont val="仿宋_GB2312"/>
        <family val="3"/>
        <charset val="134"/>
      </rPr>
      <t>成本逼近法</t>
    </r>
  </si>
  <si>
    <t>地面价</t>
  </si>
  <si>
    <t>权重</t>
  </si>
  <si>
    <t>基准地价</t>
  </si>
  <si>
    <t>成本逼近法</t>
  </si>
  <si>
    <t>土地购买价格</t>
    <phoneticPr fontId="134" type="noConversion"/>
  </si>
  <si>
    <t>地面单价</t>
    <phoneticPr fontId="134" type="noConversion"/>
  </si>
  <si>
    <t>估价结果-建造成本价</t>
    <phoneticPr fontId="13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</si>
  <si>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</si>
  <si>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</si>
  <si>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</si>
  <si>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</si>
  <si>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</si>
  <si>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</si>
  <si>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</si>
  <si>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</si>
  <si>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</si>
  <si>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</si>
  <si>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</si>
  <si>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</si>
  <si>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</si>
  <si>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</si>
  <si>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</si>
  <si>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</si>
  <si>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</si>
  <si>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</si>
  <si>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</si>
  <si>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  </t>
  </si>
  <si>
    <t>2024-3-03212-RB</t>
  </si>
  <si>
    <t>刘益、刘潇萌</t>
  </si>
  <si>
    <t>北京市丰台区</t>
  </si>
  <si>
    <t>西铁营西路8号院6号楼12层二单元1202</t>
  </si>
  <si>
    <t>亚林西居住区</t>
  </si>
  <si>
    <t>范明宇</t>
  </si>
  <si>
    <t>商品房</t>
  </si>
  <si>
    <t>28（-02）</t>
  </si>
  <si>
    <t>2024-3-02950-RB</t>
  </si>
  <si>
    <t>马连军</t>
  </si>
  <si>
    <t>西铁营中路9号院4号楼7层二单元704</t>
  </si>
  <si>
    <t>亚林西居住区9号院</t>
  </si>
  <si>
    <t>2024-3-02102-RB</t>
  </si>
  <si>
    <t>张滢琪</t>
  </si>
  <si>
    <t>西铁营西路8号院1号楼1层二单元104</t>
  </si>
  <si>
    <t>按经济适用住房管理</t>
  </si>
  <si>
    <t>27（-02）</t>
  </si>
  <si>
    <t>2023-3-20704-RB</t>
  </si>
  <si>
    <t>郭苗</t>
  </si>
  <si>
    <t>西铁营西路1号院5号楼5层2单元501</t>
  </si>
  <si>
    <t>昆仑域</t>
  </si>
  <si>
    <t>16（-02）</t>
  </si>
  <si>
    <t>2023-3-30709-RB</t>
  </si>
  <si>
    <t>段婧一</t>
  </si>
  <si>
    <t>西铁营中路9号院5号楼1层一单元101</t>
  </si>
  <si>
    <t>28（-03）</t>
  </si>
  <si>
    <t>2023-3-28762-RB</t>
  </si>
  <si>
    <t>中国农业银行股份有限公司北京市分行</t>
  </si>
  <si>
    <t>西铁营西路8号院6号楼7层一单元702</t>
  </si>
  <si>
    <t>2023-3-27982-RB</t>
  </si>
  <si>
    <t>郭世杰</t>
  </si>
  <si>
    <t>西铁营西路8号院2号楼15层二单元1503</t>
  </si>
  <si>
    <t>2023-3-25768-RB</t>
  </si>
  <si>
    <t>周和平</t>
  </si>
  <si>
    <t>西铁营中路9号院8号楼5层二单元502</t>
  </si>
  <si>
    <t>26（-03）</t>
  </si>
  <si>
    <t>亚林西</t>
    <phoneticPr fontId="3" type="noConversion"/>
  </si>
  <si>
    <t>住宅</t>
    <phoneticPr fontId="24" type="noConversion"/>
  </si>
  <si>
    <r>
      <t>60-70</t>
    </r>
    <r>
      <rPr>
        <sz val="11"/>
        <color indexed="8"/>
        <rFont val="宋体"/>
        <family val="3"/>
        <charset val="134"/>
      </rPr>
      <t>（含）</t>
    </r>
    <phoneticPr fontId="24" type="noConversion"/>
  </si>
  <si>
    <t>楼层</t>
    <phoneticPr fontId="24" type="noConversion"/>
  </si>
  <si>
    <t>3#101</t>
    <phoneticPr fontId="3" type="noConversion"/>
  </si>
  <si>
    <t>军产经济适用住房价格、建造成本价评估</t>
    <phoneticPr fontId="134" type="noConversion"/>
  </si>
  <si>
    <t>建造成本价</t>
    <phoneticPr fontId="134" type="noConversion"/>
  </si>
  <si>
    <t>售价</t>
  </si>
  <si>
    <t>军产经济适用住房价格</t>
    <phoneticPr fontId="134" type="noConversion"/>
  </si>
  <si>
    <t>南北</t>
  </si>
  <si>
    <t>南北</t>
    <phoneticPr fontId="24" type="noConversion"/>
  </si>
  <si>
    <t>低楼层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</si>
</sst>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0" formatCode="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8"/>
      <color theme="0"/>
      <name val="Arial Unicode MS"/>
      <family val="2"/>
      <charset val="134"/>
    </font>
    <font>
      <sz val="8"/>
      <color theme="1"/>
      <name val="宋体"/>
      <family val="3"/>
      <charset val="134"/>
      <scheme val="minor"/>
    </font>
    <font>
      <sz val="8"/>
      <color theme="1"/>
      <name val="Arial Unicode MS"/>
      <family val="2"/>
      <charset val="134"/>
    </font>
    <font>
      <sz val="8"/>
      <color rgb="FFFF0000"/>
      <name val="Arial Unicode MS"/>
      <family val="2"/>
      <charset val="134"/>
    </font>
    <font>
      <sz val="8"/>
      <name val="Arial Unicode MS"/>
      <family val="2"/>
      <charset val="134"/>
    </font>
    <font>
      <sz val="11"/>
      <name val="宋体"/>
      <family val="3"/>
      <charset val="134"/>
      <scheme val="minor"/>
    </font>
    <font>
      <b/>
      <sz val="10"/>
      <name val="仿宋_GB2312"/>
      <family val="3"/>
      <charset val="134"/>
    </font>
    <font>
      <sz val="10"/>
      <name val="仿宋_GB2312"/>
      <family val="3"/>
      <charset val="134"/>
    </font>
    <font>
      <i/>
      <sz val="10"/>
      <name val="仿宋_GB2312"/>
      <family val="3"/>
      <charset val="134"/>
    </font>
    <font>
      <b/>
      <sz val="12"/>
      <color indexed="8"/>
      <name val="仿宋_GB2312"/>
      <family val="3"/>
      <charset val="134"/>
    </font>
    <font>
      <b/>
      <sz val="11"/>
      <name val="仿宋_GB2312"/>
      <family val="3"/>
      <charset val="134"/>
    </font>
    <font>
      <b/>
      <sz val="16"/>
      <color indexed="10"/>
      <name val="仿宋_GB2312"/>
      <family val="3"/>
      <charset val="134"/>
    </font>
    <font>
      <sz val="9"/>
      <color rgb="FF000000"/>
      <name val="Microsoft YaHei"/>
      <family val="2"/>
      <charset val="134"/>
    </font>
    <font>
      <sz val="9"/>
      <color rgb="FF333333"/>
      <name val="Microsoft YaHei"/>
      <family val="2"/>
      <charset val="134"/>
    </font>
    <font>
      <sz val="12"/>
      <color rgb="FF333333"/>
      <name val="Microsoft YaHei"/>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theme="6" tint="0.7999511703848384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14" fontId="0" fillId="0" borderId="0" xfId="0" applyNumberFormat="1">
      <alignment vertical="center"/>
    </xf>
    <xf numFmtId="0" fontId="269" fillId="0" borderId="0" xfId="0" applyFont="1">
      <alignment vertical="center"/>
    </xf>
    <xf numFmtId="0" fontId="107" fillId="0" borderId="0" xfId="0" applyFont="1">
      <alignment vertical="center"/>
    </xf>
    <xf numFmtId="179" fontId="270" fillId="22" borderId="1" xfId="0" applyNumberFormat="1" applyFont="1" applyFill="1" applyBorder="1" applyAlignment="1">
      <alignment horizontal="center" vertical="center" wrapText="1"/>
    </xf>
    <xf numFmtId="0" fontId="271" fillId="0" borderId="0" xfId="0" applyFont="1">
      <alignment vertical="center"/>
    </xf>
    <xf numFmtId="179" fontId="270" fillId="8" borderId="1" xfId="0" applyNumberFormat="1" applyFont="1" applyFill="1" applyBorder="1" applyAlignment="1">
      <alignment horizontal="center" vertical="center" wrapText="1"/>
    </xf>
    <xf numFmtId="179" fontId="272" fillId="14" borderId="1" xfId="0" applyNumberFormat="1" applyFont="1" applyFill="1" applyBorder="1" applyAlignment="1">
      <alignment horizontal="center" vertical="center" wrapText="1"/>
    </xf>
    <xf numFmtId="179" fontId="272" fillId="23" borderId="1" xfId="0" applyNumberFormat="1" applyFont="1" applyFill="1" applyBorder="1" applyAlignment="1">
      <alignment horizontal="center" vertical="center" wrapText="1"/>
    </xf>
    <xf numFmtId="179" fontId="272" fillId="0" borderId="1" xfId="0" applyNumberFormat="1" applyFont="1" applyBorder="1" applyAlignment="1">
      <alignment horizontal="center" vertical="center" wrapText="1"/>
    </xf>
    <xf numFmtId="179" fontId="273" fillId="0" borderId="1" xfId="0" applyNumberFormat="1" applyFont="1" applyBorder="1" applyAlignment="1">
      <alignment horizontal="center" vertical="center" wrapText="1"/>
    </xf>
    <xf numFmtId="0" fontId="95" fillId="5" borderId="0" xfId="0" applyFont="1" applyFill="1">
      <alignment vertical="center"/>
    </xf>
    <xf numFmtId="0" fontId="0" fillId="5" borderId="0" xfId="0" applyFill="1">
      <alignment vertical="center"/>
    </xf>
    <xf numFmtId="179" fontId="274" fillId="23" borderId="1" xfId="0" applyNumberFormat="1" applyFont="1" applyFill="1" applyBorder="1" applyAlignment="1">
      <alignment horizontal="center" vertical="center" wrapText="1"/>
    </xf>
    <xf numFmtId="179" fontId="274" fillId="0" borderId="1" xfId="0" applyNumberFormat="1" applyFont="1" applyBorder="1" applyAlignment="1">
      <alignment horizontal="center" vertical="center" wrapText="1"/>
    </xf>
    <xf numFmtId="179" fontId="271" fillId="0" borderId="0" xfId="0" applyNumberFormat="1" applyFont="1">
      <alignment vertical="center"/>
    </xf>
    <xf numFmtId="0" fontId="5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99" fillId="0" borderId="0" xfId="0" applyFont="1" applyFill="1">
      <alignment vertical="center"/>
    </xf>
    <xf numFmtId="0" fontId="19" fillId="0" borderId="1" xfId="0" applyFont="1" applyFill="1" applyBorder="1" applyAlignment="1">
      <alignment horizontal="left" vertical="center"/>
    </xf>
    <xf numFmtId="179" fontId="53" fillId="0" borderId="1" xfId="0" applyNumberFormat="1" applyFont="1" applyFill="1" applyBorder="1" applyAlignment="1">
      <alignment horizontal="center" vertical="center" wrapText="1"/>
    </xf>
    <xf numFmtId="179" fontId="53"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53" fillId="0" borderId="1" xfId="0" applyFont="1" applyFill="1" applyBorder="1" applyAlignment="1">
      <alignment horizontal="left" vertical="center" wrapText="1"/>
    </xf>
    <xf numFmtId="0" fontId="99" fillId="0"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99" fillId="0" borderId="1" xfId="0" applyFont="1" applyFill="1" applyBorder="1">
      <alignment vertical="center"/>
    </xf>
    <xf numFmtId="0" fontId="53" fillId="0" borderId="1" xfId="0" applyFont="1" applyFill="1" applyBorder="1" applyAlignment="1">
      <alignment vertical="center"/>
    </xf>
    <xf numFmtId="179" fontId="51" fillId="0" borderId="1" xfId="0" applyNumberFormat="1" applyFont="1" applyFill="1" applyBorder="1" applyAlignment="1">
      <alignment horizontal="center" vertical="center"/>
    </xf>
    <xf numFmtId="0" fontId="53" fillId="5" borderId="1" xfId="0" applyFont="1" applyFill="1" applyBorder="1" applyAlignment="1">
      <alignment horizontal="center" vertical="center"/>
    </xf>
    <xf numFmtId="0" fontId="19" fillId="5" borderId="1" xfId="0" applyFont="1" applyFill="1" applyBorder="1" applyAlignment="1">
      <alignment horizontal="left" vertical="center"/>
    </xf>
    <xf numFmtId="0" fontId="19" fillId="5" borderId="1" xfId="0" applyFont="1" applyFill="1" applyBorder="1" applyAlignment="1">
      <alignment horizontal="center" vertical="center"/>
    </xf>
    <xf numFmtId="0" fontId="53" fillId="5" borderId="1" xfId="0" applyFont="1" applyFill="1" applyBorder="1" applyAlignment="1">
      <alignment horizontal="center" vertical="center" wrapText="1"/>
    </xf>
    <xf numFmtId="179" fontId="53" fillId="5" borderId="1" xfId="0" applyNumberFormat="1" applyFont="1" applyFill="1" applyBorder="1" applyAlignment="1">
      <alignment horizontal="center" vertical="center"/>
    </xf>
    <xf numFmtId="0" fontId="19" fillId="5" borderId="1" xfId="0" applyFont="1" applyFill="1" applyBorder="1" applyAlignment="1">
      <alignment horizontal="left" vertical="center" wrapText="1"/>
    </xf>
    <xf numFmtId="0" fontId="53" fillId="5" borderId="1" xfId="0" applyFont="1" applyFill="1" applyBorder="1" applyAlignment="1">
      <alignment horizontal="left" vertical="center" wrapText="1"/>
    </xf>
    <xf numFmtId="181" fontId="64" fillId="8" borderId="0" xfId="0" applyNumberFormat="1" applyFont="1" applyFill="1" applyBorder="1" applyAlignment="1" applyProtection="1">
      <alignment vertical="center"/>
      <protection locked="0"/>
    </xf>
    <xf numFmtId="49" fontId="53" fillId="7" borderId="1" xfId="16" applyNumberFormat="1" applyFont="1" applyFill="1" applyBorder="1" applyAlignment="1" applyProtection="1">
      <alignment horizontal="left" vertical="center" wrapText="1"/>
      <protection locked="0"/>
    </xf>
    <xf numFmtId="49" fontId="53" fillId="8" borderId="1" xfId="16"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Font="1" applyAlignment="1">
      <alignment horizontal="center" vertical="center" wrapText="1"/>
    </xf>
    <xf numFmtId="0" fontId="77" fillId="0" borderId="1" xfId="0" applyFont="1" applyBorder="1" applyAlignment="1" applyProtection="1">
      <alignment vertical="center" wrapText="1"/>
      <protection locked="0"/>
    </xf>
    <xf numFmtId="0" fontId="107" fillId="24" borderId="0" xfId="0" applyFont="1" applyFill="1" applyAlignment="1">
      <alignment horizontal="center" vertical="center" wrapText="1"/>
    </xf>
    <xf numFmtId="0" fontId="107" fillId="24" borderId="0" xfId="0" applyFont="1" applyFill="1">
      <alignment vertical="center"/>
    </xf>
    <xf numFmtId="0" fontId="271" fillId="24" borderId="0" xfId="0" applyFont="1" applyFill="1">
      <alignment vertical="center"/>
    </xf>
    <xf numFmtId="0" fontId="107" fillId="25" borderId="0" xfId="0" applyFont="1" applyFill="1" applyAlignment="1">
      <alignment horizontal="center" vertical="center" wrapText="1"/>
    </xf>
    <xf numFmtId="179" fontId="47" fillId="3" borderId="5" xfId="0" applyNumberFormat="1" applyFont="1" applyFill="1" applyBorder="1" applyAlignment="1" applyProtection="1">
      <alignment horizontal="center" vertical="center" wrapText="1"/>
      <protection locked="0"/>
    </xf>
    <xf numFmtId="0" fontId="54" fillId="26" borderId="5" xfId="1" applyFont="1" applyFill="1" applyBorder="1" applyAlignment="1" applyProtection="1"/>
    <xf numFmtId="177" fontId="54" fillId="26" borderId="1" xfId="1" applyNumberFormat="1" applyFont="1" applyFill="1" applyBorder="1" applyAlignment="1" applyProtection="1">
      <alignment horizontal="center"/>
    </xf>
    <xf numFmtId="0" fontId="54" fillId="26" borderId="1" xfId="0" applyFont="1" applyFill="1" applyBorder="1" applyAlignment="1" applyProtection="1">
      <alignment horizontal="center" vertical="center"/>
    </xf>
    <xf numFmtId="178" fontId="54" fillId="26" borderId="1" xfId="0" applyNumberFormat="1" applyFont="1" applyFill="1" applyBorder="1" applyAlignment="1" applyProtection="1">
      <alignment horizontal="center" vertical="center"/>
    </xf>
    <xf numFmtId="0" fontId="54" fillId="26" borderId="5" xfId="1" applyFont="1" applyFill="1" applyBorder="1" applyAlignment="1" applyProtection="1">
      <alignment vertical="center"/>
    </xf>
    <xf numFmtId="177" fontId="54" fillId="26" borderId="1" xfId="1" applyNumberFormat="1" applyFont="1" applyFill="1" applyBorder="1" applyAlignment="1" applyProtection="1">
      <alignment horizontal="center" vertical="center"/>
    </xf>
    <xf numFmtId="0" fontId="54" fillId="15" borderId="5" xfId="1" applyFont="1" applyFill="1" applyBorder="1" applyAlignment="1" applyProtection="1"/>
    <xf numFmtId="177" fontId="54" fillId="15" borderId="1" xfId="0" applyNumberFormat="1" applyFont="1" applyFill="1" applyBorder="1" applyAlignment="1" applyProtection="1">
      <alignment horizontal="center" vertical="center"/>
    </xf>
    <xf numFmtId="0" fontId="54" fillId="15" borderId="1" xfId="0" applyFont="1" applyFill="1" applyBorder="1" applyAlignment="1" applyProtection="1">
      <alignment horizontal="center" vertical="center"/>
    </xf>
    <xf numFmtId="0" fontId="54" fillId="15" borderId="5" xfId="1" applyFont="1" applyFill="1" applyBorder="1" applyAlignment="1" applyProtection="1">
      <alignment vertical="center"/>
    </xf>
    <xf numFmtId="177" fontId="54" fillId="15" borderId="1" xfId="1" applyNumberFormat="1" applyFont="1" applyFill="1" applyBorder="1" applyAlignment="1" applyProtection="1">
      <alignment horizontal="center" vertical="center"/>
    </xf>
    <xf numFmtId="0" fontId="95" fillId="14" borderId="1" xfId="0" applyFont="1" applyFill="1" applyBorder="1" applyAlignment="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xf>
    <xf numFmtId="10" fontId="54" fillId="7" borderId="1" xfId="16" applyNumberFormat="1" applyFont="1" applyFill="1" applyBorder="1" applyAlignment="1" applyProtection="1">
      <alignment horizontal="left" vertical="center"/>
      <protection locked="0"/>
    </xf>
    <xf numFmtId="10" fontId="275" fillId="7" borderId="1" xfId="10" applyNumberFormat="1" applyFont="1" applyFill="1" applyBorder="1" applyAlignment="1" applyProtection="1">
      <alignment horizontal="center" vertical="center" wrapText="1"/>
      <protection locked="0"/>
    </xf>
    <xf numFmtId="0" fontId="275" fillId="7" borderId="1" xfId="10" applyFont="1" applyFill="1" applyBorder="1" applyAlignment="1" applyProtection="1">
      <alignment horizontal="center" vertical="center" wrapText="1"/>
      <protection locked="0"/>
    </xf>
    <xf numFmtId="10" fontId="53" fillId="7" borderId="1" xfId="16" applyNumberFormat="1" applyFont="1" applyFill="1" applyBorder="1" applyAlignment="1" applyProtection="1">
      <alignment horizontal="left" vertical="center"/>
      <protection locked="0"/>
    </xf>
    <xf numFmtId="49" fontId="53" fillId="17" borderId="1" xfId="16" applyNumberFormat="1" applyFont="1" applyFill="1" applyBorder="1" applyAlignment="1" applyProtection="1">
      <alignment horizontal="left" vertical="center" wrapText="1"/>
      <protection locked="0"/>
    </xf>
    <xf numFmtId="10" fontId="53" fillId="17" borderId="1" xfId="16" applyNumberFormat="1" applyFont="1" applyFill="1" applyBorder="1" applyAlignment="1" applyProtection="1">
      <alignment horizontal="left" vertical="center"/>
      <protection locked="0"/>
    </xf>
    <xf numFmtId="10" fontId="275" fillId="17" borderId="1" xfId="10" applyNumberFormat="1" applyFont="1" applyFill="1" applyBorder="1" applyAlignment="1" applyProtection="1">
      <alignment horizontal="center" vertical="center" wrapText="1"/>
      <protection locked="0"/>
    </xf>
    <xf numFmtId="0" fontId="275" fillId="17" borderId="1" xfId="10" applyFont="1" applyFill="1" applyBorder="1" applyAlignment="1" applyProtection="1">
      <alignment horizontal="center" vertical="center" wrapText="1"/>
      <protection locked="0"/>
    </xf>
    <xf numFmtId="0" fontId="53" fillId="3" borderId="0" xfId="10" applyFont="1" applyFill="1" applyAlignment="1" applyProtection="1">
      <alignment vertical="center"/>
      <protection locked="0"/>
    </xf>
    <xf numFmtId="0" fontId="53" fillId="7" borderId="0" xfId="10" applyFont="1" applyFill="1" applyAlignment="1" applyProtection="1">
      <alignment vertical="center"/>
      <protection locked="0"/>
    </xf>
    <xf numFmtId="0" fontId="53" fillId="3" borderId="0" xfId="10" applyFont="1" applyFill="1" applyAlignment="1" applyProtection="1">
      <alignment horizontal="center" vertical="center"/>
      <protection locked="0"/>
    </xf>
    <xf numFmtId="0" fontId="53" fillId="3" borderId="0" xfId="10" applyFont="1" applyFill="1" applyAlignment="1" applyProtection="1">
      <alignment horizontal="left" vertical="center"/>
      <protection locked="0"/>
    </xf>
    <xf numFmtId="0" fontId="53" fillId="0" borderId="0" xfId="10" applyFont="1" applyFill="1" applyAlignment="1" applyProtection="1">
      <alignment vertical="center"/>
      <protection locked="0"/>
    </xf>
    <xf numFmtId="0" fontId="53" fillId="0" borderId="0" xfId="10" applyFont="1" applyFill="1" applyAlignment="1" applyProtection="1">
      <alignment horizontal="center" vertical="center"/>
      <protection locked="0"/>
    </xf>
    <xf numFmtId="0" fontId="53" fillId="0" borderId="0" xfId="10" applyFont="1" applyFill="1" applyAlignment="1" applyProtection="1">
      <alignment horizontal="left" vertical="center"/>
      <protection locked="0"/>
    </xf>
    <xf numFmtId="0" fontId="54" fillId="0" borderId="0" xfId="10" applyFont="1" applyFill="1" applyAlignment="1" applyProtection="1">
      <alignment vertical="center"/>
      <protection locked="0"/>
    </xf>
    <xf numFmtId="0" fontId="54" fillId="7" borderId="0" xfId="10" applyFont="1" applyFill="1" applyAlignment="1" applyProtection="1">
      <alignment vertical="center"/>
      <protection locked="0"/>
    </xf>
    <xf numFmtId="0" fontId="54" fillId="6" borderId="49" xfId="10" applyFont="1" applyFill="1" applyBorder="1" applyAlignment="1" applyProtection="1">
      <alignment vertical="center" wrapText="1"/>
    </xf>
    <xf numFmtId="9" fontId="54" fillId="6" borderId="33" xfId="1" applyNumberFormat="1" applyFont="1" applyFill="1" applyBorder="1" applyAlignment="1" applyProtection="1">
      <alignment horizontal="center" vertical="center"/>
    </xf>
    <xf numFmtId="177" fontId="54" fillId="6" borderId="32" xfId="1" applyNumberFormat="1" applyFont="1" applyFill="1" applyBorder="1" applyAlignment="1" applyProtection="1">
      <alignment horizontal="center" vertical="center"/>
    </xf>
    <xf numFmtId="179" fontId="54" fillId="6" borderId="32" xfId="1" applyNumberFormat="1" applyFont="1" applyFill="1" applyBorder="1" applyAlignment="1" applyProtection="1">
      <alignment horizontal="center" vertical="center"/>
    </xf>
    <xf numFmtId="0" fontId="54" fillId="6" borderId="33" xfId="1" applyFont="1" applyFill="1" applyBorder="1" applyAlignment="1" applyProtection="1">
      <alignment vertical="center"/>
    </xf>
    <xf numFmtId="49" fontId="54" fillId="6" borderId="25" xfId="1" applyNumberFormat="1" applyFont="1" applyFill="1" applyBorder="1" applyAlignment="1" applyProtection="1">
      <alignment horizontal="left" vertical="center"/>
    </xf>
    <xf numFmtId="0" fontId="54" fillId="6" borderId="24" xfId="10" applyFont="1" applyFill="1" applyBorder="1" applyAlignment="1" applyProtection="1">
      <alignment vertical="center" wrapText="1"/>
    </xf>
    <xf numFmtId="0" fontId="54" fillId="6" borderId="5"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49" fontId="54" fillId="6" borderId="23" xfId="1" applyNumberFormat="1" applyFont="1" applyFill="1" applyBorder="1" applyAlignment="1" applyProtection="1">
      <alignment horizontal="left" vertical="center"/>
    </xf>
    <xf numFmtId="9" fontId="54" fillId="0" borderId="5" xfId="1" applyNumberFormat="1" applyFont="1" applyFill="1" applyBorder="1" applyAlignment="1" applyProtection="1">
      <alignment horizontal="center" vertical="center"/>
      <protection locked="0"/>
    </xf>
    <xf numFmtId="9" fontId="54" fillId="27" borderId="5" xfId="1" applyNumberFormat="1" applyFont="1" applyFill="1" applyBorder="1" applyAlignment="1" applyProtection="1">
      <alignment horizontal="center" vertical="center"/>
      <protection locked="0"/>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right" vertical="center"/>
    </xf>
    <xf numFmtId="49" fontId="54" fillId="6" borderId="23" xfId="10" applyNumberFormat="1" applyFont="1" applyFill="1" applyBorder="1" applyAlignment="1" applyProtection="1">
      <alignment horizontal="left" vertical="center"/>
    </xf>
    <xf numFmtId="0" fontId="138" fillId="7" borderId="0" xfId="10" applyFont="1" applyFill="1" applyAlignment="1" applyProtection="1">
      <alignment vertical="center"/>
      <protection locked="0"/>
    </xf>
    <xf numFmtId="0" fontId="54" fillId="6" borderId="1" xfId="10" applyNumberFormat="1" applyFont="1" applyFill="1" applyBorder="1" applyAlignment="1" applyProtection="1">
      <alignment horizontal="center" vertical="center"/>
    </xf>
    <xf numFmtId="0" fontId="53" fillId="0" borderId="1" xfId="1" applyFont="1" applyFill="1" applyBorder="1" applyAlignment="1" applyProtection="1">
      <alignment horizontal="center" vertical="center"/>
      <protection locked="0"/>
    </xf>
    <xf numFmtId="177" fontId="53" fillId="0" borderId="1" xfId="1" applyNumberFormat="1" applyFont="1" applyFill="1" applyBorder="1" applyAlignment="1" applyProtection="1">
      <alignment horizontal="center" vertical="center"/>
      <protection locked="0"/>
    </xf>
    <xf numFmtId="177" fontId="59" fillId="0" borderId="1" xfId="1" applyNumberFormat="1" applyFont="1" applyFill="1" applyBorder="1" applyAlignment="1" applyProtection="1">
      <alignment horizontal="center" vertical="center"/>
      <protection locked="0"/>
    </xf>
    <xf numFmtId="0" fontId="19" fillId="6" borderId="24" xfId="1" applyFont="1" applyFill="1" applyBorder="1" applyAlignment="1" applyProtection="1">
      <alignment vertical="center" wrapText="1"/>
    </xf>
    <xf numFmtId="10" fontId="53" fillId="6" borderId="5" xfId="1" applyNumberFormat="1" applyFont="1" applyFill="1" applyBorder="1" applyAlignment="1" applyProtection="1">
      <alignment horizontal="center" vertical="center"/>
    </xf>
    <xf numFmtId="0" fontId="227" fillId="6" borderId="5" xfId="1" applyFont="1" applyFill="1" applyBorder="1" applyAlignment="1" applyProtection="1">
      <alignment vertical="center"/>
    </xf>
    <xf numFmtId="10" fontId="53" fillId="6" borderId="1" xfId="1" applyNumberFormat="1" applyFont="1" applyFill="1" applyBorder="1" applyAlignment="1" applyProtection="1">
      <alignment horizontal="center" vertical="center"/>
    </xf>
    <xf numFmtId="180" fontId="53" fillId="0" borderId="1" xfId="1" applyNumberFormat="1" applyFont="1" applyFill="1" applyBorder="1" applyAlignment="1" applyProtection="1">
      <alignment horizontal="center" vertical="center"/>
      <protection locked="0"/>
    </xf>
    <xf numFmtId="177" fontId="59" fillId="6" borderId="1" xfId="1" applyNumberFormat="1" applyFont="1" applyFill="1" applyBorder="1" applyAlignment="1" applyProtection="1">
      <alignment horizontal="center" vertical="center"/>
    </xf>
    <xf numFmtId="0" fontId="59" fillId="6" borderId="5" xfId="1" applyFont="1" applyFill="1" applyBorder="1" applyAlignment="1" applyProtection="1">
      <alignment vertical="center"/>
    </xf>
    <xf numFmtId="49" fontId="80" fillId="6" borderId="23" xfId="1" applyNumberFormat="1" applyFont="1" applyFill="1" applyBorder="1" applyAlignment="1" applyProtection="1">
      <alignment horizontal="left" vertical="center"/>
    </xf>
    <xf numFmtId="0" fontId="19" fillId="6" borderId="24" xfId="1" applyFont="1" applyFill="1" applyBorder="1" applyAlignment="1" applyProtection="1">
      <alignment horizontal="left" vertical="center"/>
    </xf>
    <xf numFmtId="177" fontId="53" fillId="6" borderId="1" xfId="1" applyNumberFormat="1" applyFont="1" applyFill="1" applyBorder="1" applyAlignment="1" applyProtection="1">
      <alignment vertical="center"/>
    </xf>
    <xf numFmtId="0" fontId="53" fillId="6" borderId="5" xfId="1" applyFont="1" applyFill="1" applyBorder="1" applyAlignment="1" applyProtection="1">
      <alignment vertical="center"/>
    </xf>
    <xf numFmtId="0" fontId="54" fillId="6" borderId="24" xfId="1" applyFont="1" applyFill="1" applyBorder="1" applyAlignment="1" applyProtection="1">
      <alignment horizontal="left" vertical="center"/>
    </xf>
    <xf numFmtId="0" fontId="54" fillId="6" borderId="1" xfId="1" applyFont="1" applyFill="1" applyBorder="1" applyAlignment="1" applyProtection="1">
      <alignment horizontal="center" vertical="center"/>
    </xf>
    <xf numFmtId="0" fontId="278" fillId="6" borderId="5" xfId="1" applyFont="1" applyFill="1" applyBorder="1" applyAlignment="1" applyProtection="1">
      <alignment vertical="center"/>
    </xf>
    <xf numFmtId="0" fontId="276" fillId="5" borderId="24" xfId="1" applyFont="1" applyFill="1" applyBorder="1" applyAlignment="1" applyProtection="1">
      <alignment vertical="center"/>
      <protection locked="0"/>
    </xf>
    <xf numFmtId="0" fontId="80" fillId="6" borderId="10" xfId="1" applyFont="1" applyFill="1" applyBorder="1" applyAlignment="1" applyProtection="1">
      <alignment horizontal="left" vertical="center"/>
    </xf>
    <xf numFmtId="0" fontId="54" fillId="6" borderId="9" xfId="1" applyFont="1" applyFill="1" applyBorder="1" applyAlignment="1" applyProtection="1">
      <alignment horizontal="center" vertical="center"/>
    </xf>
    <xf numFmtId="177" fontId="54" fillId="6" borderId="9" xfId="1" applyNumberFormat="1" applyFont="1" applyFill="1" applyBorder="1" applyAlignment="1" applyProtection="1">
      <alignment horizontal="center" vertical="center"/>
    </xf>
    <xf numFmtId="0" fontId="54" fillId="6" borderId="28" xfId="1" applyFont="1" applyFill="1" applyBorder="1" applyAlignment="1" applyProtection="1">
      <alignment vertical="center"/>
    </xf>
    <xf numFmtId="0" fontId="54" fillId="6" borderId="6" xfId="1" applyFont="1" applyFill="1" applyBorder="1" applyAlignment="1" applyProtection="1">
      <alignment horizontal="left" vertical="center"/>
    </xf>
    <xf numFmtId="0" fontId="58" fillId="7" borderId="0" xfId="10" applyFont="1" applyFill="1" applyAlignment="1" applyProtection="1">
      <alignment vertical="center"/>
      <protection locked="0"/>
    </xf>
    <xf numFmtId="0" fontId="57" fillId="12" borderId="0" xfId="1" applyFont="1" applyFill="1" applyBorder="1" applyAlignment="1" applyProtection="1">
      <alignment vertical="center"/>
      <protection locked="0"/>
    </xf>
    <xf numFmtId="0" fontId="124" fillId="6" borderId="22" xfId="10" applyFont="1" applyFill="1" applyBorder="1" applyAlignment="1" applyProtection="1">
      <alignment horizontal="left" vertical="center"/>
    </xf>
    <xf numFmtId="0" fontId="57" fillId="6" borderId="46" xfId="10" applyFont="1" applyFill="1" applyBorder="1" applyAlignment="1" applyProtection="1">
      <alignment vertical="center"/>
    </xf>
    <xf numFmtId="0" fontId="63" fillId="12" borderId="0" xfId="10" applyFont="1" applyFill="1" applyAlignment="1" applyProtection="1">
      <alignment horizontal="center" vertical="center"/>
      <protection locked="0"/>
    </xf>
    <xf numFmtId="0" fontId="57" fillId="6" borderId="1" xfId="10" applyFont="1" applyFill="1" applyBorder="1" applyAlignment="1" applyProtection="1">
      <alignment vertical="center"/>
    </xf>
    <xf numFmtId="0" fontId="50" fillId="6" borderId="13" xfId="10" applyFont="1" applyFill="1" applyBorder="1" applyAlignment="1" applyProtection="1">
      <alignment vertical="center"/>
    </xf>
    <xf numFmtId="0" fontId="280" fillId="6" borderId="13" xfId="1" applyFont="1" applyFill="1" applyBorder="1" applyAlignment="1" applyProtection="1">
      <alignment vertical="center"/>
    </xf>
    <xf numFmtId="0" fontId="57" fillId="6" borderId="0" xfId="1" applyFont="1" applyFill="1" applyBorder="1" applyAlignment="1" applyProtection="1">
      <alignment vertical="center"/>
      <protection locked="0"/>
    </xf>
    <xf numFmtId="0" fontId="57" fillId="6" borderId="19" xfId="1" applyFont="1" applyFill="1" applyBorder="1" applyAlignment="1" applyProtection="1">
      <alignment vertical="center"/>
      <protection locked="0"/>
    </xf>
    <xf numFmtId="0" fontId="95" fillId="14" borderId="1" xfId="0" applyFont="1" applyFill="1" applyBorder="1" applyAlignment="1">
      <alignment horizontal="center" vertical="center"/>
    </xf>
    <xf numFmtId="0" fontId="95" fillId="0" borderId="1" xfId="0" applyFon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79" fontId="270" fillId="22" borderId="5" xfId="0" applyNumberFormat="1" applyFont="1" applyFill="1" applyBorder="1" applyAlignment="1">
      <alignment horizontal="center" vertical="center" wrapText="1"/>
    </xf>
    <xf numFmtId="179" fontId="270" fillId="22" borderId="3" xfId="0" applyNumberFormat="1" applyFont="1" applyFill="1" applyBorder="1" applyAlignment="1">
      <alignment horizontal="center" vertical="center" wrapText="1"/>
    </xf>
    <xf numFmtId="179" fontId="270" fillId="22" borderId="1"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108" fillId="14" borderId="1"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83" fillId="12" borderId="176" xfId="0" applyFont="1" applyFill="1" applyBorder="1" applyAlignment="1">
      <alignment horizontal="center" vertical="center" wrapText="1"/>
    </xf>
    <xf numFmtId="0" fontId="284" fillId="12" borderId="176" xfId="0" applyFont="1" applyFill="1" applyBorder="1" applyAlignment="1">
      <alignment horizontal="center" vertical="center" wrapText="1"/>
    </xf>
    <xf numFmtId="31" fontId="283" fillId="12" borderId="176" xfId="0" applyNumberFormat="1" applyFont="1" applyFill="1" applyBorder="1" applyAlignment="1">
      <alignment horizontal="center" vertical="center" wrapText="1"/>
    </xf>
    <xf numFmtId="0" fontId="283" fillId="28" borderId="176" xfId="0" applyFont="1" applyFill="1" applyBorder="1" applyAlignment="1">
      <alignment horizontal="center" vertical="center" wrapText="1"/>
    </xf>
    <xf numFmtId="0" fontId="284" fillId="28" borderId="176" xfId="0" applyFont="1" applyFill="1" applyBorder="1" applyAlignment="1">
      <alignment horizontal="center" vertical="center" wrapText="1"/>
    </xf>
    <xf numFmtId="31" fontId="283" fillId="28" borderId="176" xfId="0" applyNumberFormat="1" applyFont="1" applyFill="1" applyBorder="1" applyAlignment="1">
      <alignment horizontal="center" vertical="center" wrapText="1"/>
    </xf>
    <xf numFmtId="0" fontId="282" fillId="28" borderId="177" xfId="0" applyFont="1" applyFill="1" applyBorder="1" applyAlignment="1">
      <alignment horizontal="center" vertical="center" wrapText="1"/>
    </xf>
    <xf numFmtId="0" fontId="283" fillId="29" borderId="176" xfId="0" applyFont="1" applyFill="1" applyBorder="1" applyAlignment="1">
      <alignment horizontal="center" vertical="center" wrapText="1"/>
    </xf>
    <xf numFmtId="0" fontId="284" fillId="29" borderId="176" xfId="0" applyFont="1" applyFill="1" applyBorder="1" applyAlignment="1">
      <alignment horizontal="center" vertical="center" wrapText="1"/>
    </xf>
    <xf numFmtId="31" fontId="283" fillId="29" borderId="176" xfId="0" applyNumberFormat="1" applyFont="1" applyFill="1" applyBorder="1" applyAlignment="1">
      <alignment horizontal="center" vertical="center" wrapText="1"/>
    </xf>
    <xf numFmtId="0" fontId="282" fillId="29" borderId="177" xfId="0" applyFont="1" applyFill="1" applyBorder="1" applyAlignment="1">
      <alignment horizontal="center" vertical="center" wrapText="1"/>
    </xf>
    <xf numFmtId="0" fontId="208" fillId="0" borderId="23" xfId="0" applyFont="1" applyFill="1" applyBorder="1" applyAlignment="1" applyProtection="1">
      <alignment horizontal="center" vertical="center" wrapText="1"/>
      <protection locked="0"/>
    </xf>
    <xf numFmtId="0" fontId="283" fillId="5" borderId="176" xfId="0" applyFont="1" applyFill="1" applyBorder="1" applyAlignment="1">
      <alignment horizontal="center" vertical="center" wrapText="1"/>
    </xf>
    <xf numFmtId="0" fontId="284" fillId="5" borderId="176" xfId="0" applyFont="1" applyFill="1" applyBorder="1" applyAlignment="1">
      <alignment horizontal="center" vertical="center" wrapText="1"/>
    </xf>
    <xf numFmtId="31" fontId="283" fillId="5" borderId="176"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57" fontId="242" fillId="0" borderId="178" xfId="0" applyNumberFormat="1" applyFont="1" applyBorder="1" applyAlignment="1">
      <alignment horizontal="center" vertical="center" wrapText="1"/>
    </xf>
    <xf numFmtId="57" fontId="242" fillId="0" borderId="179" xfId="0" applyNumberFormat="1" applyFont="1" applyBorder="1" applyAlignment="1">
      <alignment horizontal="center" vertical="center" wrapText="1"/>
    </xf>
    <xf numFmtId="0" fontId="3" fillId="0" borderId="0" xfId="0" applyFont="1" applyAlignment="1">
      <alignment horizontal="center" vertical="center" wrapText="1"/>
    </xf>
    <xf numFmtId="0" fontId="242" fillId="0" borderId="180" xfId="0" applyFont="1" applyBorder="1" applyAlignment="1">
      <alignment horizontal="center" vertical="center" wrapText="1"/>
    </xf>
    <xf numFmtId="0" fontId="242" fillId="0" borderId="181" xfId="0" applyFont="1" applyBorder="1" applyAlignment="1">
      <alignment horizontal="center" vertical="center" wrapText="1"/>
    </xf>
    <xf numFmtId="57" fontId="3" fillId="0" borderId="0" xfId="0" applyNumberFormat="1" applyFont="1" applyAlignment="1">
      <alignment horizontal="center" vertical="center" wrapText="1"/>
    </xf>
    <xf numFmtId="200" fontId="3" fillId="0" borderId="0" xfId="0" applyNumberFormat="1" applyFont="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513771</xdr:colOff>
      <xdr:row>20</xdr:row>
      <xdr:rowOff>85286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71" cy="3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9</xdr:col>
      <xdr:colOff>314325</xdr:colOff>
      <xdr:row>21</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
          <a:ext cx="648652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14</xdr:col>
      <xdr:colOff>560876</xdr:colOff>
      <xdr:row>44</xdr:row>
      <xdr:rowOff>47148</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8096250"/>
          <a:ext cx="8790476" cy="3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6446;&#35799;&#38678;\&#35799;&#38678;wuli&#25253;&#21578;&#20204;\2022&#24180;\6&#25104;&#26412;\2022-1-0105&#8220;826&#24037;&#31243;&#8221;&#26032;&#24314;&#32844;&#24037;&#20303;&#23429;&#20215;&#26684;&#35780;&#20272;\F05%20&#20303;&#23429;&#19971;&#36890;&#21464;&#20116;&#36890;&#35843;&#31995;&#25968;\0324F05&#35843;&#27979;&#31639;-826&#24037;&#31243;&#26032;&#24314;&#32844;&#24037;&#20303;&#23429;&#22522;&#20934;&#20215;&#26684;0315&#35843;&#25972;&#24320;&#21457;&#24314;&#35774;&#26399;&#21152;&#22522;&#20934;&#22320;&#20215;0316&#21024;&#21033;&#28070;&#29575;&#21152;&#22303;&#22320;&#25104;&#26412;&#27861;0317&#21024;&#24314;&#23433;&#37096;&#20998;&#31246;&#36153;0322&#25187;&#38500;&#31649;&#29702;&#36153;&#21450;&#36130;&#21153;&#36153;&#29992;0324&#19971;&#36890;&#35843;&#20116;&#36890;&#21208;&#23519;&#36153;&#22686;&#211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2508;&#21512;&#32452;\&#21382;&#24180;&#25253;&#21578;\2022\&#39034;&#20041;&#32769;&#25919;&#24220;&#22823;&#27004;&#27169;&#25311;&#25910;&#20648;\&#39034;&#20041;&#32769;&#25919;&#24220;&#21150;&#20844;&#27004;&#20986;&#35753;&#21450;&#21010;&#25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权属文件"/>
      <sheetName val="估价对象房地状况"/>
      <sheetName val="结果汇总表"/>
      <sheetName val="数据-汇总表"/>
      <sheetName val="面积表"/>
      <sheetName val="结果汇总表1"/>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成本逼近法"/>
      <sheetName val="土地比较法-住宅、综合"/>
      <sheetName val="土地比较法-工业"/>
      <sheetName val="修正"/>
      <sheetName val="容积率修正"/>
      <sheetName val="基准地价（汇总）"/>
      <sheetName val="典型户型修正"/>
      <sheetName val="成本法（废）"/>
      <sheetName val="区片价"/>
      <sheetName val="因素修正幅度"/>
      <sheetName val="存贷款利率"/>
      <sheetName val="土地一级开发成本案例"/>
      <sheetName val="地价"/>
      <sheetName val="结果表"/>
      <sheetName val="系统读取表"/>
      <sheetName val="Sheet2"/>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I5">
            <v>47461.850000000006</v>
          </cell>
        </row>
      </sheetData>
      <sheetData sheetId="12"/>
      <sheetData sheetId="13">
        <row r="19">
          <cell r="B19">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17">
          <cell r="C17" t="str">
            <v>项目类型</v>
          </cell>
        </row>
        <row r="18">
          <cell r="C18"/>
        </row>
        <row r="19">
          <cell r="C19" t="str">
            <v>住宅</v>
          </cell>
        </row>
        <row r="20">
          <cell r="C20" t="str">
            <v>商业（配套）</v>
          </cell>
        </row>
        <row r="21">
          <cell r="C21" t="str">
            <v>办公（公共服务设施）</v>
          </cell>
        </row>
        <row r="22">
          <cell r="C22" t="str">
            <v>地下仓储（丙二类库房）</v>
          </cell>
        </row>
        <row r="23">
          <cell r="C23" t="str">
            <v>地下车库（非人防车库）</v>
          </cell>
        </row>
        <row r="24">
          <cell r="C24"/>
        </row>
        <row r="25">
          <cell r="C25"/>
        </row>
        <row r="26">
          <cell r="C26"/>
        </row>
      </sheetData>
      <sheetData sheetId="18"/>
      <sheetData sheetId="19"/>
      <sheetData sheetId="20"/>
      <sheetData sheetId="21"/>
      <sheetData sheetId="22"/>
      <sheetData sheetId="23"/>
      <sheetData sheetId="24"/>
      <sheetData sheetId="25"/>
      <sheetData sheetId="26"/>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sheetData sheetId="34"/>
      <sheetData sheetId="35">
        <row r="73">
          <cell r="A73" t="str">
            <v>交易情况</v>
          </cell>
          <cell r="B73"/>
          <cell r="C73" t="str">
            <v>正常</v>
          </cell>
          <cell r="D73"/>
          <cell r="E73"/>
          <cell r="F73"/>
          <cell r="G73"/>
          <cell r="H73"/>
          <cell r="I73"/>
          <cell r="J73"/>
          <cell r="K73"/>
          <cell r="L73"/>
          <cell r="M73"/>
        </row>
        <row r="75">
          <cell r="B75" t="str">
            <v>用途</v>
          </cell>
          <cell r="C75" t="str">
            <v>住宅</v>
          </cell>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t="str">
            <v>六级</v>
          </cell>
          <cell r="D108" t="str">
            <v>七级</v>
          </cell>
          <cell r="E108" t="str">
            <v>八级</v>
          </cell>
          <cell r="F108" t="str">
            <v>九级</v>
          </cell>
          <cell r="G108" t="str">
            <v>十级</v>
          </cell>
          <cell r="H108"/>
          <cell r="I108"/>
          <cell r="J108"/>
          <cell r="K108"/>
          <cell r="L108"/>
          <cell r="M108"/>
        </row>
        <row r="119">
          <cell r="B119" t="str">
            <v>宗地形状</v>
          </cell>
          <cell r="C119" t="str">
            <v>较规则</v>
          </cell>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t="str">
            <v>七通</v>
          </cell>
          <cell r="D123" t="str">
            <v>六通</v>
          </cell>
          <cell r="E123" t="str">
            <v>五通</v>
          </cell>
          <cell r="F123" t="str">
            <v>四通</v>
          </cell>
          <cell r="G123" t="str">
            <v>三通</v>
          </cell>
          <cell r="H123"/>
          <cell r="I123"/>
          <cell r="J123"/>
          <cell r="K123"/>
          <cell r="L123"/>
          <cell r="M123"/>
        </row>
        <row r="125">
          <cell r="B125" t="str">
            <v>工程地质条件</v>
          </cell>
          <cell r="C125" t="str">
            <v>较好</v>
          </cell>
          <cell r="D125"/>
          <cell r="E125"/>
          <cell r="F125"/>
          <cell r="G125"/>
          <cell r="H125"/>
          <cell r="I125"/>
          <cell r="J125"/>
          <cell r="K125"/>
          <cell r="L125"/>
          <cell r="M125"/>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 sheetId="42"/>
      <sheetData sheetId="43"/>
      <sheetData sheetId="44"/>
      <sheetData sheetId="45"/>
      <sheetData sheetId="46">
        <row r="8">
          <cell r="P8">
            <v>9.4999999999999998E-3</v>
          </cell>
        </row>
        <row r="12">
          <cell r="P12">
            <v>5.0000000000000001E-3</v>
          </cell>
        </row>
        <row r="13">
          <cell r="P13">
            <v>2.0999999999999999E-3</v>
          </cell>
        </row>
        <row r="14">
          <cell r="P14">
            <v>5.4000000000000003E-3</v>
          </cell>
        </row>
        <row r="15">
          <cell r="P15">
            <v>6.0000000000000001E-3</v>
          </cell>
        </row>
        <row r="16">
          <cell r="P16">
            <v>1.6200000000000003E-2</v>
          </cell>
        </row>
      </sheetData>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估价对象为北京市房地产，为所有。根据《国有土地使用证》[]，估价对象（分摊）出让国有建设用地使用权面积为21500平方米，建筑面积为70468平方米。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估价对象为北京市房地产,属开发建设的，该项目尚在开发建设中。根据《国有土地使用证》[]，估价对象（分摊）出让国有建设用地使用权面积为21500平方米，规划建筑面积为70468平方米。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2024年4月17日（评估专业人员实地查勘之日）</v>
      </c>
    </row>
    <row r="13" spans="1:2" s="1202" customFormat="1">
      <c r="A13" s="1200" t="s">
        <v>529</v>
      </c>
      <c r="B13" s="1201" t="str">
        <f>'预评函-1'!A18</f>
        <v>本次估价的“房地产价值”是指在正常市场情况下，在价值时点2024年4月17日，估价对象规划用途为，土地取得方式为划拨，假定未设立法定优先受偿款下的房地产市场价值。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70468</v>
      </c>
    </row>
    <row r="44" spans="1:2" s="1202" customFormat="1">
      <c r="A44" s="1200" t="s">
        <v>575</v>
      </c>
      <c r="B44" s="1201" t="str">
        <f>'预评函-3'!C2</f>
        <v>(分摊)土地面积</v>
      </c>
    </row>
    <row r="45" spans="1:2" s="1202" customFormat="1">
      <c r="A45" s="1200" t="s">
        <v>547</v>
      </c>
      <c r="B45" s="1201">
        <f>'预评函-3'!C4</f>
        <v>21500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topLeftCell="A19" workbookViewId="0">
      <selection activeCell="D31" sqref="D31"/>
    </sheetView>
  </sheetViews>
  <sheetFormatPr defaultRowHeight="13.5"/>
  <cols>
    <col min="1" max="1" width="11.625" bestFit="1" customWidth="1"/>
    <col min="2" max="2" width="23.125" customWidth="1"/>
    <col min="3" max="3" width="16.25" customWidth="1"/>
    <col min="4" max="4" width="9.5" bestFit="1" customWidth="1"/>
  </cols>
  <sheetData>
    <row r="1" spans="1:4">
      <c r="A1" s="3449">
        <v>42269</v>
      </c>
      <c r="B1" s="3448" t="s">
        <v>3414</v>
      </c>
    </row>
    <row r="2" spans="1:4">
      <c r="B2" s="3448" t="s">
        <v>3415</v>
      </c>
      <c r="C2">
        <v>21593.8</v>
      </c>
      <c r="D2" s="3448" t="s">
        <v>3417</v>
      </c>
    </row>
    <row r="3" spans="1:4">
      <c r="B3" s="3448" t="s">
        <v>3416</v>
      </c>
      <c r="C3">
        <v>60000</v>
      </c>
    </row>
    <row r="4" spans="1:4">
      <c r="B4" s="3448" t="s">
        <v>3418</v>
      </c>
      <c r="C4">
        <v>4500</v>
      </c>
    </row>
    <row r="5" spans="1:4">
      <c r="C5">
        <f>C3*C4/10000</f>
        <v>27000</v>
      </c>
      <c r="D5" s="3448" t="s">
        <v>3419</v>
      </c>
    </row>
    <row r="6" spans="1:4">
      <c r="A6" s="3449">
        <v>42272</v>
      </c>
      <c r="B6" s="3448" t="s">
        <v>3407</v>
      </c>
    </row>
    <row r="7" spans="1:4">
      <c r="A7" s="3449">
        <v>42459</v>
      </c>
      <c r="B7" s="3448" t="s">
        <v>3401</v>
      </c>
    </row>
    <row r="8" spans="1:4">
      <c r="B8" s="3459" t="s">
        <v>3402</v>
      </c>
      <c r="C8" s="3460">
        <v>28630</v>
      </c>
    </row>
    <row r="9" spans="1:4">
      <c r="C9" s="3459" t="s">
        <v>3403</v>
      </c>
      <c r="D9" s="3460">
        <v>21500</v>
      </c>
    </row>
    <row r="10" spans="1:4">
      <c r="C10" s="3448" t="s">
        <v>3404</v>
      </c>
      <c r="D10">
        <v>7130</v>
      </c>
    </row>
    <row r="11" spans="1:4">
      <c r="B11" s="3448" t="s">
        <v>3405</v>
      </c>
      <c r="C11">
        <v>60200</v>
      </c>
    </row>
    <row r="12" spans="1:4">
      <c r="C12" s="3448" t="s">
        <v>3406</v>
      </c>
    </row>
    <row r="13" spans="1:4">
      <c r="A13" s="3449">
        <v>42983</v>
      </c>
      <c r="B13" s="3448" t="s">
        <v>3420</v>
      </c>
    </row>
    <row r="14" spans="1:4">
      <c r="B14" s="3448" t="s">
        <v>3421</v>
      </c>
      <c r="C14">
        <v>21500</v>
      </c>
    </row>
    <row r="15" spans="1:4">
      <c r="B15" s="3459" t="s">
        <v>3422</v>
      </c>
      <c r="C15" s="3460">
        <v>13854.97</v>
      </c>
    </row>
    <row r="16" spans="1:4">
      <c r="B16" s="3448" t="s">
        <v>3423</v>
      </c>
      <c r="C16" s="3448" t="s">
        <v>2555</v>
      </c>
    </row>
    <row r="17" spans="1:8">
      <c r="B17" s="3448" t="s">
        <v>3424</v>
      </c>
      <c r="C17">
        <v>80681</v>
      </c>
    </row>
    <row r="18" spans="1:8">
      <c r="A18" s="3449">
        <v>43055</v>
      </c>
      <c r="B18" s="3448" t="s">
        <v>3408</v>
      </c>
    </row>
    <row r="20" spans="1:8">
      <c r="B20" s="3448" t="s">
        <v>3425</v>
      </c>
      <c r="C20" s="3448" t="s">
        <v>3426</v>
      </c>
      <c r="D20" s="3448" t="s">
        <v>3427</v>
      </c>
      <c r="E20" s="3448" t="s">
        <v>3428</v>
      </c>
      <c r="F20" s="3448" t="s">
        <v>3429</v>
      </c>
      <c r="G20" s="3448" t="s">
        <v>3430</v>
      </c>
      <c r="H20" s="3448" t="s">
        <v>3431</v>
      </c>
    </row>
    <row r="21" spans="1:8">
      <c r="B21" s="3450" t="s">
        <v>3432</v>
      </c>
      <c r="C21">
        <v>18165</v>
      </c>
      <c r="D21">
        <v>14830</v>
      </c>
      <c r="E21">
        <v>3335</v>
      </c>
      <c r="F21">
        <v>23</v>
      </c>
      <c r="G21">
        <v>-5</v>
      </c>
      <c r="H21">
        <v>90</v>
      </c>
    </row>
    <row r="22" spans="1:8">
      <c r="B22" s="3448" t="s">
        <v>3433</v>
      </c>
      <c r="D22">
        <v>14757</v>
      </c>
    </row>
    <row r="23" spans="1:8">
      <c r="B23" s="3448" t="s">
        <v>3434</v>
      </c>
      <c r="E23">
        <v>380</v>
      </c>
    </row>
    <row r="24" spans="1:8">
      <c r="B24" s="3448" t="s">
        <v>3435</v>
      </c>
      <c r="E24">
        <v>2955</v>
      </c>
    </row>
    <row r="25" spans="1:8">
      <c r="B25" s="3448" t="s">
        <v>3436</v>
      </c>
      <c r="D25">
        <v>73</v>
      </c>
    </row>
    <row r="26" spans="1:8">
      <c r="B26" s="3450" t="s">
        <v>3437</v>
      </c>
      <c r="C26">
        <v>21434</v>
      </c>
      <c r="D26">
        <v>17790</v>
      </c>
      <c r="E26">
        <v>3644</v>
      </c>
      <c r="F26">
        <v>23</v>
      </c>
      <c r="G26">
        <v>-5</v>
      </c>
      <c r="H26">
        <v>90</v>
      </c>
    </row>
    <row r="27" spans="1:8">
      <c r="B27" s="3448" t="s">
        <v>3433</v>
      </c>
      <c r="D27">
        <v>17679</v>
      </c>
    </row>
    <row r="28" spans="1:8">
      <c r="B28" s="3448" t="s">
        <v>3438</v>
      </c>
      <c r="D28">
        <v>39</v>
      </c>
    </row>
    <row r="29" spans="1:8">
      <c r="B29" s="3448" t="s">
        <v>3434</v>
      </c>
      <c r="E29">
        <v>514</v>
      </c>
    </row>
    <row r="30" spans="1:8">
      <c r="B30" s="3448" t="s">
        <v>3435</v>
      </c>
      <c r="E30">
        <v>3130</v>
      </c>
    </row>
    <row r="31" spans="1:8">
      <c r="B31" s="3448" t="s">
        <v>3436</v>
      </c>
      <c r="D31">
        <v>73</v>
      </c>
    </row>
    <row r="32" spans="1:8">
      <c r="B32" s="3450" t="s">
        <v>3439</v>
      </c>
      <c r="C32">
        <v>17750</v>
      </c>
      <c r="D32">
        <v>14440</v>
      </c>
      <c r="E32">
        <v>3310</v>
      </c>
      <c r="F32">
        <v>23</v>
      </c>
      <c r="G32">
        <v>-5</v>
      </c>
      <c r="H32">
        <v>90</v>
      </c>
    </row>
    <row r="33" spans="1:5">
      <c r="B33" s="3448" t="s">
        <v>3433</v>
      </c>
      <c r="D33">
        <v>14375</v>
      </c>
    </row>
    <row r="34" spans="1:5">
      <c r="B34" s="3448" t="s">
        <v>3434</v>
      </c>
      <c r="E34">
        <v>360</v>
      </c>
    </row>
    <row r="35" spans="1:5">
      <c r="B35" s="3448" t="s">
        <v>3435</v>
      </c>
      <c r="E35">
        <v>2950</v>
      </c>
    </row>
    <row r="36" spans="1:5">
      <c r="B36" s="3448" t="s">
        <v>3436</v>
      </c>
      <c r="D36">
        <v>65</v>
      </c>
    </row>
    <row r="37" spans="1:5">
      <c r="B37" s="3448"/>
    </row>
    <row r="38" spans="1:5">
      <c r="B38" s="3448"/>
    </row>
    <row r="39" spans="1:5">
      <c r="A39" s="3449">
        <v>43396</v>
      </c>
      <c r="B39" s="3448" t="s">
        <v>3381</v>
      </c>
    </row>
    <row r="40" spans="1:5">
      <c r="B40" s="3448" t="s">
        <v>3382</v>
      </c>
      <c r="C40" s="3448" t="s">
        <v>3383</v>
      </c>
    </row>
    <row r="41" spans="1:5">
      <c r="B41" s="3448" t="s">
        <v>3384</v>
      </c>
      <c r="C41">
        <v>21500</v>
      </c>
    </row>
    <row r="42" spans="1:5">
      <c r="B42" s="3459" t="s">
        <v>3385</v>
      </c>
      <c r="C42" s="3460">
        <v>7552.43</v>
      </c>
    </row>
    <row r="43" spans="1:5">
      <c r="B43" s="3448" t="s">
        <v>3386</v>
      </c>
      <c r="C43" s="3448" t="s">
        <v>3387</v>
      </c>
    </row>
    <row r="44" spans="1:5">
      <c r="B44" s="3448" t="s">
        <v>2546</v>
      </c>
      <c r="C44" s="3448" t="s">
        <v>3388</v>
      </c>
    </row>
    <row r="45" spans="1:5">
      <c r="B45" s="3448" t="s">
        <v>3389</v>
      </c>
      <c r="C45">
        <v>90924611</v>
      </c>
      <c r="D45" s="3448" t="s">
        <v>3400</v>
      </c>
    </row>
    <row r="46" spans="1:5">
      <c r="C46" s="3448" t="s">
        <v>3390</v>
      </c>
      <c r="D46">
        <v>86559611</v>
      </c>
      <c r="E46" s="3448" t="s">
        <v>3413</v>
      </c>
    </row>
    <row r="47" spans="1:5">
      <c r="C47" s="3448" t="s">
        <v>3391</v>
      </c>
      <c r="D47">
        <v>4365000</v>
      </c>
    </row>
    <row r="48" spans="1:5">
      <c r="B48" s="3448" t="s">
        <v>3392</v>
      </c>
      <c r="C48">
        <v>60200</v>
      </c>
      <c r="D48" s="3448" t="s">
        <v>3393</v>
      </c>
    </row>
    <row r="49" spans="1:4">
      <c r="B49" s="3448" t="s">
        <v>3394</v>
      </c>
      <c r="C49">
        <v>2.8</v>
      </c>
    </row>
    <row r="50" spans="1:4">
      <c r="B50" s="3448" t="s">
        <v>3395</v>
      </c>
      <c r="C50" s="3448" t="s">
        <v>3396</v>
      </c>
    </row>
    <row r="51" spans="1:4">
      <c r="B51" s="3448" t="s">
        <v>3397</v>
      </c>
      <c r="C51">
        <v>7132.665</v>
      </c>
    </row>
    <row r="52" spans="1:4">
      <c r="B52" s="3448" t="s">
        <v>3398</v>
      </c>
      <c r="C52">
        <v>50632</v>
      </c>
      <c r="D52" s="3448" t="s">
        <v>3399</v>
      </c>
    </row>
    <row r="53" spans="1:4">
      <c r="A53" s="3449">
        <v>43396</v>
      </c>
      <c r="B53" s="3448" t="s">
        <v>3409</v>
      </c>
    </row>
    <row r="54" spans="1:4">
      <c r="B54" s="3448" t="s">
        <v>3410</v>
      </c>
      <c r="C54">
        <v>43667</v>
      </c>
    </row>
    <row r="55" spans="1:4">
      <c r="C55" s="3448" t="s">
        <v>3411</v>
      </c>
      <c r="D55">
        <v>970</v>
      </c>
    </row>
    <row r="56" spans="1:4">
      <c r="C56" s="3448" t="s">
        <v>3412</v>
      </c>
      <c r="D56">
        <v>42697</v>
      </c>
    </row>
    <row r="58" spans="1:4">
      <c r="A58" s="3448" t="s">
        <v>3440</v>
      </c>
    </row>
    <row r="59" spans="1:4">
      <c r="B59" s="3448" t="s">
        <v>2555</v>
      </c>
      <c r="C59" s="3448" t="s">
        <v>3442</v>
      </c>
      <c r="D59" s="3448" t="s">
        <v>3443</v>
      </c>
    </row>
    <row r="60" spans="1:4">
      <c r="A60" s="3448" t="s">
        <v>3441</v>
      </c>
      <c r="B60">
        <v>17642.490000000002</v>
      </c>
      <c r="C60">
        <v>621.32000000000005</v>
      </c>
      <c r="D60">
        <v>2918.82</v>
      </c>
    </row>
    <row r="61" spans="1:4">
      <c r="A61" s="3448" t="s">
        <v>3444</v>
      </c>
      <c r="B61">
        <v>14756.66</v>
      </c>
      <c r="C61">
        <v>538.76</v>
      </c>
      <c r="D61">
        <v>2702.97</v>
      </c>
    </row>
    <row r="62" spans="1:4">
      <c r="A62" s="3448" t="s">
        <v>3445</v>
      </c>
      <c r="B62">
        <v>14386.16</v>
      </c>
      <c r="C62">
        <v>519.58000000000004</v>
      </c>
      <c r="D62">
        <v>2690.49</v>
      </c>
    </row>
  </sheetData>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4"/>
      <c r="B54" s="1553" t="s">
        <v>385</v>
      </c>
      <c r="C54" s="1550" t="s">
        <v>583</v>
      </c>
    </row>
    <row r="55" spans="1:4">
      <c r="A55" s="3624"/>
      <c r="B55" s="1553" t="s">
        <v>386</v>
      </c>
      <c r="C55" s="1550" t="s">
        <v>584</v>
      </c>
    </row>
    <row r="56" spans="1:4">
      <c r="A56" s="3624"/>
      <c r="B56" s="1553" t="s">
        <v>387</v>
      </c>
      <c r="C56" s="1550" t="s">
        <v>588</v>
      </c>
    </row>
    <row r="57" spans="1:4">
      <c r="A57" s="36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625" t="s">
        <v>2583</v>
      </c>
      <c r="J2" s="3625"/>
      <c r="K2" s="3625"/>
      <c r="L2" s="3625"/>
      <c r="M2" s="3625"/>
      <c r="N2" s="3625"/>
      <c r="O2" s="3625"/>
      <c r="P2" s="3625"/>
      <c r="Q2" s="3625"/>
      <c r="R2" s="3625"/>
    </row>
    <row r="3" spans="1:18">
      <c r="A3" s="3019" t="s">
        <v>2504</v>
      </c>
      <c r="B3" s="3020">
        <f>项目基本情况!D3</f>
        <v>45399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2.67</v>
      </c>
      <c r="D5" s="3024">
        <f>IF(ISERROR(ROUND(POWER(1+E5,A5-C5)*(POWER(1+E5,C5)-1)/(POWER(1+E5,A5)-1),3)),0,ROUND(POWER(1+E5,A5-C5)*(POWER(1+E5,C5)-1)/(POWER(1+E5,A5)-1),4))</f>
        <v>0.12559999999999999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12.68</v>
      </c>
      <c r="D6" s="3024">
        <f>IF(ISERROR(ROUND(POWER(1+E6,A6-C6)*(POWER(1+E6,C6)-1)/(POWER(1+E6,A6)-1),3)),0,ROUND(POWER(1+E6,A6-C6)*(POWER(1+E6,C6)-1)/(POWER(1+E6,A6)-1),4))</f>
        <v>0.45600000000000002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32.69</v>
      </c>
      <c r="D7" s="3024">
        <f>IF(ISERROR(ROUND(POWER(1+E7,A7-C7)*(POWER(1+E7,C7)-1)/(POWER(1+E7,A7)-1),3)),0,ROUND(POWER(1+E7,A7-C7)*(POWER(1+E7,C7)-1)/(POWER(1+E7,A7)-1),4))</f>
        <v>0.77210000000000001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9" sqref="D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34" t="str">
        <f>IF(B10="北京市","北京市",C10)&amp;F10&amp;IF(结果表!G1="在建","出让国有建设用地使用权及在建建筑物",IF(结果表!G1="土地","出让国有建设用地使用权",))&amp;B9&amp;"预评估"</f>
        <v>北京市预评估</v>
      </c>
      <c r="C1" s="3635"/>
      <c r="D1" s="3635"/>
      <c r="E1" s="3635"/>
      <c r="F1" s="3635"/>
      <c r="G1" s="3635"/>
      <c r="H1" s="3635"/>
      <c r="I1" s="363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45399</v>
      </c>
      <c r="C3" s="2373" t="s">
        <v>2171</v>
      </c>
      <c r="D3" s="2372">
        <f>B3</f>
        <v>45399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3568</v>
      </c>
      <c r="C8" s="2389"/>
      <c r="D8" s="3637" t="s">
        <v>2177</v>
      </c>
      <c r="E8" s="2390"/>
      <c r="F8" s="2391"/>
      <c r="G8" s="2662"/>
      <c r="H8" s="2662"/>
      <c r="I8" s="2662"/>
      <c r="J8" s="2438"/>
      <c r="K8" s="2613"/>
      <c r="L8" s="2612"/>
      <c r="M8" s="2612"/>
      <c r="N8" s="2438"/>
      <c r="O8" s="2449"/>
      <c r="P8" s="2438"/>
      <c r="Q8" s="2438"/>
      <c r="R8" s="2438"/>
    </row>
    <row r="9" spans="1:30" ht="13.5" thickBot="1">
      <c r="A9" s="2392" t="s">
        <v>2178</v>
      </c>
      <c r="B9" s="2393"/>
      <c r="C9" s="2394"/>
      <c r="D9" s="3638"/>
      <c r="E9" s="2393"/>
      <c r="F9" s="2395"/>
      <c r="G9" s="2664"/>
      <c r="H9" s="2664"/>
      <c r="I9" s="2664"/>
      <c r="J9" s="2438"/>
      <c r="K9" s="2615"/>
      <c r="L9" s="2612"/>
      <c r="M9" s="2612"/>
      <c r="N9" s="2438"/>
      <c r="O9" s="2449"/>
      <c r="P9" s="2438"/>
      <c r="Q9" s="2438"/>
      <c r="R9" s="2438"/>
    </row>
    <row r="10" spans="1:30" ht="13.5" thickTop="1">
      <c r="A10" s="2396" t="s">
        <v>2179</v>
      </c>
      <c r="B10" s="2397" t="s">
        <v>3486</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3487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3567</v>
      </c>
      <c r="B13" s="2406" t="s">
        <v>2190</v>
      </c>
      <c r="C13" s="856">
        <v>70965</v>
      </c>
      <c r="D13" s="856"/>
      <c r="E13" s="856"/>
      <c r="F13" s="856"/>
      <c r="G13" s="856"/>
      <c r="H13" s="856"/>
      <c r="I13" s="856"/>
      <c r="J13" s="3061"/>
      <c r="K13" s="2612"/>
      <c r="L13" s="2612"/>
      <c r="M13" s="2438"/>
      <c r="N13" s="2449"/>
      <c r="O13" s="2438"/>
      <c r="P13" s="2438"/>
      <c r="Q13" s="2438"/>
      <c r="AD13" s="1744"/>
    </row>
    <row r="14" spans="1:30">
      <c r="A14" s="1080"/>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70</v>
      </c>
      <c r="D15" s="2409">
        <f>IF(A13="出让",IF(D13="","",ROUNDDOWN(MIN((D13-$D$3)/365,D14),2)),D14)</f>
        <v>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2193</v>
      </c>
      <c r="B16" s="3644"/>
      <c r="C16" s="3645"/>
      <c r="D16" s="3646"/>
      <c r="E16" s="2412" t="s">
        <v>2194</v>
      </c>
      <c r="F16" s="3647"/>
      <c r="G16" s="3648"/>
      <c r="H16" s="3648"/>
      <c r="I16" s="3649"/>
      <c r="J16" s="2438"/>
      <c r="K16" s="2616"/>
      <c r="L16" s="2450"/>
      <c r="M16" s="2450"/>
      <c r="N16" s="2508"/>
      <c r="O16" s="2450"/>
      <c r="P16" s="2508"/>
      <c r="Q16" s="2438"/>
      <c r="R16" s="2438"/>
    </row>
    <row r="17" spans="1:28">
      <c r="A17" s="313" t="s">
        <v>2195</v>
      </c>
      <c r="B17" s="302" t="s">
        <v>2196</v>
      </c>
      <c r="C17" s="8">
        <f>'数据-汇总表'!E3</f>
        <v>70468</v>
      </c>
      <c r="D17" s="2321" t="s">
        <v>2197</v>
      </c>
      <c r="E17" s="3650" t="s">
        <v>2198</v>
      </c>
      <c r="F17" s="3651"/>
      <c r="G17" s="3651"/>
      <c r="H17" s="3651"/>
      <c r="I17" s="365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21500</v>
      </c>
      <c r="D18" s="1091" t="s">
        <v>2201</v>
      </c>
      <c r="E18" s="3653" t="s">
        <v>2202</v>
      </c>
      <c r="F18" s="3654"/>
      <c r="G18" s="3654"/>
      <c r="H18" s="3654"/>
      <c r="I18" s="365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40" t="s">
        <v>2206</v>
      </c>
      <c r="C20" s="3641"/>
      <c r="D20" s="3642" t="s">
        <v>2207</v>
      </c>
      <c r="E20" s="3643"/>
      <c r="F20" s="2646" t="s">
        <v>1056</v>
      </c>
      <c r="G20" s="2663"/>
      <c r="H20" s="2663"/>
      <c r="I20" s="2663"/>
      <c r="J20" s="2438"/>
      <c r="K20" s="36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2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2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2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28"/>
      <c r="B30" s="302" t="s">
        <v>2218</v>
      </c>
      <c r="C30" s="3629"/>
      <c r="D30" s="3630"/>
      <c r="E30" s="2663"/>
      <c r="F30" s="2663"/>
      <c r="G30" s="2663"/>
      <c r="H30" s="2663"/>
      <c r="I30" s="2663"/>
      <c r="J30" s="2438"/>
      <c r="K30" s="2615"/>
      <c r="L30" s="2612"/>
      <c r="M30" s="2612"/>
      <c r="N30" s="2438"/>
      <c r="O30" s="2449"/>
      <c r="P30" s="2438"/>
      <c r="Q30" s="2438"/>
      <c r="R30" s="2438"/>
      <c r="S30" s="2438"/>
      <c r="T30" s="2438"/>
      <c r="U30" s="2438"/>
      <c r="V30" s="2438"/>
    </row>
    <row r="31" spans="1:28">
      <c r="A31" s="3631"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26" t="s">
        <v>2228</v>
      </c>
      <c r="T34" s="2427" t="str">
        <f>NUMBERSTRING(7-K34,1)&amp;"通"</f>
        <v>七通</v>
      </c>
      <c r="U34" s="2438"/>
      <c r="V34" s="2438"/>
    </row>
    <row r="35" spans="1:30">
      <c r="A35" s="2428"/>
      <c r="B35" s="3633" t="s">
        <v>2229</v>
      </c>
      <c r="C35" s="3633"/>
      <c r="D35" s="3633"/>
      <c r="E35" s="363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296</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202</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17" sqref="AM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面积整理!B1</f>
        <v>21500</v>
      </c>
      <c r="B3" s="11">
        <f>IF(C3="否",G5-AT5,G5)</f>
        <v>70468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3500">
        <f>A3</f>
        <v>21500</v>
      </c>
      <c r="AZ3" s="1050">
        <f>面积整理!C9</f>
        <v>62310</v>
      </c>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80643</v>
      </c>
      <c r="H5" s="13">
        <f t="shared" ref="H5:AT5" si="0">SUM(H13:H656)</f>
        <v>58590</v>
      </c>
      <c r="I5" s="13">
        <f t="shared" si="0"/>
        <v>58590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11878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2750</v>
      </c>
      <c r="AM5" s="13">
        <f t="shared" si="0"/>
        <v>0</v>
      </c>
      <c r="AN5" s="13">
        <f t="shared" si="0"/>
        <v>9128</v>
      </c>
      <c r="AO5" s="13">
        <f t="shared" si="0"/>
        <v>0</v>
      </c>
      <c r="AP5" s="13">
        <f t="shared" si="0"/>
        <v>0</v>
      </c>
      <c r="AQ5" s="13">
        <f t="shared" si="0"/>
        <v>0</v>
      </c>
      <c r="AR5" s="13">
        <f t="shared" si="0"/>
        <v>0</v>
      </c>
      <c r="AS5" s="13">
        <f t="shared" si="0"/>
        <v>0</v>
      </c>
      <c r="AT5" s="13">
        <f t="shared" si="0"/>
        <v>10175</v>
      </c>
      <c r="AU5" s="1345"/>
      <c r="AV5" s="12" t="s">
        <v>1071</v>
      </c>
      <c r="AW5" s="1346"/>
      <c r="AX5" s="1346"/>
      <c r="AY5" s="14" t="s">
        <v>2</v>
      </c>
      <c r="AZ5" s="15">
        <f t="shared" ref="AZ5:BT5" si="1">SUM(AZ13:AZ656)</f>
        <v>70468</v>
      </c>
      <c r="BA5" s="15">
        <f t="shared" si="1"/>
        <v>58590</v>
      </c>
      <c r="BB5" s="15">
        <f t="shared" si="1"/>
        <v>58590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11878</v>
      </c>
      <c r="BM5" s="15">
        <f t="shared" si="1"/>
        <v>0</v>
      </c>
      <c r="BN5" s="15">
        <f t="shared" si="1"/>
        <v>0</v>
      </c>
      <c r="BO5" s="15">
        <f t="shared" si="1"/>
        <v>0</v>
      </c>
      <c r="BP5" s="15">
        <f t="shared" si="1"/>
        <v>0</v>
      </c>
      <c r="BQ5" s="15">
        <f t="shared" si="1"/>
        <v>2750</v>
      </c>
      <c r="BR5" s="15">
        <f t="shared" si="1"/>
        <v>9128</v>
      </c>
      <c r="BS5" s="15">
        <f t="shared" si="1"/>
        <v>0</v>
      </c>
      <c r="BT5" s="16">
        <f t="shared" si="1"/>
        <v>0</v>
      </c>
    </row>
    <row r="6" spans="1:72" s="1588" customFormat="1" ht="12.75">
      <c r="A6" s="12" t="s">
        <v>1072</v>
      </c>
      <c r="B6" s="1585"/>
      <c r="C6" s="1585"/>
      <c r="D6" s="1586"/>
      <c r="E6" s="13">
        <f>H6+AC6+AT6</f>
        <v>21500</v>
      </c>
      <c r="F6" s="13" t="s">
        <v>0</v>
      </c>
      <c r="G6" s="13" t="s">
        <v>1</v>
      </c>
      <c r="H6" s="17">
        <f>SUMIF(I$12:AB$12,"总值",I6:AB6)</f>
        <v>17875.990000000002</v>
      </c>
      <c r="I6" s="13">
        <f t="shared" ref="I6:AB6" si="2">ROUND($A$3*I5/$B$3,2)</f>
        <v>17875.990000000002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3624.01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839.03</v>
      </c>
      <c r="AM6" s="13">
        <f t="shared" si="3"/>
        <v>0</v>
      </c>
      <c r="AN6" s="13">
        <f t="shared" si="3"/>
        <v>2784.98</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21500</v>
      </c>
      <c r="AZ6" s="13" t="s">
        <v>2</v>
      </c>
      <c r="BA6" s="13">
        <f>ROUND($AY$6*BA5/$AZ$5,2)</f>
        <v>17875.990000000002</v>
      </c>
      <c r="BB6" s="13">
        <f>ROUND($AY$6*BB5/$AZ$5,2)</f>
        <v>17875.990000000002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3624.01</v>
      </c>
      <c r="BM6" s="13">
        <f t="shared" si="5"/>
        <v>0</v>
      </c>
      <c r="BN6" s="13">
        <f t="shared" si="5"/>
        <v>0</v>
      </c>
      <c r="BO6" s="13">
        <f t="shared" si="5"/>
        <v>0</v>
      </c>
      <c r="BP6" s="13">
        <f t="shared" si="5"/>
        <v>0</v>
      </c>
      <c r="BQ6" s="13">
        <f t="shared" si="5"/>
        <v>839.03</v>
      </c>
      <c r="BR6" s="13">
        <f t="shared" si="5"/>
        <v>2784.98</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3489</v>
      </c>
      <c r="J9" s="809"/>
      <c r="K9" s="1602" t="s">
        <v>3489</v>
      </c>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3455</v>
      </c>
      <c r="J10" s="809"/>
      <c r="K10" s="1608" t="s">
        <v>673</v>
      </c>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地上</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面积整理!A4</f>
        <v>1#公租房</v>
      </c>
      <c r="D13" s="1624" t="s">
        <v>3488</v>
      </c>
      <c r="E13" s="13">
        <f>IF($C$3="是",ROUND($A$3*G13/$B$3,2),ROUND($A$3*(G13-AT13)/$B$3,2))</f>
        <v>6107.86</v>
      </c>
      <c r="F13" s="29"/>
      <c r="G13" s="30">
        <f>H13+AC13+AT13</f>
        <v>20659</v>
      </c>
      <c r="H13" s="17">
        <f>SUMIF(I$12:AB$12,"总值",I13:AB13)</f>
        <v>11780</v>
      </c>
      <c r="I13" s="1625">
        <f>面积整理!D4</f>
        <v>11780</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8239</v>
      </c>
      <c r="AD13" s="1626"/>
      <c r="AE13" s="1626"/>
      <c r="AF13" s="1626"/>
      <c r="AG13" s="1626"/>
      <c r="AH13" s="1626"/>
      <c r="AI13" s="1626"/>
      <c r="AJ13" s="1626"/>
      <c r="AK13" s="1626"/>
      <c r="AL13" s="1626">
        <f>面积整理!E49+面积整理!F49</f>
        <v>2500</v>
      </c>
      <c r="AM13" s="1626"/>
      <c r="AN13" s="1626">
        <f>面积整理!L49</f>
        <v>5739</v>
      </c>
      <c r="AO13" s="1626"/>
      <c r="AP13" s="1626"/>
      <c r="AQ13" s="1626"/>
      <c r="AR13" s="1626"/>
      <c r="AS13" s="1626"/>
      <c r="AT13" s="1627">
        <f>面积整理!M4</f>
        <v>640</v>
      </c>
      <c r="AU13" s="1628"/>
      <c r="AV13" s="8">
        <f t="shared" ref="AV13:AX17" si="6">A13</f>
        <v>0</v>
      </c>
      <c r="AW13" s="8">
        <f t="shared" si="6"/>
        <v>0</v>
      </c>
      <c r="AX13" s="8" t="str">
        <f t="shared" si="6"/>
        <v>1#公租房</v>
      </c>
      <c r="AY13" s="1348">
        <f>ROUND($AY$6*AZ13/$AZ$5,2)</f>
        <v>6107.86</v>
      </c>
      <c r="AZ13" s="13">
        <f>BA13+BL13</f>
        <v>20019</v>
      </c>
      <c r="BA13" s="13">
        <f>SUM(BB13:BK13)</f>
        <v>11780</v>
      </c>
      <c r="BB13" s="13">
        <f>IF($D13="是",I13-J13,0)</f>
        <v>11780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8239</v>
      </c>
      <c r="BM13" s="13">
        <f>IF($D13="是",AD13-AE13,0)</f>
        <v>0</v>
      </c>
      <c r="BN13" s="13">
        <f>IF($D13="是",AF13-AG13,0)</f>
        <v>0</v>
      </c>
      <c r="BO13" s="13">
        <f>IF($D13="是",AH13-AI13,0)</f>
        <v>0</v>
      </c>
      <c r="BP13" s="13">
        <f>IF($D13="是",AJ13-AK13,0)</f>
        <v>0</v>
      </c>
      <c r="BQ13" s="13">
        <f>IF($D13="是",AL13-AM13,0)</f>
        <v>2500</v>
      </c>
      <c r="BR13" s="13">
        <f>IF($D13="是",AN13-AO13,0)</f>
        <v>5739</v>
      </c>
      <c r="BS13" s="13">
        <f>IF($D13="是",AP13-AQ13,0)</f>
        <v>0</v>
      </c>
      <c r="BT13" s="19">
        <f>IF($D13="是",AR13-AS13,0)</f>
        <v>0</v>
      </c>
    </row>
    <row r="14" spans="1:72" s="1578" customFormat="1" ht="25.5">
      <c r="A14" s="1050"/>
      <c r="B14" s="1050"/>
      <c r="C14" s="1050" t="str">
        <f>面积整理!A5</f>
        <v xml:space="preserve">2#定向安置住宅 </v>
      </c>
      <c r="D14" s="1624" t="s">
        <v>3488</v>
      </c>
      <c r="E14" s="13">
        <f>IF($C$3="是",ROUND($A$3*G14/$B$3,2),ROUND($A$3*(G14-AT14)/$B$3,2))</f>
        <v>4640.62</v>
      </c>
      <c r="F14" s="29"/>
      <c r="G14" s="30">
        <f>H14+AC14+AT14</f>
        <v>15210</v>
      </c>
      <c r="H14" s="17">
        <f>SUMIF(I$12:AB$12,"总值",I14:AB14)</f>
        <v>14757</v>
      </c>
      <c r="I14" s="1625">
        <f>面积整理!D5</f>
        <v>14757</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453</v>
      </c>
      <c r="AD14" s="1626"/>
      <c r="AE14" s="1626"/>
      <c r="AF14" s="1626"/>
      <c r="AG14" s="1626"/>
      <c r="AH14" s="1626"/>
      <c r="AI14" s="1626"/>
      <c r="AJ14" s="1626"/>
      <c r="AK14" s="1626"/>
      <c r="AL14" s="1626">
        <f>面积整理!F5</f>
        <v>73</v>
      </c>
      <c r="AM14" s="1626"/>
      <c r="AN14" s="1626">
        <f>面积整理!I50</f>
        <v>380</v>
      </c>
      <c r="AO14" s="1626"/>
      <c r="AP14" s="1626"/>
      <c r="AQ14" s="1626"/>
      <c r="AR14" s="1626"/>
      <c r="AS14" s="1626"/>
      <c r="AT14" s="1627"/>
      <c r="AU14" s="1628"/>
      <c r="AV14" s="8">
        <f t="shared" si="6"/>
        <v>0</v>
      </c>
      <c r="AW14" s="8">
        <f t="shared" si="6"/>
        <v>0</v>
      </c>
      <c r="AX14" s="8" t="str">
        <f t="shared" si="6"/>
        <v xml:space="preserve">2#定向安置住宅 </v>
      </c>
      <c r="AY14" s="1348">
        <f>ROUND($AY$6*AZ14/$AZ$5,2)</f>
        <v>4640.62</v>
      </c>
      <c r="AZ14" s="13">
        <f>BA14+BL14</f>
        <v>15210</v>
      </c>
      <c r="BA14" s="13">
        <f>SUM(BB14:BK14)</f>
        <v>14757</v>
      </c>
      <c r="BB14" s="13">
        <f>IF($D14="是",I14-J14,0)</f>
        <v>14757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453</v>
      </c>
      <c r="BM14" s="13">
        <f>IF($D14="是",AD14-AE14,0)</f>
        <v>0</v>
      </c>
      <c r="BN14" s="13">
        <f>IF($D14="是",AF14-AG14,0)</f>
        <v>0</v>
      </c>
      <c r="BO14" s="13">
        <f>IF($D14="是",AH14-AI14,0)</f>
        <v>0</v>
      </c>
      <c r="BP14" s="13">
        <f>IF($D14="是",AJ14-AK14,0)</f>
        <v>0</v>
      </c>
      <c r="BQ14" s="13">
        <f>IF($D14="是",AL14-AM14,0)</f>
        <v>73</v>
      </c>
      <c r="BR14" s="13">
        <f>IF($D14="是",AN14-AO14,0)</f>
        <v>380</v>
      </c>
      <c r="BS14" s="13">
        <f>IF($D14="是",AP14-AQ14,0)</f>
        <v>0</v>
      </c>
      <c r="BT14" s="19">
        <f>IF($D14="是",AR14-AS14,0)</f>
        <v>0</v>
      </c>
    </row>
    <row r="15" spans="1:72" s="1578" customFormat="1" ht="25.5">
      <c r="A15" s="1050"/>
      <c r="B15" s="1050"/>
      <c r="C15" s="1050" t="str">
        <f>面积整理!A6</f>
        <v xml:space="preserve">3#定向安置住宅 </v>
      </c>
      <c r="D15" s="1624" t="s">
        <v>3488</v>
      </c>
      <c r="E15" s="13">
        <f>IF($C$3="是",ROUND($A$3*G15/$B$3,2),ROUND($A$3*(G15-AT15)/$B$3,2))</f>
        <v>5584.61</v>
      </c>
      <c r="F15" s="29"/>
      <c r="G15" s="30">
        <f>H15+AC15+AT15</f>
        <v>18304</v>
      </c>
      <c r="H15" s="17">
        <f>SUMIF(I$12:AB$12,"总值",I15:AB15)</f>
        <v>17678</v>
      </c>
      <c r="I15" s="1625">
        <f>面积整理!D6</f>
        <v>17678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626</v>
      </c>
      <c r="AD15" s="1626"/>
      <c r="AE15" s="1626"/>
      <c r="AF15" s="1626"/>
      <c r="AG15" s="1626"/>
      <c r="AH15" s="1626"/>
      <c r="AI15" s="1626"/>
      <c r="AJ15" s="1626"/>
      <c r="AK15" s="1626"/>
      <c r="AL15" s="1626">
        <f>面积整理!E6+面积整理!F6</f>
        <v>112</v>
      </c>
      <c r="AM15" s="1626"/>
      <c r="AN15" s="1626">
        <f>面积整理!I51</f>
        <v>514</v>
      </c>
      <c r="AO15" s="1626"/>
      <c r="AP15" s="1626"/>
      <c r="AQ15" s="1626"/>
      <c r="AR15" s="1626"/>
      <c r="AS15" s="1626"/>
      <c r="AT15" s="1627"/>
      <c r="AU15" s="1628"/>
      <c r="AV15" s="8">
        <f t="shared" si="6"/>
        <v>0</v>
      </c>
      <c r="AW15" s="8">
        <f t="shared" si="6"/>
        <v>0</v>
      </c>
      <c r="AX15" s="8" t="str">
        <f t="shared" si="6"/>
        <v xml:space="preserve">3#定向安置住宅 </v>
      </c>
      <c r="AY15" s="1348">
        <f>ROUND($AY$6*AZ15/$AZ$5,2)</f>
        <v>5584.61</v>
      </c>
      <c r="AZ15" s="13">
        <f>BA15+BL15</f>
        <v>18304</v>
      </c>
      <c r="BA15" s="13">
        <f>SUM(BB15:BK15)</f>
        <v>17678</v>
      </c>
      <c r="BB15" s="13">
        <f>IF($D15="是",I15-J15,0)</f>
        <v>17678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626</v>
      </c>
      <c r="BM15" s="13">
        <f>IF($D15="是",AD15-AE15,0)</f>
        <v>0</v>
      </c>
      <c r="BN15" s="13">
        <f>IF($D15="是",AF15-AG15,0)</f>
        <v>0</v>
      </c>
      <c r="BO15" s="13">
        <f>IF($D15="是",AH15-AI15,0)</f>
        <v>0</v>
      </c>
      <c r="BP15" s="13">
        <f>IF($D15="是",AJ15-AK15,0)</f>
        <v>0</v>
      </c>
      <c r="BQ15" s="13">
        <f>IF($D15="是",AL15-AM15,0)</f>
        <v>112</v>
      </c>
      <c r="BR15" s="13">
        <f>IF($D15="是",AN15-AO15,0)</f>
        <v>514</v>
      </c>
      <c r="BS15" s="13">
        <f>IF($D15="是",AP15-AQ15,0)</f>
        <v>0</v>
      </c>
      <c r="BT15" s="19">
        <f>IF($D15="是",AR15-AS15,0)</f>
        <v>0</v>
      </c>
    </row>
    <row r="16" spans="1:72" s="1578" customFormat="1" ht="25.5">
      <c r="A16" s="1050"/>
      <c r="B16" s="1050"/>
      <c r="C16" s="1050" t="str">
        <f>面积整理!A7</f>
        <v xml:space="preserve">4#定向安置住宅 </v>
      </c>
      <c r="D16" s="1624" t="s">
        <v>3488</v>
      </c>
      <c r="E16" s="13">
        <f>IF($C$3="是",ROUND($A$3*G16/$B$3,2),ROUND($A$3*(G16-AT16)/$B$3,2))</f>
        <v>4515.5200000000004</v>
      </c>
      <c r="F16" s="29"/>
      <c r="G16" s="30">
        <f>H16+AC16+AT16</f>
        <v>14800</v>
      </c>
      <c r="H16" s="17">
        <f>SUMIF(I$12:AB$12,"总值",I16:AB16)</f>
        <v>14375</v>
      </c>
      <c r="I16" s="1625">
        <f>面积整理!D7</f>
        <v>14375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425</v>
      </c>
      <c r="AD16" s="1626"/>
      <c r="AE16" s="1626"/>
      <c r="AF16" s="1626"/>
      <c r="AG16" s="1626"/>
      <c r="AH16" s="1626"/>
      <c r="AI16" s="1626"/>
      <c r="AJ16" s="1626"/>
      <c r="AK16" s="1626"/>
      <c r="AL16" s="1626">
        <f>面积整理!F7</f>
        <v>65</v>
      </c>
      <c r="AM16" s="1626"/>
      <c r="AN16" s="1626">
        <f>面积整理!I52</f>
        <v>360</v>
      </c>
      <c r="AO16" s="1626"/>
      <c r="AP16" s="1626"/>
      <c r="AQ16" s="1626"/>
      <c r="AR16" s="1626"/>
      <c r="AS16" s="1626"/>
      <c r="AT16" s="1627"/>
      <c r="AU16" s="1628"/>
      <c r="AV16" s="8">
        <f t="shared" si="6"/>
        <v>0</v>
      </c>
      <c r="AW16" s="8">
        <f t="shared" si="6"/>
        <v>0</v>
      </c>
      <c r="AX16" s="8" t="str">
        <f t="shared" si="6"/>
        <v xml:space="preserve">4#定向安置住宅 </v>
      </c>
      <c r="AY16" s="1348">
        <f>ROUND($AY$6*AZ16/$AZ$5,2)</f>
        <v>4515.5200000000004</v>
      </c>
      <c r="AZ16" s="13">
        <f>BA16+BL16</f>
        <v>14800</v>
      </c>
      <c r="BA16" s="13">
        <f>SUM(BB16:BK16)</f>
        <v>14375</v>
      </c>
      <c r="BB16" s="13">
        <f>IF($D16="是",I16-J16,0)</f>
        <v>14375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425</v>
      </c>
      <c r="BM16" s="13">
        <f>IF($D16="是",AD16-AE16,0)</f>
        <v>0</v>
      </c>
      <c r="BN16" s="13">
        <f>IF($D16="是",AF16-AG16,0)</f>
        <v>0</v>
      </c>
      <c r="BO16" s="13">
        <f>IF($D16="是",AH16-AI16,0)</f>
        <v>0</v>
      </c>
      <c r="BP16" s="13">
        <f>IF($D16="是",AJ16-AK16,0)</f>
        <v>0</v>
      </c>
      <c r="BQ16" s="13">
        <f>IF($D16="是",AL16-AM16,0)</f>
        <v>65</v>
      </c>
      <c r="BR16" s="13">
        <f>IF($D16="是",AN16-AO16,0)</f>
        <v>360</v>
      </c>
      <c r="BS16" s="13">
        <f>IF($D16="是",AP16-AQ16,0)</f>
        <v>0</v>
      </c>
      <c r="BT16" s="19">
        <f>IF($D16="是",AR16-AS16,0)</f>
        <v>0</v>
      </c>
    </row>
    <row r="17" spans="1:72" s="1578" customFormat="1" ht="12.75">
      <c r="A17" s="1050"/>
      <c r="B17" s="1050"/>
      <c r="C17" s="3495" t="s">
        <v>3585</v>
      </c>
      <c r="D17" s="1624" t="s">
        <v>3488</v>
      </c>
      <c r="E17" s="13">
        <f>IF($C$3="是",ROUND($A$3*G17/$B$3,2),ROUND($A$3*(G17-AT17)/$B$3,2))</f>
        <v>651.39</v>
      </c>
      <c r="F17" s="29"/>
      <c r="G17" s="30">
        <f>H17+AC17+AT17</f>
        <v>11670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2135</v>
      </c>
      <c r="AD17" s="1626"/>
      <c r="AE17" s="1626"/>
      <c r="AF17" s="1626"/>
      <c r="AG17" s="1626"/>
      <c r="AH17" s="1626"/>
      <c r="AI17" s="1626"/>
      <c r="AJ17" s="1626"/>
      <c r="AK17" s="1626"/>
      <c r="AL17" s="1626"/>
      <c r="AM17" s="1626"/>
      <c r="AN17" s="1626">
        <f>面积整理!K53+面积整理!L53</f>
        <v>2135</v>
      </c>
      <c r="AO17" s="1626"/>
      <c r="AP17" s="1626"/>
      <c r="AQ17" s="1626"/>
      <c r="AR17" s="1626"/>
      <c r="AS17" s="1626"/>
      <c r="AT17" s="1627">
        <f>面积整理!M8</f>
        <v>9535</v>
      </c>
      <c r="AU17" s="1628"/>
      <c r="AV17" s="8">
        <f t="shared" si="6"/>
        <v>0</v>
      </c>
      <c r="AW17" s="8">
        <f t="shared" si="6"/>
        <v>0</v>
      </c>
      <c r="AX17" s="8" t="str">
        <f t="shared" si="6"/>
        <v>地下车库</v>
      </c>
      <c r="AY17" s="1348">
        <f>ROUND($AY$6*AZ17/$AZ$5,2)</f>
        <v>651.39</v>
      </c>
      <c r="AZ17" s="13">
        <f>BA17+BL17</f>
        <v>2135</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2135</v>
      </c>
      <c r="BM17" s="13">
        <f>IF($D17="是",AD17-AE17,0)</f>
        <v>0</v>
      </c>
      <c r="BN17" s="13">
        <f>IF($D17="是",AF17-AG17,0)</f>
        <v>0</v>
      </c>
      <c r="BO17" s="13">
        <f>IF($D17="是",AH17-AI17,0)</f>
        <v>0</v>
      </c>
      <c r="BP17" s="13">
        <f>IF($D17="是",AJ17-AK17,0)</f>
        <v>0</v>
      </c>
      <c r="BQ17" s="13">
        <f>IF($D17="是",AL17-AM17,0)</f>
        <v>0</v>
      </c>
      <c r="BR17" s="13">
        <f>IF($D17="是",AN17-AO17,0)</f>
        <v>2135</v>
      </c>
      <c r="BS17" s="13">
        <f>IF($D17="是",AP17-AQ17,0)</f>
        <v>0</v>
      </c>
      <c r="BT17" s="19">
        <f>IF($D17="是",AR17-AS17,0)</f>
        <v>0</v>
      </c>
    </row>
    <row r="18" spans="1:72">
      <c r="A18" s="6"/>
      <c r="B18" s="31"/>
      <c r="C18" s="31"/>
      <c r="D18" s="1624" t="s">
        <v>3488</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t="s">
        <v>3488</v>
      </c>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workbookViewId="0">
      <selection activeCell="F1" sqref="F1"/>
    </sheetView>
  </sheetViews>
  <sheetFormatPr defaultRowHeight="10.5"/>
  <cols>
    <col min="1" max="1" width="13.75" style="3453" customWidth="1"/>
    <col min="2" max="2" width="13.875" style="3453" customWidth="1"/>
    <col min="3" max="3" width="9.75" style="3453" bestFit="1" customWidth="1"/>
    <col min="4" max="4" width="11.625" style="3453" customWidth="1"/>
    <col min="5" max="5" width="9.125" style="3453" bestFit="1" customWidth="1"/>
    <col min="6" max="6" width="13.375" style="3453" customWidth="1"/>
    <col min="7" max="7" width="9.75" style="3453" bestFit="1" customWidth="1"/>
    <col min="8" max="8" width="9.75" style="3453" customWidth="1"/>
    <col min="9" max="9" width="9.75" style="3453" bestFit="1" customWidth="1"/>
    <col min="10" max="12" width="9.125" style="3453" bestFit="1" customWidth="1"/>
    <col min="13" max="13" width="9.75" style="3453" bestFit="1" customWidth="1"/>
    <col min="14" max="14" width="9.125" style="3453" bestFit="1" customWidth="1"/>
    <col min="15" max="16384" width="9" style="3453"/>
  </cols>
  <sheetData>
    <row r="1" spans="1:14" ht="12.75">
      <c r="A1" s="3452" t="s">
        <v>3446</v>
      </c>
      <c r="B1" s="3452">
        <v>21500</v>
      </c>
      <c r="C1" s="3452" t="s">
        <v>3447</v>
      </c>
      <c r="D1" s="3452">
        <v>7552.43</v>
      </c>
      <c r="E1" s="3452" t="s">
        <v>3448</v>
      </c>
      <c r="F1" s="3452">
        <f>B1-D1</f>
        <v>13947.57</v>
      </c>
      <c r="G1" s="3453">
        <v>13854.97</v>
      </c>
      <c r="H1" s="3463">
        <f>G1+D1</f>
        <v>21407.4</v>
      </c>
    </row>
    <row r="2" spans="1:14" ht="16.5" customHeight="1">
      <c r="A2" s="3658" t="s">
        <v>3449</v>
      </c>
      <c r="B2" s="3658" t="s">
        <v>3450</v>
      </c>
      <c r="C2" s="3658" t="s">
        <v>3451</v>
      </c>
      <c r="D2" s="3658" t="s">
        <v>3452</v>
      </c>
      <c r="E2" s="3658"/>
      <c r="F2" s="3658"/>
      <c r="G2" s="3658" t="s">
        <v>3453</v>
      </c>
      <c r="H2" s="3452"/>
      <c r="I2" s="3658" t="s">
        <v>3452</v>
      </c>
      <c r="J2" s="3658"/>
      <c r="K2" s="3658"/>
      <c r="L2" s="3658"/>
      <c r="M2" s="3656" t="s">
        <v>3454</v>
      </c>
      <c r="N2" s="3657"/>
    </row>
    <row r="3" spans="1:14" ht="25.5">
      <c r="A3" s="3658"/>
      <c r="B3" s="3658"/>
      <c r="C3" s="3658"/>
      <c r="D3" s="3452" t="s">
        <v>3455</v>
      </c>
      <c r="E3" s="3452" t="s">
        <v>3456</v>
      </c>
      <c r="F3" s="3452" t="s">
        <v>3457</v>
      </c>
      <c r="G3" s="3658"/>
      <c r="H3" s="3452" t="s">
        <v>3482</v>
      </c>
      <c r="I3" s="3452" t="s">
        <v>3474</v>
      </c>
      <c r="J3" s="3452" t="s">
        <v>3475</v>
      </c>
      <c r="K3" s="3452" t="s">
        <v>3484</v>
      </c>
      <c r="L3" s="3452" t="s">
        <v>3458</v>
      </c>
      <c r="M3" s="3454" t="s">
        <v>3459</v>
      </c>
      <c r="N3" s="3454" t="s">
        <v>3460</v>
      </c>
    </row>
    <row r="4" spans="1:14" ht="12.75">
      <c r="A4" s="3452" t="s">
        <v>3583</v>
      </c>
      <c r="B4" s="3455">
        <v>30431</v>
      </c>
      <c r="C4" s="3461">
        <v>15250</v>
      </c>
      <c r="D4" s="3462">
        <f>6300+5480</f>
        <v>11780</v>
      </c>
      <c r="E4" s="3462">
        <f>125+220+100+170+200+150+900+625</f>
        <v>2490</v>
      </c>
      <c r="F4" s="3462">
        <f>411+69+500</f>
        <v>980</v>
      </c>
      <c r="G4" s="3461">
        <v>15181</v>
      </c>
      <c r="H4" s="3462"/>
      <c r="I4" s="3462"/>
      <c r="J4" s="3462">
        <v>8802</v>
      </c>
      <c r="K4" s="3462"/>
      <c r="L4" s="3457">
        <f>5119+60+560</f>
        <v>5739</v>
      </c>
      <c r="M4" s="3457">
        <v>640</v>
      </c>
      <c r="N4" s="3457"/>
    </row>
    <row r="5" spans="1:14" ht="12.75">
      <c r="A5" s="3452" t="s">
        <v>3463</v>
      </c>
      <c r="B5" s="3455">
        <v>18165</v>
      </c>
      <c r="C5" s="3461">
        <v>14830</v>
      </c>
      <c r="D5" s="3462">
        <v>14757</v>
      </c>
      <c r="E5" s="3462" t="s">
        <v>3461</v>
      </c>
      <c r="F5" s="3462">
        <v>73</v>
      </c>
      <c r="G5" s="3461">
        <v>3335</v>
      </c>
      <c r="H5" s="3462" t="s">
        <v>3477</v>
      </c>
      <c r="I5" s="3462">
        <v>380</v>
      </c>
      <c r="J5" s="3462">
        <v>2955</v>
      </c>
      <c r="K5" s="3462" t="s">
        <v>3461</v>
      </c>
      <c r="L5" s="3457" t="s">
        <v>3476</v>
      </c>
      <c r="M5" s="3457" t="s">
        <v>3461</v>
      </c>
      <c r="N5" s="3457" t="s">
        <v>3461</v>
      </c>
    </row>
    <row r="6" spans="1:14" ht="12.75">
      <c r="A6" s="3452" t="s">
        <v>3464</v>
      </c>
      <c r="B6" s="3455">
        <v>21434</v>
      </c>
      <c r="C6" s="3461">
        <v>17790</v>
      </c>
      <c r="D6" s="3462">
        <v>17678</v>
      </c>
      <c r="E6" s="3462">
        <v>39</v>
      </c>
      <c r="F6" s="3462">
        <v>73</v>
      </c>
      <c r="G6" s="3461">
        <v>3644</v>
      </c>
      <c r="H6" s="3462" t="s">
        <v>3479</v>
      </c>
      <c r="I6" s="3462">
        <v>514</v>
      </c>
      <c r="J6" s="3462">
        <v>3130</v>
      </c>
      <c r="K6" s="3462" t="s">
        <v>3461</v>
      </c>
      <c r="L6" s="3457" t="s">
        <v>3478</v>
      </c>
      <c r="M6" s="3457" t="s">
        <v>3461</v>
      </c>
      <c r="N6" s="3457" t="s">
        <v>3461</v>
      </c>
    </row>
    <row r="7" spans="1:14" ht="12.75">
      <c r="A7" s="3452" t="s">
        <v>3465</v>
      </c>
      <c r="B7" s="3455">
        <v>17750</v>
      </c>
      <c r="C7" s="3461">
        <v>14440</v>
      </c>
      <c r="D7" s="3462">
        <v>14375</v>
      </c>
      <c r="E7" s="3462" t="s">
        <v>3461</v>
      </c>
      <c r="F7" s="3462">
        <v>65</v>
      </c>
      <c r="G7" s="3461">
        <v>3310</v>
      </c>
      <c r="H7" s="3462" t="s">
        <v>3477</v>
      </c>
      <c r="I7" s="3462">
        <v>360</v>
      </c>
      <c r="J7" s="3462">
        <v>2950</v>
      </c>
      <c r="K7" s="3462" t="s">
        <v>3479</v>
      </c>
      <c r="L7" s="3457" t="s">
        <v>3477</v>
      </c>
      <c r="M7" s="3457" t="s">
        <v>3461</v>
      </c>
      <c r="N7" s="3457" t="s">
        <v>3461</v>
      </c>
    </row>
    <row r="8" spans="1:14" ht="19.5" customHeight="1">
      <c r="A8" s="3452" t="s">
        <v>3480</v>
      </c>
      <c r="B8" s="3455">
        <v>36530</v>
      </c>
      <c r="C8" s="3456" t="s">
        <v>3476</v>
      </c>
      <c r="D8" s="3457" t="s">
        <v>3461</v>
      </c>
      <c r="E8" s="3457" t="s">
        <v>3461</v>
      </c>
      <c r="F8" s="3458" t="s">
        <v>3481</v>
      </c>
      <c r="G8" s="3456">
        <v>36530</v>
      </c>
      <c r="H8" s="3457">
        <v>24000</v>
      </c>
      <c r="I8" s="3462" t="s">
        <v>3483</v>
      </c>
      <c r="J8" s="3457">
        <v>860</v>
      </c>
      <c r="K8" s="3457">
        <v>220</v>
      </c>
      <c r="L8" s="3457">
        <v>1915</v>
      </c>
      <c r="M8" s="3457">
        <v>9535</v>
      </c>
      <c r="N8" s="3457" t="s">
        <v>3485</v>
      </c>
    </row>
    <row r="9" spans="1:14" ht="22.5" customHeight="1">
      <c r="A9" s="3452" t="s">
        <v>3462</v>
      </c>
      <c r="B9" s="3454">
        <f>SUM(B4:B8)</f>
        <v>124310</v>
      </c>
      <c r="C9" s="3452">
        <f>SUM(C4:C8)</f>
        <v>62310</v>
      </c>
      <c r="D9" s="3452">
        <f t="shared" ref="D9:G9" si="0">SUM(D4:D8)</f>
        <v>58590</v>
      </c>
      <c r="E9" s="3452">
        <f t="shared" si="0"/>
        <v>2529</v>
      </c>
      <c r="F9" s="3452">
        <f t="shared" si="0"/>
        <v>1191</v>
      </c>
      <c r="G9" s="3452">
        <f t="shared" si="0"/>
        <v>62000</v>
      </c>
      <c r="H9" s="3452">
        <f t="shared" ref="H9" si="1">SUM(H4:H8)</f>
        <v>24000</v>
      </c>
      <c r="I9" s="3452">
        <f t="shared" ref="I9" si="2">SUM(I4:I8)</f>
        <v>1254</v>
      </c>
      <c r="J9" s="3452">
        <f t="shared" ref="J9" si="3">SUM(J4:J8)</f>
        <v>18697</v>
      </c>
      <c r="K9" s="3452">
        <f t="shared" ref="K9" si="4">SUM(K4:K8)</f>
        <v>220</v>
      </c>
      <c r="L9" s="3452">
        <f t="shared" ref="L9" si="5">SUM(L4:L8)</f>
        <v>7654</v>
      </c>
      <c r="M9" s="3454">
        <f>SUM(M4:M8)</f>
        <v>10175</v>
      </c>
      <c r="N9" s="3454">
        <f>SUM(N4:N8)</f>
        <v>0</v>
      </c>
    </row>
    <row r="10" spans="1:14">
      <c r="B10" s="3463">
        <f>B9-D27-D28-D29-D30-M9</f>
        <v>70468</v>
      </c>
      <c r="C10" s="3463"/>
      <c r="D10" s="3463">
        <f>D5+D6+D7</f>
        <v>46810</v>
      </c>
    </row>
    <row r="11" spans="1:14">
      <c r="C11" s="3453">
        <f>C9/B1</f>
        <v>2.8981395348837209</v>
      </c>
    </row>
    <row r="12" spans="1:14" hidden="1"/>
    <row r="13" spans="1:14" hidden="1"/>
    <row r="14" spans="1:14" hidden="1">
      <c r="A14" s="3453" t="s">
        <v>3584</v>
      </c>
    </row>
    <row r="15" spans="1:14" ht="12.75" hidden="1">
      <c r="A15" s="3658" t="s">
        <v>3449</v>
      </c>
      <c r="B15" s="3658" t="s">
        <v>3450</v>
      </c>
      <c r="C15" s="3658" t="s">
        <v>3451</v>
      </c>
      <c r="D15" s="3658" t="s">
        <v>3452</v>
      </c>
      <c r="E15" s="3658"/>
      <c r="F15" s="3658"/>
      <c r="G15" s="3658" t="s">
        <v>3453</v>
      </c>
      <c r="H15" s="3452"/>
      <c r="I15" s="3658" t="s">
        <v>3452</v>
      </c>
      <c r="J15" s="3658"/>
      <c r="K15" s="3658"/>
      <c r="L15" s="3658"/>
      <c r="M15" s="3656" t="s">
        <v>3454</v>
      </c>
      <c r="N15" s="3657"/>
    </row>
    <row r="16" spans="1:14" ht="25.5" hidden="1">
      <c r="A16" s="3658"/>
      <c r="B16" s="3658"/>
      <c r="C16" s="3658"/>
      <c r="D16" s="3452" t="s">
        <v>3455</v>
      </c>
      <c r="E16" s="3452" t="s">
        <v>3456</v>
      </c>
      <c r="F16" s="3452" t="s">
        <v>3457</v>
      </c>
      <c r="G16" s="3658"/>
      <c r="H16" s="3452" t="s">
        <v>3482</v>
      </c>
      <c r="I16" s="3452" t="s">
        <v>3474</v>
      </c>
      <c r="J16" s="3452" t="s">
        <v>3475</v>
      </c>
      <c r="K16" s="3452" t="s">
        <v>3484</v>
      </c>
      <c r="L16" s="3452" t="s">
        <v>3458</v>
      </c>
      <c r="M16" s="3454" t="s">
        <v>3459</v>
      </c>
      <c r="N16" s="3454" t="s">
        <v>3460</v>
      </c>
    </row>
    <row r="17" spans="1:14" ht="12.75" hidden="1">
      <c r="A17" s="3452" t="s">
        <v>3463</v>
      </c>
      <c r="B17" s="3455">
        <v>18211.759999999998</v>
      </c>
      <c r="C17" s="3456">
        <v>14707.71</v>
      </c>
      <c r="D17" s="3457">
        <v>14756.66</v>
      </c>
      <c r="E17" s="3457" t="s">
        <v>3461</v>
      </c>
      <c r="F17" s="3457">
        <v>73</v>
      </c>
      <c r="G17" s="3456">
        <v>3326.21</v>
      </c>
      <c r="H17" s="3457" t="s">
        <v>3477</v>
      </c>
      <c r="I17" s="3462">
        <v>538.76</v>
      </c>
      <c r="J17" s="3462">
        <v>2702.97</v>
      </c>
      <c r="K17" s="3462" t="s">
        <v>3461</v>
      </c>
      <c r="L17" s="3457"/>
      <c r="M17" s="3457" t="s">
        <v>3461</v>
      </c>
      <c r="N17" s="3457" t="s">
        <v>3461</v>
      </c>
    </row>
    <row r="18" spans="1:14" ht="12.75" hidden="1">
      <c r="A18" s="3452" t="s">
        <v>3464</v>
      </c>
      <c r="B18" s="3455">
        <v>21555.51</v>
      </c>
      <c r="C18" s="3456">
        <v>17790</v>
      </c>
      <c r="D18" s="3457">
        <v>17678</v>
      </c>
      <c r="E18" s="3457">
        <v>39</v>
      </c>
      <c r="F18" s="3457">
        <v>73</v>
      </c>
      <c r="G18" s="3456">
        <v>3644</v>
      </c>
      <c r="H18" s="3457" t="s">
        <v>3479</v>
      </c>
      <c r="I18" s="3462">
        <v>514</v>
      </c>
      <c r="J18" s="3462">
        <v>3130</v>
      </c>
      <c r="K18" s="3462" t="s">
        <v>3461</v>
      </c>
      <c r="L18" s="3457" t="s">
        <v>3478</v>
      </c>
      <c r="M18" s="3457" t="s">
        <v>3461</v>
      </c>
      <c r="N18" s="3457" t="s">
        <v>3461</v>
      </c>
    </row>
    <row r="19" spans="1:14" ht="12.75" hidden="1">
      <c r="A19" s="3452" t="s">
        <v>3465</v>
      </c>
      <c r="B19" s="3455">
        <v>17857.38</v>
      </c>
      <c r="C19" s="3456">
        <v>14440</v>
      </c>
      <c r="D19" s="3457">
        <v>14375</v>
      </c>
      <c r="E19" s="3457" t="s">
        <v>3461</v>
      </c>
      <c r="F19" s="3457">
        <v>65</v>
      </c>
      <c r="G19" s="3456">
        <v>3310</v>
      </c>
      <c r="H19" s="3457" t="s">
        <v>3477</v>
      </c>
      <c r="I19" s="3462">
        <v>360</v>
      </c>
      <c r="J19" s="3462">
        <v>2950</v>
      </c>
      <c r="K19" s="3462" t="s">
        <v>3479</v>
      </c>
      <c r="L19" s="3457" t="s">
        <v>3477</v>
      </c>
      <c r="M19" s="3457" t="s">
        <v>3461</v>
      </c>
      <c r="N19" s="3457" t="s">
        <v>3461</v>
      </c>
    </row>
    <row r="20" spans="1:14" ht="19.5" hidden="1" customHeight="1">
      <c r="A20" s="3452" t="s">
        <v>3480</v>
      </c>
      <c r="B20" s="3455">
        <v>36530</v>
      </c>
      <c r="C20" s="3456" t="s">
        <v>3476</v>
      </c>
      <c r="D20" s="3462" t="s">
        <v>3461</v>
      </c>
      <c r="E20" s="3462" t="s">
        <v>3461</v>
      </c>
      <c r="F20" s="3462" t="s">
        <v>3481</v>
      </c>
      <c r="G20" s="3461">
        <v>36530</v>
      </c>
      <c r="H20" s="3462">
        <v>24000</v>
      </c>
      <c r="I20" s="3462" t="s">
        <v>3483</v>
      </c>
      <c r="J20" s="3457">
        <v>860</v>
      </c>
      <c r="K20" s="3457">
        <v>220</v>
      </c>
      <c r="L20" s="3457">
        <v>1915</v>
      </c>
      <c r="M20" s="3457">
        <v>9535</v>
      </c>
      <c r="N20" s="3457" t="s">
        <v>3485</v>
      </c>
    </row>
    <row r="21" spans="1:14" ht="22.5" hidden="1" customHeight="1">
      <c r="A21" s="3452" t="s">
        <v>3462</v>
      </c>
      <c r="B21" s="3454">
        <f t="shared" ref="B21:G21" si="6">SUM(B17:B20)</f>
        <v>94154.65</v>
      </c>
      <c r="C21" s="3452">
        <f t="shared" si="6"/>
        <v>46937.71</v>
      </c>
      <c r="D21" s="3452">
        <f t="shared" si="6"/>
        <v>46809.66</v>
      </c>
      <c r="E21" s="3452">
        <f t="shared" si="6"/>
        <v>39</v>
      </c>
      <c r="F21" s="3452">
        <f t="shared" si="6"/>
        <v>211</v>
      </c>
      <c r="G21" s="3452">
        <f t="shared" si="6"/>
        <v>46810.21</v>
      </c>
      <c r="H21" s="3452"/>
      <c r="I21" s="3452">
        <f t="shared" ref="I21:N21" si="7">SUM(I17:I20)</f>
        <v>1412.76</v>
      </c>
      <c r="J21" s="3452">
        <f t="shared" si="7"/>
        <v>9642.9699999999993</v>
      </c>
      <c r="K21" s="3452">
        <f t="shared" si="7"/>
        <v>220</v>
      </c>
      <c r="L21" s="3452">
        <f t="shared" si="7"/>
        <v>1915</v>
      </c>
      <c r="M21" s="3454">
        <f t="shared" si="7"/>
        <v>9535</v>
      </c>
      <c r="N21" s="3454">
        <f t="shared" si="7"/>
        <v>0</v>
      </c>
    </row>
    <row r="22" spans="1:14" hidden="1"/>
    <row r="23" spans="1:14" hidden="1"/>
    <row r="24" spans="1:14" s="3451" customFormat="1" ht="12" hidden="1"/>
    <row r="25" spans="1:14" s="3451" customFormat="1" ht="12">
      <c r="A25" s="3659" t="s">
        <v>3569</v>
      </c>
      <c r="B25" s="3659"/>
      <c r="C25" s="3659"/>
      <c r="D25" s="3659"/>
      <c r="F25" s="3451" t="s">
        <v>3586</v>
      </c>
      <c r="G25" s="3451" t="s">
        <v>3411</v>
      </c>
      <c r="H25" s="3451" t="s">
        <v>3412</v>
      </c>
    </row>
    <row r="26" spans="1:14" s="3451" customFormat="1" ht="12">
      <c r="A26" s="3494" t="s">
        <v>3570</v>
      </c>
      <c r="B26" s="3494" t="s">
        <v>2546</v>
      </c>
      <c r="C26" s="3494" t="s">
        <v>3571</v>
      </c>
      <c r="D26" s="3494" t="s">
        <v>3572</v>
      </c>
      <c r="F26" s="3451" t="s">
        <v>3587</v>
      </c>
      <c r="G26" s="3451">
        <v>6300</v>
      </c>
    </row>
    <row r="27" spans="1:14" s="3451" customFormat="1" ht="12">
      <c r="A27" s="3494">
        <v>1</v>
      </c>
      <c r="B27" s="3496" t="s">
        <v>3573</v>
      </c>
      <c r="C27" s="3496" t="s">
        <v>3574</v>
      </c>
      <c r="D27" s="3496">
        <v>100</v>
      </c>
      <c r="F27" s="3451" t="s">
        <v>3588</v>
      </c>
      <c r="G27" s="3451">
        <v>5480</v>
      </c>
    </row>
    <row r="28" spans="1:14" s="3451" customFormat="1" ht="36">
      <c r="A28" s="3494">
        <v>2</v>
      </c>
      <c r="B28" s="3499" t="s">
        <v>3575</v>
      </c>
      <c r="C28" s="3499" t="s">
        <v>3576</v>
      </c>
      <c r="D28" s="3499">
        <v>870</v>
      </c>
      <c r="F28" s="3451" t="s">
        <v>3589</v>
      </c>
      <c r="G28" s="3451">
        <v>125</v>
      </c>
      <c r="I28" s="3451">
        <f>G31+G32+G33</f>
        <v>520</v>
      </c>
      <c r="J28" s="3451">
        <f>D28-I28</f>
        <v>350</v>
      </c>
    </row>
    <row r="29" spans="1:14" s="3451" customFormat="1" ht="60">
      <c r="A29" s="3494">
        <v>3</v>
      </c>
      <c r="B29" s="3494" t="s">
        <v>3577</v>
      </c>
      <c r="C29" s="3494" t="s">
        <v>3578</v>
      </c>
      <c r="D29" s="3494">
        <v>18697</v>
      </c>
      <c r="F29" s="3451" t="s">
        <v>3590</v>
      </c>
      <c r="G29" s="3451">
        <v>220</v>
      </c>
    </row>
    <row r="30" spans="1:14" s="3451" customFormat="1" ht="24">
      <c r="A30" s="3494">
        <v>4</v>
      </c>
      <c r="B30" s="3494" t="s">
        <v>3579</v>
      </c>
      <c r="C30" s="3494" t="s">
        <v>3580</v>
      </c>
      <c r="D30" s="3494">
        <v>24000</v>
      </c>
      <c r="F30" s="3497" t="s">
        <v>3591</v>
      </c>
      <c r="G30" s="3498">
        <v>100</v>
      </c>
      <c r="H30" s="3453"/>
    </row>
    <row r="31" spans="1:14" ht="12">
      <c r="A31" s="3494" t="s">
        <v>3581</v>
      </c>
      <c r="B31" s="3494"/>
      <c r="C31" s="3494"/>
      <c r="D31" s="3494">
        <f>SUM(D27:D30)</f>
        <v>43667</v>
      </c>
      <c r="F31" s="3453" t="s">
        <v>3592</v>
      </c>
      <c r="G31" s="3453">
        <v>170</v>
      </c>
    </row>
    <row r="32" spans="1:14" ht="12">
      <c r="A32" s="3494" t="s">
        <v>3582</v>
      </c>
      <c r="B32" s="3494"/>
      <c r="C32" s="3494"/>
      <c r="D32" s="3494">
        <v>7552.43</v>
      </c>
      <c r="F32" s="3453" t="s">
        <v>3593</v>
      </c>
      <c r="G32" s="3453">
        <v>200</v>
      </c>
    </row>
    <row r="33" spans="1:14">
      <c r="F33" s="3453" t="s">
        <v>3594</v>
      </c>
      <c r="G33" s="3453">
        <v>150</v>
      </c>
    </row>
    <row r="34" spans="1:14">
      <c r="F34" s="3453" t="s">
        <v>3595</v>
      </c>
      <c r="G34" s="3453">
        <v>900</v>
      </c>
    </row>
    <row r="35" spans="1:14">
      <c r="F35" s="3453" t="s">
        <v>3596</v>
      </c>
      <c r="G35" s="3453">
        <v>625</v>
      </c>
    </row>
    <row r="36" spans="1:14">
      <c r="F36" s="3453" t="s">
        <v>3597</v>
      </c>
      <c r="G36" s="3453">
        <v>411</v>
      </c>
      <c r="H36" s="3453">
        <v>5119</v>
      </c>
    </row>
    <row r="37" spans="1:14">
      <c r="F37" s="3453" t="s">
        <v>3598</v>
      </c>
      <c r="G37" s="3453">
        <v>69</v>
      </c>
    </row>
    <row r="38" spans="1:14">
      <c r="F38" s="3453" t="s">
        <v>3599</v>
      </c>
      <c r="G38" s="3453">
        <v>500</v>
      </c>
    </row>
    <row r="39" spans="1:14">
      <c r="F39" s="3453" t="s">
        <v>3600</v>
      </c>
      <c r="H39" s="3453">
        <v>60</v>
      </c>
    </row>
    <row r="40" spans="1:14">
      <c r="F40" s="3453" t="s">
        <v>3601</v>
      </c>
      <c r="H40" s="3453">
        <v>560</v>
      </c>
    </row>
    <row r="41" spans="1:14">
      <c r="F41" s="3453" t="s">
        <v>3602</v>
      </c>
      <c r="H41" s="3453">
        <v>8802</v>
      </c>
    </row>
    <row r="42" spans="1:14">
      <c r="F42" s="3453" t="s">
        <v>3603</v>
      </c>
      <c r="H42" s="3453">
        <v>640</v>
      </c>
    </row>
    <row r="46" spans="1:14" ht="12.75">
      <c r="A46" s="3452" t="s">
        <v>3446</v>
      </c>
      <c r="B46" s="3452">
        <v>21500</v>
      </c>
      <c r="C46" s="3452" t="s">
        <v>3447</v>
      </c>
      <c r="D46" s="3452">
        <v>7552.43</v>
      </c>
      <c r="E46" s="3452" t="s">
        <v>3448</v>
      </c>
      <c r="F46" s="3452">
        <f>B46-D46</f>
        <v>13947.57</v>
      </c>
      <c r="G46" s="3453">
        <v>13854.97</v>
      </c>
    </row>
    <row r="47" spans="1:14" ht="12.75">
      <c r="A47" s="3658" t="s">
        <v>3449</v>
      </c>
      <c r="B47" s="3658" t="s">
        <v>3450</v>
      </c>
      <c r="C47" s="3658" t="s">
        <v>3451</v>
      </c>
      <c r="D47" s="3658" t="s">
        <v>3452</v>
      </c>
      <c r="E47" s="3658"/>
      <c r="F47" s="3658"/>
      <c r="G47" s="3658" t="s">
        <v>3453</v>
      </c>
      <c r="H47" s="3452"/>
      <c r="I47" s="3658" t="s">
        <v>3452</v>
      </c>
      <c r="J47" s="3658"/>
      <c r="K47" s="3658"/>
      <c r="L47" s="3658"/>
      <c r="M47" s="3656" t="s">
        <v>3454</v>
      </c>
      <c r="N47" s="3657"/>
    </row>
    <row r="48" spans="1:14" ht="25.5">
      <c r="A48" s="3658"/>
      <c r="B48" s="3658"/>
      <c r="C48" s="3658"/>
      <c r="D48" s="3452" t="s">
        <v>3455</v>
      </c>
      <c r="E48" s="3452" t="s">
        <v>3456</v>
      </c>
      <c r="F48" s="3452" t="s">
        <v>3457</v>
      </c>
      <c r="G48" s="3658"/>
      <c r="H48" s="3452" t="s">
        <v>3482</v>
      </c>
      <c r="I48" s="3452" t="s">
        <v>3474</v>
      </c>
      <c r="J48" s="3452" t="s">
        <v>3475</v>
      </c>
      <c r="K48" s="3452" t="s">
        <v>3484</v>
      </c>
      <c r="L48" s="3452" t="s">
        <v>3458</v>
      </c>
      <c r="M48" s="3454" t="s">
        <v>3459</v>
      </c>
      <c r="N48" s="3454" t="s">
        <v>3460</v>
      </c>
    </row>
    <row r="49" spans="1:14" ht="12.75">
      <c r="A49" s="3452" t="s">
        <v>3583</v>
      </c>
      <c r="B49" s="3455">
        <f>C49+G49</f>
        <v>20659</v>
      </c>
      <c r="C49" s="3461">
        <f>D49+E49+F49</f>
        <v>14280</v>
      </c>
      <c r="D49" s="3462">
        <f>6300+5480</f>
        <v>11780</v>
      </c>
      <c r="E49" s="3462">
        <f>125+220+100+170+200+150+900+625-870-100</f>
        <v>1520</v>
      </c>
      <c r="F49" s="3462">
        <f>411+69+500</f>
        <v>980</v>
      </c>
      <c r="G49" s="3461">
        <f>L49+M49</f>
        <v>6379</v>
      </c>
      <c r="H49" s="3462"/>
      <c r="I49" s="3462"/>
      <c r="J49" s="3462" t="s">
        <v>3604</v>
      </c>
      <c r="K49" s="3462"/>
      <c r="L49" s="3457">
        <f>5119+60+560</f>
        <v>5739</v>
      </c>
      <c r="M49" s="3457">
        <v>640</v>
      </c>
      <c r="N49" s="3457"/>
    </row>
    <row r="50" spans="1:14" ht="12.75">
      <c r="A50" s="3452" t="s">
        <v>3463</v>
      </c>
      <c r="B50" s="3455">
        <f t="shared" ref="B50:B52" si="8">C50+G50</f>
        <v>15210</v>
      </c>
      <c r="C50" s="3461">
        <f>D50+F50</f>
        <v>14830</v>
      </c>
      <c r="D50" s="3462">
        <v>14757</v>
      </c>
      <c r="E50" s="3462" t="s">
        <v>3461</v>
      </c>
      <c r="F50" s="3462">
        <v>73</v>
      </c>
      <c r="G50" s="3461">
        <f>I50</f>
        <v>380</v>
      </c>
      <c r="H50" s="3462" t="s">
        <v>3477</v>
      </c>
      <c r="I50" s="3462">
        <v>380</v>
      </c>
      <c r="J50" s="3462" t="s">
        <v>3477</v>
      </c>
      <c r="K50" s="3462" t="s">
        <v>3461</v>
      </c>
      <c r="L50" s="3457" t="s">
        <v>3476</v>
      </c>
      <c r="M50" s="3457" t="s">
        <v>3461</v>
      </c>
      <c r="N50" s="3457" t="s">
        <v>3461</v>
      </c>
    </row>
    <row r="51" spans="1:14" ht="12.75">
      <c r="A51" s="3452" t="s">
        <v>3464</v>
      </c>
      <c r="B51" s="3455">
        <f t="shared" si="8"/>
        <v>18304</v>
      </c>
      <c r="C51" s="3461">
        <f t="shared" ref="C51" si="9">D51+E51+F51</f>
        <v>17790</v>
      </c>
      <c r="D51" s="3462">
        <v>17678</v>
      </c>
      <c r="E51" s="3462">
        <v>39</v>
      </c>
      <c r="F51" s="3462">
        <v>73</v>
      </c>
      <c r="G51" s="3461">
        <f>I51</f>
        <v>514</v>
      </c>
      <c r="H51" s="3462" t="s">
        <v>3479</v>
      </c>
      <c r="I51" s="3462">
        <v>514</v>
      </c>
      <c r="J51" s="3462" t="s">
        <v>3605</v>
      </c>
      <c r="K51" s="3462" t="s">
        <v>3461</v>
      </c>
      <c r="L51" s="3457" t="s">
        <v>3478</v>
      </c>
      <c r="M51" s="3457" t="s">
        <v>3461</v>
      </c>
      <c r="N51" s="3457" t="s">
        <v>3461</v>
      </c>
    </row>
    <row r="52" spans="1:14" ht="12.75">
      <c r="A52" s="3452" t="s">
        <v>3465</v>
      </c>
      <c r="B52" s="3455">
        <f t="shared" si="8"/>
        <v>14800</v>
      </c>
      <c r="C52" s="3461">
        <f>D52+F52</f>
        <v>14440</v>
      </c>
      <c r="D52" s="3462">
        <v>14375</v>
      </c>
      <c r="E52" s="3462" t="s">
        <v>3461</v>
      </c>
      <c r="F52" s="3462">
        <v>65</v>
      </c>
      <c r="G52" s="3461">
        <f>I52</f>
        <v>360</v>
      </c>
      <c r="H52" s="3462" t="s">
        <v>3477</v>
      </c>
      <c r="I52" s="3462">
        <v>360</v>
      </c>
      <c r="J52" s="3462" t="s">
        <v>3477</v>
      </c>
      <c r="K52" s="3462" t="s">
        <v>3479</v>
      </c>
      <c r="L52" s="3457" t="s">
        <v>3477</v>
      </c>
      <c r="M52" s="3457" t="s">
        <v>3461</v>
      </c>
      <c r="N52" s="3457" t="s">
        <v>3461</v>
      </c>
    </row>
    <row r="53" spans="1:14" ht="12.75">
      <c r="A53" s="3452" t="s">
        <v>3480</v>
      </c>
      <c r="B53" s="3455">
        <f>G53</f>
        <v>11670</v>
      </c>
      <c r="C53" s="3456" t="s">
        <v>3476</v>
      </c>
      <c r="D53" s="3457" t="s">
        <v>3461</v>
      </c>
      <c r="E53" s="3457" t="s">
        <v>3461</v>
      </c>
      <c r="F53" s="3458" t="s">
        <v>3481</v>
      </c>
      <c r="G53" s="3456">
        <f>K53+L53+M53</f>
        <v>11670</v>
      </c>
      <c r="H53" s="3457" t="s">
        <v>3477</v>
      </c>
      <c r="I53" s="3462" t="s">
        <v>3483</v>
      </c>
      <c r="J53" s="3457" t="s">
        <v>3606</v>
      </c>
      <c r="K53" s="3457">
        <v>220</v>
      </c>
      <c r="L53" s="3457">
        <v>1915</v>
      </c>
      <c r="M53" s="3457">
        <v>9535</v>
      </c>
      <c r="N53" s="3457" t="s">
        <v>3485</v>
      </c>
    </row>
    <row r="54" spans="1:14" ht="12.75">
      <c r="A54" s="3452" t="s">
        <v>3462</v>
      </c>
      <c r="B54" s="3454">
        <f>SUM(B49:B53)</f>
        <v>80643</v>
      </c>
      <c r="C54" s="3452">
        <f>SUM(C49:C53)</f>
        <v>61340</v>
      </c>
      <c r="D54" s="3452">
        <f t="shared" ref="D54" si="10">SUM(D49:D53)</f>
        <v>58590</v>
      </c>
      <c r="E54" s="3452">
        <f t="shared" ref="E54" si="11">SUM(E49:E53)</f>
        <v>1559</v>
      </c>
      <c r="F54" s="3452">
        <f t="shared" ref="F54" si="12">SUM(F49:F53)</f>
        <v>1191</v>
      </c>
      <c r="G54" s="3452">
        <f t="shared" ref="G54" si="13">SUM(G49:G53)</f>
        <v>19303</v>
      </c>
      <c r="H54" s="3452">
        <f t="shared" ref="H54" si="14">SUM(H49:H53)</f>
        <v>0</v>
      </c>
      <c r="I54" s="3452">
        <f t="shared" ref="I54" si="15">SUM(I49:I53)</f>
        <v>1254</v>
      </c>
      <c r="J54" s="3452">
        <f t="shared" ref="J54" si="16">SUM(J49:J53)</f>
        <v>0</v>
      </c>
      <c r="K54" s="3452">
        <f t="shared" ref="K54" si="17">SUM(K49:K53)</f>
        <v>220</v>
      </c>
      <c r="L54" s="3452">
        <f t="shared" ref="L54" si="18">SUM(L49:L53)</f>
        <v>7654</v>
      </c>
      <c r="M54" s="3454">
        <f>SUM(M49:M53)</f>
        <v>10175</v>
      </c>
      <c r="N54" s="3454">
        <f>SUM(N49:N53)</f>
        <v>0</v>
      </c>
    </row>
  </sheetData>
  <mergeCells count="22">
    <mergeCell ref="I47:L47"/>
    <mergeCell ref="M47:N47"/>
    <mergeCell ref="A25:D25"/>
    <mergeCell ref="A47:A48"/>
    <mergeCell ref="B47:B48"/>
    <mergeCell ref="C47:C48"/>
    <mergeCell ref="D47:F47"/>
    <mergeCell ref="G47:G48"/>
    <mergeCell ref="M2:N2"/>
    <mergeCell ref="A15:A16"/>
    <mergeCell ref="B15:B16"/>
    <mergeCell ref="C15:C16"/>
    <mergeCell ref="D15:F15"/>
    <mergeCell ref="G15:G16"/>
    <mergeCell ref="I15:L15"/>
    <mergeCell ref="M15:N15"/>
    <mergeCell ref="A2:A3"/>
    <mergeCell ref="B2:B3"/>
    <mergeCell ref="C2:C3"/>
    <mergeCell ref="D2:F2"/>
    <mergeCell ref="G2:G3"/>
    <mergeCell ref="I2:L2"/>
  </mergeCells>
  <phoneticPr fontId="13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24" sqref="E2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69" t="s">
        <v>1131</v>
      </c>
      <c r="B2" s="3669"/>
      <c r="C2" s="3669"/>
      <c r="D2" s="796" t="s">
        <v>1107</v>
      </c>
      <c r="E2" s="1638" t="s">
        <v>1108</v>
      </c>
      <c r="F2" s="2658"/>
      <c r="G2" s="2649"/>
      <c r="H2" s="2650"/>
      <c r="I2" s="2324" t="s">
        <v>1132</v>
      </c>
      <c r="J2" s="2658"/>
      <c r="K2" s="2658"/>
      <c r="L2" s="2658"/>
      <c r="M2" s="2658"/>
      <c r="N2" s="2660"/>
      <c r="O2" s="2658"/>
      <c r="P2" s="2658"/>
    </row>
    <row r="3" spans="1:16" ht="15.75" thickBot="1">
      <c r="A3" s="3670" t="s">
        <v>1105</v>
      </c>
      <c r="B3" s="3670"/>
      <c r="C3" s="3670"/>
      <c r="D3" s="43">
        <f>'数据-基础表'!AY6</f>
        <v>21500</v>
      </c>
      <c r="E3" s="43">
        <f>'数据-基础表'!AZ5</f>
        <v>70468</v>
      </c>
      <c r="F3" s="2658"/>
      <c r="G3" s="1144"/>
      <c r="H3" s="1026" t="s">
        <v>1106</v>
      </c>
      <c r="I3" s="855">
        <f>ROUND('数据-基础表'!B3/'数据-基础表'!A3,2)</f>
        <v>3.28</v>
      </c>
      <c r="J3" s="2658"/>
      <c r="K3" s="2658"/>
      <c r="L3" s="2658"/>
      <c r="M3" s="2658"/>
      <c r="N3" s="2660"/>
      <c r="O3" s="2658"/>
      <c r="P3" s="2658"/>
    </row>
    <row r="4" spans="1:16" ht="15">
      <c r="A4" s="3671"/>
      <c r="B4" s="3672"/>
      <c r="C4" s="3673"/>
      <c r="D4" s="1640" t="s">
        <v>1107</v>
      </c>
      <c r="E4" s="1641" t="s">
        <v>1108</v>
      </c>
      <c r="F4" s="2658"/>
      <c r="G4" s="2651" t="s">
        <v>1133</v>
      </c>
      <c r="H4" s="1026" t="s">
        <v>1113</v>
      </c>
      <c r="I4" s="855">
        <f>ROUND(SUMIF('数据-基础表'!I9:AS9,"地上",'数据-基础表'!I5:AS5)/'数据-基础表'!A3,2)</f>
        <v>2.85</v>
      </c>
      <c r="J4" s="2658"/>
      <c r="K4" s="2658"/>
      <c r="L4" s="2658"/>
      <c r="M4" s="2658"/>
      <c r="N4" s="2660"/>
      <c r="O4" s="2658"/>
      <c r="P4" s="2658"/>
    </row>
    <row r="5" spans="1:16">
      <c r="A5" s="44" t="s">
        <v>1109</v>
      </c>
      <c r="B5" s="3674" t="s">
        <v>1110</v>
      </c>
      <c r="C5" s="3674"/>
      <c r="D5" s="45">
        <f>ROUND($D$3*E5/$E$3,2)</f>
        <v>17875.990000000002</v>
      </c>
      <c r="E5" s="46">
        <f>SUMIF('数据-基础表'!$11:$11,"住宅",'数据-基础表'!$5:$5)</f>
        <v>58590</v>
      </c>
      <c r="F5" s="2658"/>
      <c r="G5" s="1144"/>
      <c r="H5" s="1026" t="s">
        <v>1106</v>
      </c>
      <c r="I5" s="855">
        <f>ROUND(E31/D31,2)</f>
        <v>3.28</v>
      </c>
      <c r="J5" s="2658"/>
      <c r="K5" s="2658"/>
      <c r="L5" s="2658"/>
      <c r="M5" s="2658"/>
      <c r="N5" s="2658"/>
      <c r="O5" s="2658"/>
      <c r="P5" s="2658"/>
    </row>
    <row r="6" spans="1:16" ht="15" thickBot="1">
      <c r="A6" s="1643"/>
      <c r="B6" s="3674" t="s">
        <v>1111</v>
      </c>
      <c r="C6" s="3674"/>
      <c r="D6" s="45">
        <f>ROUND($D$3*E6/$E$3,2)</f>
        <v>3624.01</v>
      </c>
      <c r="E6" s="46">
        <f>E3-E5</f>
        <v>11878</v>
      </c>
      <c r="F6" s="2658"/>
      <c r="G6" s="2652" t="s">
        <v>1112</v>
      </c>
      <c r="H6" s="1145" t="s">
        <v>1113</v>
      </c>
      <c r="I6" s="2653">
        <f>ROUND(F31/D31,2)</f>
        <v>2.85</v>
      </c>
      <c r="J6" s="2658"/>
      <c r="K6" s="2658"/>
      <c r="L6" s="2658"/>
      <c r="M6" s="2658"/>
      <c r="N6" s="2658"/>
      <c r="O6" s="2658"/>
      <c r="P6" s="2658"/>
    </row>
    <row r="7" spans="1:16" ht="15.75" thickBot="1">
      <c r="A7" s="3666"/>
      <c r="B7" s="3667"/>
      <c r="C7" s="3668"/>
      <c r="D7" s="1640" t="s">
        <v>1107</v>
      </c>
      <c r="E7" s="1644" t="s">
        <v>1114</v>
      </c>
      <c r="F7" s="2658"/>
      <c r="G7" s="2654" t="s">
        <v>1115</v>
      </c>
      <c r="H7" s="2655"/>
      <c r="I7" s="2656">
        <v>2.9</v>
      </c>
      <c r="J7" s="2658"/>
      <c r="K7" s="2658"/>
      <c r="L7" s="2658"/>
      <c r="M7" s="2658"/>
      <c r="N7" s="2658"/>
      <c r="O7" s="2658"/>
      <c r="P7" s="2658"/>
    </row>
    <row r="8" spans="1:16">
      <c r="A8" s="44" t="s">
        <v>1116</v>
      </c>
      <c r="B8" s="47" t="s">
        <v>1117</v>
      </c>
      <c r="C8" s="45" t="s">
        <v>1118</v>
      </c>
      <c r="D8" s="45">
        <f t="shared" ref="D8:D15" si="0">ROUND($D$3*E8/$E$3,2)</f>
        <v>17875.990000000002</v>
      </c>
      <c r="E8" s="48">
        <f>SUMIF('数据-基础表'!BB10:BK10,"地上",'数据-基础表'!BB5:BK5)</f>
        <v>58590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17875.990000000002</v>
      </c>
      <c r="E16" s="50">
        <f>SUM(E8:E15)</f>
        <v>58590</v>
      </c>
      <c r="F16" s="2658"/>
      <c r="G16" s="2659"/>
      <c r="H16" s="1647" t="s">
        <v>1135</v>
      </c>
      <c r="I16" s="1648"/>
      <c r="J16" s="1138"/>
      <c r="K16" s="3663" t="s">
        <v>1135</v>
      </c>
      <c r="L16" s="3664"/>
      <c r="M16" s="3664"/>
      <c r="N16" s="3664"/>
      <c r="O16" s="3664"/>
      <c r="P16" s="3665"/>
    </row>
    <row r="17" spans="1:19" ht="15">
      <c r="A17" s="1649" t="s">
        <v>1136</v>
      </c>
      <c r="B17" s="1650" t="s">
        <v>1137</v>
      </c>
      <c r="C17" s="1651" t="s">
        <v>1138</v>
      </c>
      <c r="D17" s="1652" t="s">
        <v>1126</v>
      </c>
      <c r="E17" s="1653" t="s">
        <v>1127</v>
      </c>
      <c r="F17" s="1654"/>
      <c r="G17" s="1655"/>
      <c r="H17" s="1656" t="s">
        <v>1139</v>
      </c>
      <c r="I17" s="1657" t="s">
        <v>1124</v>
      </c>
      <c r="J17" s="1138"/>
      <c r="K17" s="3660" t="s">
        <v>1140</v>
      </c>
      <c r="L17" s="3661"/>
      <c r="M17" s="3662"/>
      <c r="N17" s="3660" t="s">
        <v>1141</v>
      </c>
      <c r="O17" s="3661"/>
      <c r="P17" s="3662"/>
      <c r="R17" s="1639" t="s">
        <v>1142</v>
      </c>
      <c r="S17" s="56"/>
    </row>
    <row r="18" spans="1:19" ht="15">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c r="A19" s="1666"/>
      <c r="B19" s="47" t="s">
        <v>1125</v>
      </c>
      <c r="C19" s="3416" t="s">
        <v>3531</v>
      </c>
      <c r="D19" s="45">
        <f>ROUND($D$3*E19/$E$3,2)</f>
        <v>17875.990000000002</v>
      </c>
      <c r="E19" s="53">
        <f t="shared" ref="E19:E26" si="1">SUM(F19:G19)</f>
        <v>58590</v>
      </c>
      <c r="F19" s="2794">
        <f>面积整理!D9</f>
        <v>58590</v>
      </c>
      <c r="G19" s="2795"/>
      <c r="H19" s="670">
        <f>ROUND($D$3*I19/$E$3,2)</f>
        <v>3624.01</v>
      </c>
      <c r="I19" s="48">
        <f t="shared" ref="I19:I26" si="2">IF($I$17="自定义",P19,M19)</f>
        <v>11878</v>
      </c>
      <c r="J19" s="1138"/>
      <c r="K19" s="1137">
        <f t="shared" ref="K19:K26" si="3">ROUND(E$28*E19/E$27,2)</f>
        <v>11878</v>
      </c>
      <c r="L19" s="1026">
        <f t="shared" ref="L19:L26" si="4">ROUND(IF(COUNTIF(C19,"*住宅*")&gt;0,E$29*E19/E$32,0),2)</f>
        <v>0</v>
      </c>
      <c r="M19" s="1149">
        <f>K19+L19</f>
        <v>11878</v>
      </c>
      <c r="N19" s="1667"/>
      <c r="O19" s="1668"/>
      <c r="P19" s="1149">
        <f>N19+O19</f>
        <v>0</v>
      </c>
      <c r="R19" s="1026">
        <f t="shared" ref="R19:S26" si="5">D19+H19</f>
        <v>21500</v>
      </c>
      <c r="S19" s="1027">
        <f t="shared" si="5"/>
        <v>70468</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75" thickBot="1">
      <c r="A27" s="1669"/>
      <c r="B27" s="45"/>
      <c r="C27" s="1672" t="s">
        <v>1154</v>
      </c>
      <c r="D27" s="1139">
        <f>SUM(D19:D26)</f>
        <v>17875.990000000002</v>
      </c>
      <c r="E27" s="1140">
        <f>IF(SUM(E19:E26)='数据-基础表'!BA5,SUM(E19:E26),IF(F27="地上面积有误","面积有误","地下面积有误"))</f>
        <v>58590</v>
      </c>
      <c r="F27" s="1139">
        <f>IF(SUM(F19:F26)=E8,SUM(F19:F26),"地上面积有误")</f>
        <v>58590</v>
      </c>
      <c r="G27" s="1141">
        <f>SUM(G19:G26)</f>
        <v>0</v>
      </c>
      <c r="H27" s="1142">
        <f>SUM(H19:H26)</f>
        <v>3624.01</v>
      </c>
      <c r="I27" s="1143">
        <f>SUM(I19:I26)</f>
        <v>11878</v>
      </c>
      <c r="J27" s="1138"/>
      <c r="K27" s="1146">
        <f>SUM(K19:K26)</f>
        <v>11878</v>
      </c>
      <c r="L27" s="1147">
        <f>SUM(L19:L26)</f>
        <v>0</v>
      </c>
      <c r="M27" s="1150">
        <f>SUM(M19:M26)</f>
        <v>11878</v>
      </c>
      <c r="N27" s="1146">
        <f t="shared" ref="N27:O27" si="10">SUM(N19:N26)</f>
        <v>0</v>
      </c>
      <c r="O27" s="1147">
        <f t="shared" si="10"/>
        <v>0</v>
      </c>
      <c r="P27" s="1148">
        <f>SUM(P19:P26)</f>
        <v>0</v>
      </c>
      <c r="R27" s="1028">
        <f>IF(SUM(R19:R26)=$D$3,SUM(R19:R26),SUM(R19:R26)&amp;"误差"&amp;ROUND(SUM(R19:R26)-$D$3,2))</f>
        <v>21500</v>
      </c>
      <c r="S27" s="1026">
        <f>IF(SUM(S19:S26)=$E$3,SUM(S19:S26),SUM(S19:S26)&amp;"误差"&amp;ROUND(SUM(S19:S26)-E3,2))</f>
        <v>70468</v>
      </c>
    </row>
    <row r="28" spans="1:19">
      <c r="A28" s="1669"/>
      <c r="B28" s="47" t="s">
        <v>1155</v>
      </c>
      <c r="C28" s="1038" t="s">
        <v>1156</v>
      </c>
      <c r="D28" s="45">
        <f>ROUND($D$3*E28/$E$3,2)</f>
        <v>3624.01</v>
      </c>
      <c r="E28" s="53">
        <f>SUM(F28:G28)</f>
        <v>11878</v>
      </c>
      <c r="F28" s="56">
        <f>'数据-基础表'!BQ5+'数据-基础表'!BS5</f>
        <v>2750</v>
      </c>
      <c r="G28" s="57">
        <f>'数据-基础表'!BR5+'数据-基础表'!BT5</f>
        <v>9128</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3624.01</v>
      </c>
      <c r="E30" s="1139">
        <f>SUM(E28:E29)</f>
        <v>11878</v>
      </c>
      <c r="F30" s="1139">
        <f>SUM(F28:F29)</f>
        <v>2750</v>
      </c>
      <c r="G30" s="1141">
        <f>SUM(G28:G29)</f>
        <v>9128</v>
      </c>
      <c r="H30" s="2658"/>
      <c r="I30" s="2658"/>
      <c r="J30" s="2658"/>
      <c r="K30" s="2658"/>
      <c r="L30" s="2658"/>
      <c r="M30" s="2658"/>
      <c r="N30" s="2658"/>
      <c r="O30" s="2658"/>
      <c r="P30" s="2658"/>
    </row>
    <row r="31" spans="1:19" ht="15.75" thickBot="1">
      <c r="A31" s="1675"/>
      <c r="B31" s="1676"/>
      <c r="C31" s="835" t="s">
        <v>1158</v>
      </c>
      <c r="D31" s="676">
        <f>D27+D30</f>
        <v>21500</v>
      </c>
      <c r="E31" s="676">
        <f>E27+E30</f>
        <v>70468</v>
      </c>
      <c r="F31" s="677">
        <f>F27+F30</f>
        <v>61340</v>
      </c>
      <c r="G31" s="678">
        <f>G27+G30</f>
        <v>9128</v>
      </c>
      <c r="H31" s="2658"/>
      <c r="I31" s="2658"/>
      <c r="J31" s="2658"/>
      <c r="K31" s="2658"/>
      <c r="L31" s="2658"/>
      <c r="M31" s="2658"/>
      <c r="N31" s="2658"/>
      <c r="O31" s="2658"/>
      <c r="P31" s="2658"/>
    </row>
    <row r="32" spans="1:19">
      <c r="A32" s="1642"/>
      <c r="B32" s="1642" t="s">
        <v>1159</v>
      </c>
      <c r="C32" s="1642"/>
      <c r="D32" s="1642"/>
      <c r="E32" s="1052">
        <f>SUMIF(C19:C26,"*住宅*",E19:E26)</f>
        <v>58590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AC27" sqref="AC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45399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3608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3455</v>
      </c>
      <c r="D6" s="858">
        <f>SUMIF(项目基本情况!C$12:I$12,C6,项目基本情况!C$14:I$14)</f>
        <v>70</v>
      </c>
      <c r="E6" s="857">
        <f>IF(B6="","",SUMIF(项目基本情况!C$12:I$12,C6,项目基本情况!C$13:I$13))</f>
        <v>70965</v>
      </c>
      <c r="F6" s="64">
        <f>SUMIF(项目基本情况!C$12:I$12,C6,项目基本情况!C$15:I$15)</f>
        <v>70</v>
      </c>
      <c r="G6" s="65">
        <f>IF(ISERROR(ROUND(POWER(1+H6,D6-F6)*(POWER(1+H6,F6)-1)/(POWER(1+H6,D6)-1),3)),0,ROUND(POWER(1+H6,D6-F6)*(POWER(1+H6,F6)-1)/(POWER(1+H6,D6)-1),3))</f>
        <v>1</v>
      </c>
      <c r="H6" s="732">
        <v>0.04</v>
      </c>
      <c r="I6" s="732">
        <v>4.4999999999999998E-2</v>
      </c>
      <c r="J6" s="66"/>
      <c r="K6" s="1030">
        <f>SUMIF('数据-汇总表'!C$19:C$33,A6,'数据-汇总表'!E$19:E$33)</f>
        <v>58590</v>
      </c>
      <c r="L6" s="733">
        <v>4000</v>
      </c>
      <c r="M6" s="67">
        <f t="shared" ref="M6:M14" si="0">ROUND(K6*L6/10000,0)</f>
        <v>23436</v>
      </c>
      <c r="N6" s="731">
        <v>1</v>
      </c>
      <c r="O6" s="67" t="str">
        <f>IF($N$5="成新度","——",ROUND(M6*N6,0))</f>
        <v>——</v>
      </c>
      <c r="P6" s="68" t="str">
        <f>IF($N$5="成新度","——",M6-O6)</f>
        <v>——</v>
      </c>
      <c r="Q6" s="734">
        <v>0.03</v>
      </c>
      <c r="R6" s="69">
        <f ca="1">SUMIF('数据-汇总表'!C$19:C$33,A6,'数据-汇总表'!R$19:R$27)</f>
        <v>21500</v>
      </c>
      <c r="S6" s="51">
        <f>IF('数据-汇总表'!$I$17="按面积比例",SUMIF('数据-汇总表'!C$19:C$33,A6,'数据-汇总表'!K$19:K$33),SUMIF('数据-汇总表'!C$19:C$33,A6,'数据-汇总表'!N$19:N$33))</f>
        <v>11878</v>
      </c>
      <c r="T6" s="1171">
        <f>ROUND($L$14*S6/10000,0)</f>
        <v>4157</v>
      </c>
      <c r="U6" s="3427"/>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234360000</v>
      </c>
      <c r="AQ6" s="52">
        <f>ROUND($L$14*$N$14*S6/10000,0)</f>
        <v>0</v>
      </c>
      <c r="AR6" s="52">
        <f>ROUND($L$14*(1-$N$14)*S6/10000,0)</f>
        <v>4157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11878</v>
      </c>
      <c r="L14" s="82">
        <v>3500</v>
      </c>
      <c r="M14" s="67">
        <f t="shared" si="0"/>
        <v>4157</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0.04</v>
      </c>
      <c r="I16" s="91"/>
      <c r="J16" s="91"/>
      <c r="K16" s="92">
        <f>SUM(K6:K15)</f>
        <v>70468</v>
      </c>
      <c r="L16" s="93">
        <f>ROUND(M16*10000/SUM(K6:K14),0)</f>
        <v>3916</v>
      </c>
      <c r="M16" s="93">
        <f>SUM(M6:M14)</f>
        <v>27593</v>
      </c>
      <c r="N16" s="94">
        <f>ROUND(SUMPRODUCT(M6:M14,N6:N14)/M16,3)</f>
        <v>0.84899999999999998</v>
      </c>
      <c r="O16" s="93">
        <f>SUM(O6:O14)</f>
        <v>0</v>
      </c>
      <c r="P16" s="93">
        <f>SUM(P6:P14)</f>
        <v>0</v>
      </c>
      <c r="Q16" s="95">
        <f>ROUND(SUMPRODUCT(Q6:Q13,K6:K13)/SUMPRODUCT((Q6:Q13&gt;0)*(K6:K13)),2)</f>
        <v>0.03</v>
      </c>
      <c r="R16" s="1034">
        <f ca="1">SUM(R6:R13)</f>
        <v>21500</v>
      </c>
      <c r="S16" s="96">
        <f>SUM(S6:S13)</f>
        <v>11878</v>
      </c>
      <c r="T16" s="97">
        <f>IF(SUMIF(T6:T13,"&lt;9E307")=M14,SUMIF(T6:T13,"&lt;9E307"),"有误，请检查")</f>
        <v>4157</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1</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160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3607</v>
      </c>
      <c r="B40" s="1077">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v>
      </c>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C56</f>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75" t="s">
        <v>2286</v>
      </c>
      <c r="B1" s="3676"/>
      <c r="C1" s="3676"/>
      <c r="D1" s="3676"/>
      <c r="E1" s="3676"/>
      <c r="F1" s="3676"/>
      <c r="G1" s="36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84" t="str">
        <f>项目基本情况!B1</f>
        <v>北京市预评估</v>
      </c>
      <c r="C37" s="3584"/>
      <c r="D37" s="3584"/>
      <c r="E37" s="3584"/>
      <c r="F37" s="3584"/>
      <c r="G37" s="3584"/>
      <c r="H37" s="3584"/>
      <c r="I37" s="358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tabSelected="1" workbookViewId="0">
      <selection activeCell="I6" sqref="I6"/>
    </sheetView>
  </sheetViews>
  <sheetFormatPr defaultRowHeight="13.5"/>
  <cols>
    <col min="2" max="2" width="18.375" customWidth="1"/>
    <col min="4" max="4" width="21" customWidth="1"/>
    <col min="5" max="5" width="19" customWidth="1"/>
    <col min="6" max="6" width="15.875" customWidth="1"/>
    <col min="7" max="7" width="16.375" customWidth="1"/>
  </cols>
  <sheetData>
    <row r="1" spans="1:7">
      <c r="B1" s="3448" t="s">
        <v>3754</v>
      </c>
    </row>
    <row r="2" spans="1:7">
      <c r="D2" s="3448"/>
    </row>
    <row r="3" spans="1:7">
      <c r="B3" s="3448" t="s">
        <v>3466</v>
      </c>
      <c r="D3" s="3677" t="s">
        <v>3692</v>
      </c>
      <c r="E3" s="3677"/>
      <c r="F3" s="3677"/>
      <c r="G3" s="3677"/>
    </row>
    <row r="4" spans="1:7" ht="22.5" customHeight="1">
      <c r="A4">
        <v>1</v>
      </c>
      <c r="B4" s="3448" t="s">
        <v>3467</v>
      </c>
      <c r="D4" s="3512" t="s">
        <v>672</v>
      </c>
      <c r="E4" s="3513" t="s">
        <v>3627</v>
      </c>
      <c r="F4" s="3513" t="s">
        <v>3628</v>
      </c>
      <c r="G4" s="3513" t="s">
        <v>3629</v>
      </c>
    </row>
    <row r="5" spans="1:7">
      <c r="A5">
        <v>2</v>
      </c>
      <c r="B5" s="3448" t="s">
        <v>3468</v>
      </c>
      <c r="D5" s="3582" t="s">
        <v>3755</v>
      </c>
      <c r="E5" s="3514">
        <f>面积整理!D5+面积整理!D6+面积整理!D7</f>
        <v>46810</v>
      </c>
      <c r="F5" s="3514">
        <f ca="1">成本法!B3</f>
        <v>6845</v>
      </c>
      <c r="G5" s="3514">
        <f ca="1">ROUND(E5*F5/10000,0)</f>
        <v>32041</v>
      </c>
    </row>
    <row r="6" spans="1:7">
      <c r="A6">
        <v>3</v>
      </c>
      <c r="B6" s="3448" t="s">
        <v>3469</v>
      </c>
      <c r="D6" s="3582" t="s">
        <v>3757</v>
      </c>
      <c r="E6" s="3514">
        <f>E5</f>
        <v>46810</v>
      </c>
      <c r="F6" s="3514">
        <f>'比较法-住宅'!C48</f>
        <v>59425</v>
      </c>
      <c r="G6" s="3514">
        <f>ROUND(E6*F6/10000,0)</f>
        <v>278168</v>
      </c>
    </row>
    <row r="7" spans="1:7">
      <c r="A7">
        <v>4</v>
      </c>
      <c r="B7" s="3448" t="s">
        <v>3470</v>
      </c>
    </row>
    <row r="8" spans="1:7">
      <c r="A8">
        <v>5</v>
      </c>
      <c r="B8" s="3448" t="s">
        <v>3471</v>
      </c>
    </row>
    <row r="9" spans="1:7">
      <c r="A9">
        <v>6</v>
      </c>
      <c r="B9" s="3448" t="s">
        <v>3472</v>
      </c>
    </row>
    <row r="10" spans="1:7">
      <c r="A10">
        <v>7</v>
      </c>
      <c r="B10" s="3448" t="s">
        <v>3473</v>
      </c>
      <c r="D10" s="3514" t="s">
        <v>3690</v>
      </c>
      <c r="E10" s="3514" t="s">
        <v>3686</v>
      </c>
      <c r="F10" s="3514" t="s">
        <v>3687</v>
      </c>
      <c r="G10" s="3583" t="s">
        <v>3691</v>
      </c>
    </row>
    <row r="11" spans="1:7">
      <c r="D11" s="3514" t="s">
        <v>3688</v>
      </c>
      <c r="E11" s="3514">
        <f>ROUND(基准地价修正!C33*0.75*基准地价修正!G3,0)</f>
        <v>62120</v>
      </c>
      <c r="F11" s="3514">
        <v>0.55000000000000004</v>
      </c>
      <c r="G11" s="3678">
        <f>ROUND(E11*F11+E12*F12,0)</f>
        <v>39827</v>
      </c>
    </row>
    <row r="12" spans="1:7">
      <c r="D12" s="3514" t="s">
        <v>3689</v>
      </c>
      <c r="E12" s="3514">
        <f>成本逼近法!B4</f>
        <v>12581</v>
      </c>
      <c r="F12" s="3514">
        <f>1-F11</f>
        <v>0.44999999999999996</v>
      </c>
      <c r="G12" s="3679"/>
    </row>
  </sheetData>
  <mergeCells count="2">
    <mergeCell ref="D3:G3"/>
    <mergeCell ref="G11:G12"/>
  </mergeCells>
  <phoneticPr fontId="13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90" zoomScaleNormal="100" zoomScaleSheetLayoutView="9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14" t="str">
        <f>项目基本情况!S2</f>
        <v>北京市房地产</v>
      </c>
      <c r="B2" s="3715"/>
      <c r="C2" s="3715"/>
      <c r="D2" s="3715"/>
      <c r="E2" s="3715"/>
      <c r="F2" s="3715"/>
      <c r="G2" s="3715"/>
      <c r="H2" s="3715"/>
      <c r="I2" s="3716"/>
    </row>
    <row r="3" spans="1:12" ht="12.75">
      <c r="A3" s="3718" t="s">
        <v>1264</v>
      </c>
      <c r="B3" s="3719"/>
      <c r="C3" s="3719"/>
      <c r="D3" s="3719"/>
      <c r="E3" s="3719"/>
      <c r="F3" s="3719"/>
      <c r="G3" s="3719"/>
      <c r="H3" s="3719"/>
      <c r="I3" s="3719"/>
    </row>
    <row r="4" spans="1:12" ht="14.25">
      <c r="A4" s="1753" t="s">
        <v>1265</v>
      </c>
      <c r="B4" s="1754" t="s">
        <v>1266</v>
      </c>
      <c r="C4" s="1755"/>
      <c r="D4" s="1755"/>
      <c r="E4" s="3720" t="s">
        <v>1267</v>
      </c>
      <c r="F4" s="3721"/>
      <c r="G4" s="3721"/>
      <c r="H4" s="3721"/>
      <c r="I4" s="372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4" t="s">
        <v>1268</v>
      </c>
      <c r="B5" s="3681">
        <v>25</v>
      </c>
      <c r="C5" s="3697"/>
      <c r="D5" s="3717"/>
      <c r="E5" s="131" t="s">
        <v>1269</v>
      </c>
      <c r="F5" s="1756"/>
      <c r="G5" s="1756"/>
      <c r="H5" s="1756"/>
      <c r="I5" s="1372"/>
    </row>
    <row r="6" spans="1:12" ht="12.75">
      <c r="A6" s="3694"/>
      <c r="B6" s="3681"/>
      <c r="C6" s="3698"/>
      <c r="D6" s="3717"/>
      <c r="E6" s="131" t="s">
        <v>1270</v>
      </c>
      <c r="F6" s="1756"/>
      <c r="G6" s="1756"/>
      <c r="H6" s="1756"/>
      <c r="I6" s="1372"/>
    </row>
    <row r="7" spans="1:12" ht="12.75">
      <c r="A7" s="3694"/>
      <c r="B7" s="3681"/>
      <c r="C7" s="3699"/>
      <c r="D7" s="3717"/>
      <c r="E7" s="131" t="s">
        <v>1271</v>
      </c>
      <c r="F7" s="1756"/>
      <c r="G7" s="1756"/>
      <c r="H7" s="1756"/>
      <c r="I7" s="1372"/>
    </row>
    <row r="8" spans="1:12" ht="12.75">
      <c r="A8" s="3694" t="s">
        <v>1272</v>
      </c>
      <c r="B8" s="3681">
        <v>15</v>
      </c>
      <c r="C8" s="3697"/>
      <c r="D8" s="3717"/>
      <c r="E8" s="131" t="s">
        <v>1273</v>
      </c>
      <c r="F8" s="1756"/>
      <c r="G8" s="1756"/>
      <c r="H8" s="1756"/>
      <c r="I8" s="1372"/>
    </row>
    <row r="9" spans="1:12" ht="12.75">
      <c r="A9" s="3694"/>
      <c r="B9" s="3681"/>
      <c r="C9" s="3699"/>
      <c r="D9" s="3717"/>
      <c r="E9" s="131" t="s">
        <v>1274</v>
      </c>
      <c r="F9" s="1756"/>
      <c r="G9" s="1756"/>
      <c r="H9" s="1756"/>
      <c r="I9" s="1372"/>
    </row>
    <row r="10" spans="1:12" ht="12.75">
      <c r="A10" s="3694" t="s">
        <v>1275</v>
      </c>
      <c r="B10" s="3681">
        <v>15</v>
      </c>
      <c r="C10" s="3697"/>
      <c r="D10" s="3717"/>
      <c r="E10" s="131" t="s">
        <v>1276</v>
      </c>
      <c r="F10" s="1756"/>
      <c r="G10" s="1756"/>
      <c r="H10" s="1756"/>
      <c r="I10" s="1372"/>
    </row>
    <row r="11" spans="1:12" ht="12.75">
      <c r="A11" s="3694"/>
      <c r="B11" s="3681"/>
      <c r="C11" s="3699"/>
      <c r="D11" s="3717"/>
      <c r="E11" s="131" t="s">
        <v>1277</v>
      </c>
      <c r="F11" s="1756"/>
      <c r="G11" s="1756"/>
      <c r="H11" s="1756"/>
      <c r="I11" s="1372"/>
    </row>
    <row r="12" spans="1:12" ht="12.75">
      <c r="A12" s="3694" t="s">
        <v>1278</v>
      </c>
      <c r="B12" s="3681">
        <v>15</v>
      </c>
      <c r="C12" s="3697"/>
      <c r="D12" s="3717"/>
      <c r="E12" s="131" t="s">
        <v>1279</v>
      </c>
      <c r="F12" s="1756"/>
      <c r="G12" s="1756"/>
      <c r="H12" s="1756"/>
      <c r="I12" s="1372"/>
    </row>
    <row r="13" spans="1:12" ht="12.75">
      <c r="A13" s="3694"/>
      <c r="B13" s="3681"/>
      <c r="C13" s="3699"/>
      <c r="D13" s="3717"/>
      <c r="E13" s="131" t="s">
        <v>1280</v>
      </c>
      <c r="F13" s="1756"/>
      <c r="G13" s="1756"/>
      <c r="H13" s="1756"/>
      <c r="I13" s="1372"/>
    </row>
    <row r="14" spans="1:12" ht="12.75">
      <c r="A14" s="3694" t="s">
        <v>1281</v>
      </c>
      <c r="B14" s="3681">
        <v>30</v>
      </c>
      <c r="C14" s="3697"/>
      <c r="D14" s="3717"/>
      <c r="E14" s="131" t="s">
        <v>1282</v>
      </c>
      <c r="F14" s="1756"/>
      <c r="G14" s="1756"/>
      <c r="H14" s="1756"/>
      <c r="I14" s="1372"/>
    </row>
    <row r="15" spans="1:12" ht="12.75">
      <c r="A15" s="3694"/>
      <c r="B15" s="3681"/>
      <c r="C15" s="3698"/>
      <c r="D15" s="3717"/>
      <c r="E15" s="131" t="s">
        <v>1283</v>
      </c>
      <c r="F15" s="1756"/>
      <c r="G15" s="1756"/>
      <c r="H15" s="1756"/>
      <c r="I15" s="1372"/>
    </row>
    <row r="16" spans="1:12" ht="12.75">
      <c r="A16" s="3694"/>
      <c r="B16" s="3681"/>
      <c r="C16" s="3699"/>
      <c r="D16" s="3717"/>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704" t="s">
        <v>2131</v>
      </c>
      <c r="F18" s="3705"/>
      <c r="G18" s="3705"/>
      <c r="H18" s="3705"/>
      <c r="I18" s="3705"/>
      <c r="K18" s="302" t="s">
        <v>1289</v>
      </c>
      <c r="L18" s="302">
        <f>IF(C1="",'数据-汇总表'!E3,SUMIF(项目类型,C1,'数据-汇总表'!E17:E26)+SUMIF(项目类型,C1,'数据-汇总表'!I17:I26))</f>
        <v>70468</v>
      </c>
      <c r="M18" s="302">
        <f>IF(C1="",'数据-汇总表'!E3,SUMIF(项目类型,C1,'数据-汇总表'!E17:E26))</f>
        <v>70468</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21500</v>
      </c>
      <c r="M19" s="302">
        <f>IF(C1="",'数据-汇总表'!D3,SUMIF(项目类型,C1,'数据-汇总表'!D17:D26))</f>
        <v>21500</v>
      </c>
    </row>
    <row r="20" spans="1:36" ht="15">
      <c r="A20" s="1763"/>
      <c r="B20" s="1026" t="s">
        <v>1295</v>
      </c>
      <c r="C20" s="137" t="e">
        <f ca="1">SUMIF(INDIRECT("'"&amp;C4&amp;"'"&amp;"!A:A"),结果表!B20,INDIRECT("'"&amp;C4&amp;"'"&amp;"!B:B"))</f>
        <v>#REF!</v>
      </c>
      <c r="D20" s="138" t="e">
        <f ca="1">SUMIF(INDIRECT("'"&amp;D4&amp;"'"&amp;"!A:A"),结果表!B20,INDIRECT("'"&amp;D4&amp;"'"&amp;"!B:B"))</f>
        <v>#REF!</v>
      </c>
      <c r="E20" s="1763"/>
      <c r="F20" s="1026" t="s">
        <v>1295</v>
      </c>
      <c r="G20" s="139" t="e">
        <f ca="1">ROUND(C20*$C$18+D20*$D$18,0)</f>
        <v>#REF!</v>
      </c>
      <c r="H20" s="808" t="s">
        <v>1296</v>
      </c>
      <c r="I20" s="129"/>
    </row>
    <row r="21" spans="1:36" ht="15" customHeight="1" thickBot="1">
      <c r="A21" s="828"/>
      <c r="B21" s="1764" t="s">
        <v>1297</v>
      </c>
      <c r="C21" s="719" t="e">
        <f ca="1">ROUND(C19*10000/L19,0)</f>
        <v>#REF!</v>
      </c>
      <c r="D21" s="720" t="e">
        <f ca="1">ROUND(D19*10000/L19,0)</f>
        <v>#REF!</v>
      </c>
      <c r="E21" s="828"/>
      <c r="F21" s="1764" t="s">
        <v>1297</v>
      </c>
      <c r="G21" s="140" t="e">
        <f ca="1">ROUND(G19*10000/L19,0)</f>
        <v>#REF!</v>
      </c>
      <c r="H21" s="1765" t="s">
        <v>1296</v>
      </c>
      <c r="I21" s="129"/>
    </row>
    <row r="22" spans="1:36" ht="15" thickBot="1">
      <c r="A22" s="1687" t="s">
        <v>1298</v>
      </c>
      <c r="B22" s="1766"/>
      <c r="C22" s="1767"/>
      <c r="D22" s="721"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88" t="s">
        <v>1299</v>
      </c>
      <c r="B24" s="1761" t="s">
        <v>1291</v>
      </c>
      <c r="C24" s="136">
        <f>IF(B30=0,0,D30)</f>
        <v>0</v>
      </c>
      <c r="D24" s="1768"/>
      <c r="E24" s="129"/>
      <c r="F24" s="129"/>
      <c r="G24" s="129"/>
      <c r="H24" s="129"/>
      <c r="I24" s="129"/>
    </row>
    <row r="25" spans="1:36" ht="14.25">
      <c r="A25" s="368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708" t="s">
        <v>1312</v>
      </c>
      <c r="B36" s="1786" t="s">
        <v>1313</v>
      </c>
      <c r="C36" s="145"/>
      <c r="D36" s="1787"/>
      <c r="E36" s="1788"/>
      <c r="F36" s="1789"/>
      <c r="G36" s="129"/>
      <c r="H36" s="129"/>
      <c r="I36" s="129"/>
    </row>
    <row r="37" spans="1:15" ht="15.75" thickBot="1">
      <c r="A37" s="3709"/>
      <c r="B37" s="1673" t="s">
        <v>1314</v>
      </c>
      <c r="C37" s="147"/>
      <c r="D37" s="1138"/>
      <c r="E37" s="1138"/>
      <c r="F37" s="1789"/>
      <c r="G37" s="129"/>
      <c r="H37" s="129"/>
      <c r="I37" s="129"/>
    </row>
    <row r="38" spans="1:15" ht="15.75" thickBot="1">
      <c r="A38" s="371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5" t="s">
        <v>1326</v>
      </c>
      <c r="B45" s="3686"/>
      <c r="C45" s="3687"/>
      <c r="D45" s="155" t="e">
        <f ca="1">ROUND(H101*F45,0)</f>
        <v>#REF!</v>
      </c>
      <c r="E45" s="156" t="s">
        <v>1327</v>
      </c>
      <c r="F45" s="157">
        <v>1</v>
      </c>
      <c r="G45" s="158" t="s">
        <v>1328</v>
      </c>
      <c r="H45" s="129"/>
      <c r="I45" s="129"/>
      <c r="J45" s="3763" t="s">
        <v>1329</v>
      </c>
      <c r="K45" s="3763"/>
      <c r="L45" s="3763"/>
      <c r="M45" s="3763"/>
      <c r="N45" s="3763"/>
      <c r="O45" s="3763"/>
    </row>
    <row r="46" spans="1:15" ht="14.25" customHeight="1">
      <c r="A46" s="3682" t="s">
        <v>1330</v>
      </c>
      <c r="B46" s="3683"/>
      <c r="C46" s="3683"/>
      <c r="D46" s="3683"/>
      <c r="E46" s="3683"/>
      <c r="F46" s="3683"/>
      <c r="G46" s="3684"/>
      <c r="H46" s="1805"/>
      <c r="I46" s="159"/>
      <c r="J46" s="2522">
        <v>1</v>
      </c>
      <c r="K46" s="3744" t="s">
        <v>1331</v>
      </c>
      <c r="L46" s="3744"/>
      <c r="M46" s="3764"/>
      <c r="N46" s="3764"/>
      <c r="O46" s="3764"/>
    </row>
    <row r="47" spans="1:15" ht="12" customHeight="1">
      <c r="A47" s="160" t="s">
        <v>1332</v>
      </c>
      <c r="B47" s="161"/>
      <c r="C47" s="162"/>
      <c r="D47" s="1086" t="s">
        <v>1333</v>
      </c>
      <c r="E47" s="302" t="s">
        <v>1334</v>
      </c>
      <c r="F47" s="163" t="s">
        <v>1335</v>
      </c>
      <c r="G47" s="2545" t="s">
        <v>1336</v>
      </c>
      <c r="H47" s="2546"/>
      <c r="I47" s="159"/>
      <c r="J47" s="2522">
        <v>2</v>
      </c>
      <c r="K47" s="3744" t="s">
        <v>1337</v>
      </c>
      <c r="L47" s="3744"/>
      <c r="M47" s="3765">
        <f>'数据-取费表'!B2</f>
        <v>45399</v>
      </c>
      <c r="N47" s="3765"/>
      <c r="O47" s="3765"/>
    </row>
    <row r="48" spans="1:15" ht="25.5">
      <c r="A48" s="3713" t="s">
        <v>1338</v>
      </c>
      <c r="B48" s="3696"/>
      <c r="C48" s="3696"/>
      <c r="D48" s="2323" t="b">
        <f>IF(H48="情况1",0,IF(H48="情况2",D52,IF(H48="情况3",D53,IF(H48="情况4",D54))))</f>
        <v>0</v>
      </c>
      <c r="E48" s="2333" t="str">
        <f>IF(H48="情况4","(销售额-原购置价)×税（费）率","销售额×税（费）率")</f>
        <v>销售额×税（费）率</v>
      </c>
      <c r="F48" s="2547">
        <f>IF(H48="情况1","免征",'数据-取费表'!B41)</f>
        <v>0</v>
      </c>
      <c r="G48" s="2548" t="s">
        <v>1339</v>
      </c>
      <c r="H48" s="2549"/>
      <c r="I48" s="1805"/>
      <c r="J48" s="2522">
        <v>3</v>
      </c>
      <c r="K48" s="3744" t="s">
        <v>1340</v>
      </c>
      <c r="L48" s="3744"/>
      <c r="M48" s="3766" t="e">
        <f ca="1">H101</f>
        <v>#REF!</v>
      </c>
      <c r="N48" s="3766"/>
      <c r="O48" s="3766"/>
    </row>
    <row r="49" spans="1:35" ht="25.5" customHeight="1">
      <c r="A49" s="2332" t="s">
        <v>1341</v>
      </c>
      <c r="B49" s="3680" t="s">
        <v>1342</v>
      </c>
      <c r="C49" s="3680"/>
      <c r="D49" s="1589">
        <v>0</v>
      </c>
      <c r="E49" s="324" t="s">
        <v>1343</v>
      </c>
      <c r="F49" s="2423" t="s">
        <v>28</v>
      </c>
      <c r="G49" s="3750"/>
      <c r="H49" s="2309" t="s">
        <v>2134</v>
      </c>
      <c r="I49" s="2310"/>
      <c r="J49" s="2522">
        <v>4</v>
      </c>
      <c r="K49" s="3744" t="str">
        <f>IF(项目基本情况!E8="房地产抵押价值","房地产抵押价值","抵押担保权已注销时的房地产抵押价值")</f>
        <v>抵押担保权已注销时的房地产抵押价值</v>
      </c>
      <c r="L49" s="3744"/>
      <c r="M49" s="3766" t="str">
        <f>IF(项目基本情况!E8="房地产抵押价值",H107,H109)</f>
        <v>——</v>
      </c>
      <c r="N49" s="3766"/>
      <c r="O49" s="3766"/>
    </row>
    <row r="50" spans="1:35" ht="25.5" customHeight="1">
      <c r="A50" s="2550"/>
      <c r="B50" s="3680" t="s">
        <v>1344</v>
      </c>
      <c r="C50" s="3680"/>
      <c r="D50" s="2551"/>
      <c r="E50" s="332"/>
      <c r="F50" s="2423"/>
      <c r="G50" s="3751"/>
      <c r="H50" s="2311" t="s">
        <v>2135</v>
      </c>
      <c r="I50" s="2310"/>
      <c r="J50" s="3763" t="s">
        <v>1345</v>
      </c>
      <c r="K50" s="3763"/>
      <c r="L50" s="3763"/>
      <c r="M50" s="3763"/>
      <c r="N50" s="3763"/>
      <c r="O50" s="3763"/>
    </row>
    <row r="51" spans="1:35" ht="20.45" customHeight="1">
      <c r="A51" s="2552"/>
      <c r="B51" s="3680" t="s">
        <v>1346</v>
      </c>
      <c r="C51" s="3680"/>
      <c r="D51" s="1086"/>
      <c r="E51" s="327"/>
      <c r="F51" s="2423"/>
      <c r="G51" s="3752"/>
      <c r="H51" s="2311" t="s">
        <v>2136</v>
      </c>
      <c r="I51" s="2310"/>
      <c r="J51" s="2523" t="s">
        <v>1347</v>
      </c>
      <c r="K51" s="3744" t="s">
        <v>1348</v>
      </c>
      <c r="L51" s="3744"/>
      <c r="M51" s="2523" t="s">
        <v>1349</v>
      </c>
      <c r="N51" s="2523" t="s">
        <v>1350</v>
      </c>
      <c r="O51" s="2523" t="s">
        <v>1351</v>
      </c>
    </row>
    <row r="52" spans="1:35" ht="24" customHeight="1">
      <c r="A52" s="2334" t="s">
        <v>1352</v>
      </c>
      <c r="B52" s="3680" t="s">
        <v>1353</v>
      </c>
      <c r="C52" s="3680"/>
      <c r="D52" s="1086" t="e">
        <f ca="1">ROUND(D45*'数据-取费表'!B41/(1+'数据-取费表'!C42),0)</f>
        <v>#REF!</v>
      </c>
      <c r="E52" s="2333" t="s">
        <v>1354</v>
      </c>
      <c r="F52" s="2553">
        <f>'数据-取费表'!B41</f>
        <v>0</v>
      </c>
      <c r="G52" s="2554"/>
      <c r="H52" s="2543"/>
      <c r="I52" s="1806"/>
      <c r="J52" s="2522">
        <v>1</v>
      </c>
      <c r="K52" s="3745" t="s">
        <v>1355</v>
      </c>
      <c r="L52" s="3745"/>
      <c r="M52" s="2524" t="b">
        <f>D48</f>
        <v>0</v>
      </c>
      <c r="N52" s="2522" t="str">
        <f>E48</f>
        <v>销售额×税（费）率</v>
      </c>
      <c r="O52" s="2525">
        <f>F48</f>
        <v>0</v>
      </c>
    </row>
    <row r="53" spans="1:35" ht="12" customHeight="1">
      <c r="A53" s="2334" t="s">
        <v>1356</v>
      </c>
      <c r="B53" s="3706" t="s">
        <v>2291</v>
      </c>
      <c r="C53" s="3707"/>
      <c r="D53" s="1086" t="e">
        <f ca="1">ROUND(D45*'数据-取费表'!B41/(1+'数据-取费表'!C42),0)</f>
        <v>#REF!</v>
      </c>
      <c r="E53" s="2333" t="s">
        <v>1354</v>
      </c>
      <c r="F53" s="2553">
        <f>'数据-取费表'!B41</f>
        <v>0</v>
      </c>
      <c r="G53" s="2554"/>
      <c r="H53" s="2543"/>
      <c r="I53" s="1806"/>
      <c r="J53" s="2522">
        <v>2</v>
      </c>
      <c r="K53" s="3745" t="s">
        <v>1357</v>
      </c>
      <c r="L53" s="3745"/>
      <c r="M53" s="2524" t="e">
        <f t="shared" ref="M53:O54" ca="1" si="0">D55</f>
        <v>#REF!</v>
      </c>
      <c r="N53" s="2522" t="str">
        <f t="shared" si="0"/>
        <v>销售额×税（费）率</v>
      </c>
      <c r="O53" s="2525" t="str">
        <f t="shared" si="0"/>
        <v>免征</v>
      </c>
    </row>
    <row r="54" spans="1:35" ht="12" customHeight="1">
      <c r="A54" s="2334" t="s">
        <v>1358</v>
      </c>
      <c r="B54" s="3706" t="s">
        <v>2292</v>
      </c>
      <c r="C54" s="3707"/>
      <c r="D54" s="1086" t="e">
        <f ca="1">C68</f>
        <v>#REF!</v>
      </c>
      <c r="E54" s="327" t="s">
        <v>1359</v>
      </c>
      <c r="F54" s="2553">
        <f>'数据-取费表'!B41</f>
        <v>0</v>
      </c>
      <c r="G54" s="2554"/>
      <c r="H54" s="2555"/>
      <c r="I54" s="1806"/>
      <c r="J54" s="2522">
        <v>3</v>
      </c>
      <c r="K54" s="3745" t="s">
        <v>1360</v>
      </c>
      <c r="L54" s="3745"/>
      <c r="M54" s="2524" t="e">
        <f t="shared" ca="1" si="0"/>
        <v>#REF!</v>
      </c>
      <c r="N54" s="2522" t="str">
        <f t="shared" si="0"/>
        <v>增值额×税（费）率</v>
      </c>
      <c r="O54" s="2526" t="str">
        <f t="shared" si="0"/>
        <v>免征</v>
      </c>
    </row>
    <row r="55" spans="1:35" ht="24" customHeight="1">
      <c r="A55" s="3695" t="s">
        <v>1361</v>
      </c>
      <c r="B55" s="3696"/>
      <c r="C55" s="3696"/>
      <c r="D55" s="2323" t="e">
        <f ca="1">IF(H55="个人住宅",0,ROUND(D45*I55,0))</f>
        <v>#REF!</v>
      </c>
      <c r="E55" s="2333" t="s">
        <v>1362</v>
      </c>
      <c r="F55" s="2553" t="str">
        <f>IF(H55="正常",I55,"免征")</f>
        <v>免征</v>
      </c>
      <c r="G55" s="2554"/>
      <c r="H55" s="2549"/>
      <c r="I55" s="165">
        <f>'数据-取费表'!B49</f>
        <v>5.0000000000000001E-4</v>
      </c>
      <c r="J55" s="2522">
        <f>IF(H59="非个人房产","",4)</f>
        <v>4</v>
      </c>
      <c r="K55" s="3745" t="str">
        <f>IF(H59="非个人房产","——","个人所得税")</f>
        <v>个人所得税</v>
      </c>
      <c r="L55" s="3745"/>
      <c r="M55" s="2527" t="e">
        <f ca="1">D59</f>
        <v>#REF!</v>
      </c>
      <c r="N55" s="2039" t="str">
        <f>E59</f>
        <v>差额计税</v>
      </c>
      <c r="O55" s="2528">
        <f>F59</f>
        <v>0.01</v>
      </c>
    </row>
    <row r="56" spans="1:35" ht="24.75">
      <c r="A56" s="3695" t="s">
        <v>1363</v>
      </c>
      <c r="B56" s="3696"/>
      <c r="C56" s="3696"/>
      <c r="D56" s="2323" t="e">
        <f ca="1">IF(H56="个人住宅",D57,D58)</f>
        <v>#REF!</v>
      </c>
      <c r="E56" s="2333" t="s">
        <v>1364</v>
      </c>
      <c r="F56" s="2553" t="str">
        <f>IF(H56="正常",F58,"免征")</f>
        <v>免征</v>
      </c>
      <c r="G56" s="2556" t="s">
        <v>1365</v>
      </c>
      <c r="H56" s="2557"/>
      <c r="I56" s="1807"/>
      <c r="J56" s="2522" t="str">
        <f>IF(项目基本情况!K6="上海银行",IF(J55="",4,J55+1),"")</f>
        <v/>
      </c>
      <c r="K56" s="3768" t="str">
        <f>IF(项目基本情况!K6="上海银行","其他处置费用","")</f>
        <v/>
      </c>
      <c r="L56" s="3769"/>
      <c r="M56" s="2524" t="str">
        <f>IF(项目基本情况!K6="上海银行",M69,"")</f>
        <v/>
      </c>
      <c r="N56" s="3768" t="str">
        <f>IF(项目基本情况!K6="上海银行","包含处置中涉及的律师、诉讼、拍卖、评估等费用","")</f>
        <v/>
      </c>
      <c r="O56" s="3771"/>
    </row>
    <row r="57" spans="1:35" ht="12.75">
      <c r="A57" s="2334" t="s">
        <v>1341</v>
      </c>
      <c r="B57" s="3706" t="s">
        <v>1366</v>
      </c>
      <c r="C57" s="3707"/>
      <c r="D57" s="1589">
        <v>0</v>
      </c>
      <c r="E57" s="324" t="s">
        <v>1343</v>
      </c>
      <c r="F57" s="302"/>
      <c r="G57" s="2554"/>
      <c r="H57" s="2558"/>
      <c r="I57" s="1807"/>
      <c r="J57" s="3745">
        <f>IF(AND(J55="",J56=""),4,IF(项目基本情况!K6="上海银行",结果表!J56+1,结果表!J55+1))</f>
        <v>5</v>
      </c>
      <c r="K57" s="3745" t="s">
        <v>1367</v>
      </c>
      <c r="L57" s="2529" t="s">
        <v>1368</v>
      </c>
      <c r="M57" s="2530"/>
      <c r="N57" s="2531">
        <f ca="1">SUMIF(M52:M56,"&lt;9e307")</f>
        <v>0</v>
      </c>
      <c r="O57" s="2532"/>
      <c r="P57" s="2689" t="e">
        <f ca="1">N57/M49</f>
        <v>#VALUE!</v>
      </c>
    </row>
    <row r="58" spans="1:35" ht="24.75">
      <c r="A58" s="2334" t="s">
        <v>1352</v>
      </c>
      <c r="B58" s="3706" t="s">
        <v>1369</v>
      </c>
      <c r="C58" s="3680"/>
      <c r="D58" s="2323" t="e">
        <f ca="1">IF(H58="转让取得",C81,C97)</f>
        <v>#REF!</v>
      </c>
      <c r="E58" s="2333" t="s">
        <v>1364</v>
      </c>
      <c r="F58" s="302" t="s">
        <v>28</v>
      </c>
      <c r="G58" s="2554"/>
      <c r="H58" s="2557"/>
      <c r="I58" s="1807"/>
      <c r="J58" s="3745"/>
      <c r="K58" s="3745"/>
      <c r="L58" s="2529" t="s">
        <v>1370</v>
      </c>
      <c r="M58" s="2533"/>
      <c r="N58" s="2534" t="str">
        <f ca="1">NUMBERSTRING(INT(N57*10000),2)&amp;"元整"</f>
        <v>零元整</v>
      </c>
      <c r="O58" s="2535"/>
    </row>
    <row r="59" spans="1:35" ht="24.75" thickBot="1">
      <c r="A59" s="3748" t="s">
        <v>1371</v>
      </c>
      <c r="B59" s="3749"/>
      <c r="C59" s="374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46">
        <f>J57+1</f>
        <v>6</v>
      </c>
      <c r="K59" s="3745" t="s">
        <v>1372</v>
      </c>
      <c r="L59" s="2522" t="s">
        <v>1368</v>
      </c>
      <c r="M59" s="2536"/>
      <c r="N59" s="2537" t="e">
        <f ca="1">M49-N57</f>
        <v>#VALUE!</v>
      </c>
      <c r="O59" s="2538"/>
    </row>
    <row r="60" spans="1:35" ht="12" customHeight="1">
      <c r="A60" s="1808"/>
      <c r="B60" s="1746"/>
      <c r="C60" s="1746"/>
      <c r="D60" s="1746"/>
      <c r="E60" s="1577"/>
      <c r="F60" s="1807"/>
      <c r="G60" s="1807"/>
      <c r="H60" s="1809"/>
      <c r="I60" s="129"/>
      <c r="J60" s="3747"/>
      <c r="K60" s="3745"/>
      <c r="L60" s="2529" t="s">
        <v>1370</v>
      </c>
      <c r="M60" s="2533"/>
      <c r="N60" s="2534" t="e">
        <f ca="1">NUMBERSTRING(INT(N59*10000),2)&amp;"元整"</f>
        <v>#VALUE!</v>
      </c>
      <c r="O60" s="2535"/>
    </row>
    <row r="61" spans="1:35" ht="13.5" thickBot="1">
      <c r="A61" s="3693" t="s">
        <v>1373</v>
      </c>
      <c r="B61" s="3693"/>
      <c r="C61" s="3693"/>
      <c r="D61" s="3693"/>
      <c r="E61" s="3693"/>
      <c r="F61" s="1807"/>
      <c r="G61" s="1807"/>
      <c r="H61" s="1809"/>
      <c r="I61" s="129"/>
      <c r="J61" s="2522">
        <f>J59+1</f>
        <v>7</v>
      </c>
      <c r="K61" s="3745" t="s">
        <v>1374</v>
      </c>
      <c r="L61" s="3745"/>
      <c r="M61" s="2539"/>
      <c r="N61" s="2540" t="e">
        <f ca="1">ROUND(N59*10000/'数据-汇总表'!E3,0)</f>
        <v>#VALUE!</v>
      </c>
      <c r="O61" s="2541"/>
    </row>
    <row r="62" spans="1:35" ht="12.75">
      <c r="A62" s="3711" t="s">
        <v>1375</v>
      </c>
      <c r="B62" s="371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7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7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7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7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7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0</v>
      </c>
      <c r="E68" s="178"/>
      <c r="F68" s="1807"/>
      <c r="G68" s="1807"/>
      <c r="H68" s="1809"/>
      <c r="I68" s="129"/>
      <c r="J68" s="377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70"/>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32" t="s">
        <v>1394</v>
      </c>
      <c r="B70" s="3733"/>
      <c r="C70" s="3733"/>
      <c r="D70" s="3733"/>
      <c r="E70" s="3733"/>
      <c r="F70" s="3733"/>
      <c r="G70" s="3733"/>
      <c r="H70" s="37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11" t="s">
        <v>1375</v>
      </c>
      <c r="B71" s="371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706" t="s">
        <v>1402</v>
      </c>
      <c r="F76" s="3680"/>
      <c r="G76" s="3680"/>
      <c r="H76" s="37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0</v>
      </c>
      <c r="E78" s="3690" t="s">
        <v>1406</v>
      </c>
      <c r="F78" s="3691"/>
      <c r="G78" s="3691"/>
      <c r="H78" s="37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32" t="s">
        <v>1410</v>
      </c>
      <c r="B83" s="3733"/>
      <c r="C83" s="3733"/>
      <c r="D83" s="3733"/>
      <c r="E83" s="3733"/>
      <c r="F83" s="3733"/>
      <c r="G83" s="3733"/>
      <c r="H83" s="37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11" t="s">
        <v>1375</v>
      </c>
      <c r="B84" s="371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72" t="s">
        <v>2129</v>
      </c>
      <c r="H90" s="3773"/>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90" t="s">
        <v>1419</v>
      </c>
      <c r="F91" s="3691"/>
      <c r="G91" s="36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90" t="s">
        <v>1422</v>
      </c>
      <c r="F92" s="3691"/>
      <c r="G92" s="3691"/>
      <c r="H92" s="370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0</v>
      </c>
      <c r="E93" s="3690" t="s">
        <v>1406</v>
      </c>
      <c r="F93" s="3691"/>
      <c r="G93" s="3691"/>
      <c r="H93" s="37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01" t="s">
        <v>1426</v>
      </c>
      <c r="F94" s="3702"/>
      <c r="G94" s="3702"/>
      <c r="H94" s="370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71" t="s">
        <v>1428</v>
      </c>
      <c r="B100" s="3672"/>
      <c r="C100" s="3672"/>
      <c r="D100" s="3692"/>
      <c r="E100" s="3672" t="s">
        <v>1429</v>
      </c>
      <c r="F100" s="3672"/>
      <c r="G100" s="3672"/>
      <c r="H100" s="3692"/>
      <c r="I100" s="129"/>
    </row>
    <row r="101" spans="1:35" ht="18.75" customHeight="1">
      <c r="A101" s="3753" t="s">
        <v>1430</v>
      </c>
      <c r="B101" s="3754"/>
      <c r="C101" s="2584">
        <f>C4</f>
        <v>0</v>
      </c>
      <c r="D101" s="2585">
        <f>D4</f>
        <v>0</v>
      </c>
      <c r="E101" s="3767" t="s">
        <v>1431</v>
      </c>
      <c r="F101" s="3724"/>
      <c r="G101" s="1826" t="s">
        <v>1432</v>
      </c>
      <c r="H101" s="2594" t="e">
        <f ca="1">H118</f>
        <v>#REF!</v>
      </c>
      <c r="I101" s="129"/>
    </row>
    <row r="102" spans="1:35" ht="18.75" customHeight="1">
      <c r="A102" s="3726" t="s">
        <v>1433</v>
      </c>
      <c r="B102" s="2583" t="s">
        <v>1432</v>
      </c>
      <c r="C102" s="2584" t="e">
        <f ca="1">IF(D32="楼面单价",ROUND(C19,0),C19)</f>
        <v>#REF!</v>
      </c>
      <c r="D102" s="2585" t="e">
        <f ca="1">IF(D32="楼面单价",ROUND(D19,0),D19)</f>
        <v>#REF!</v>
      </c>
      <c r="E102" s="3767"/>
      <c r="F102" s="3724"/>
      <c r="G102" s="1826" t="s">
        <v>1434</v>
      </c>
      <c r="H102" s="2554" t="e">
        <f ca="1">I118</f>
        <v>#REF!</v>
      </c>
      <c r="I102" s="129"/>
    </row>
    <row r="103" spans="1:35" ht="42.75" customHeight="1">
      <c r="A103" s="3726"/>
      <c r="B103" s="2583" t="s">
        <v>1434</v>
      </c>
      <c r="C103" s="2586" t="e">
        <f ca="1">C20</f>
        <v>#REF!</v>
      </c>
      <c r="D103" s="2587" t="e">
        <f ca="1">D20</f>
        <v>#REF!</v>
      </c>
      <c r="E103" s="3761" t="s">
        <v>1435</v>
      </c>
      <c r="F103" s="3762"/>
      <c r="G103" s="1827" t="s">
        <v>1436</v>
      </c>
      <c r="H103" s="2594">
        <f>IF(D36="正常操作",H104+H105+H106,H105+H106)</f>
        <v>0</v>
      </c>
      <c r="I103" s="129"/>
    </row>
    <row r="104" spans="1:35" ht="18.75" customHeight="1">
      <c r="A104" s="372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72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723" t="str">
        <f>IF(项目基本情况!E8="已注销","——","3.房地产抵押价值")</f>
        <v>3.房地产抵押价值</v>
      </c>
      <c r="F107" s="3724"/>
      <c r="G107" s="1826" t="s">
        <v>1432</v>
      </c>
      <c r="H107" s="2594" t="e">
        <f ca="1">IF(E107="——","——",H101-H103)</f>
        <v>#REF!</v>
      </c>
      <c r="I107" s="129"/>
    </row>
    <row r="108" spans="1:35" ht="18.75" customHeight="1">
      <c r="A108" s="129"/>
      <c r="B108" s="129"/>
      <c r="C108" s="129"/>
      <c r="D108" s="129"/>
      <c r="E108" s="3723"/>
      <c r="F108" s="3724"/>
      <c r="G108" s="1826" t="s">
        <v>1434</v>
      </c>
      <c r="H108" s="2554">
        <f ca="1">IF(H107=H101,H102,ROUND(H107*10000/'数据-汇总表'!E3,0))</f>
        <v>0</v>
      </c>
      <c r="I108" s="129"/>
    </row>
    <row r="109" spans="1:35" ht="18.75" customHeight="1">
      <c r="A109" s="129"/>
      <c r="B109" s="129"/>
      <c r="C109" s="129"/>
      <c r="D109" s="129"/>
      <c r="E109" s="3723" t="str">
        <f>IF(项目基本情况!E8="已注销及未注销","4.抵押担保权已注销时的房地产抵押价值",IF(项目基本情况!E8="已注销","3.抵押担保权已注销时的房地产抵押价值","——"))</f>
        <v>——</v>
      </c>
      <c r="F109" s="3724"/>
      <c r="G109" s="1826" t="s">
        <v>1432</v>
      </c>
      <c r="H109" s="2597" t="str">
        <f>IF(E109="——","——",H101-H105-H106)</f>
        <v>——</v>
      </c>
      <c r="I109" s="129"/>
    </row>
    <row r="110" spans="1:35" ht="18.75" customHeight="1">
      <c r="A110" s="129"/>
      <c r="B110" s="129"/>
      <c r="C110" s="129"/>
      <c r="D110" s="129"/>
      <c r="E110" s="3723"/>
      <c r="F110" s="3724"/>
      <c r="G110" s="1826" t="s">
        <v>1434</v>
      </c>
      <c r="H110" s="2554" t="str">
        <f>IF(H109="——","——",ROUND(H109*10000/'数据-汇总表'!E3,0))</f>
        <v>——</v>
      </c>
      <c r="I110" s="129"/>
    </row>
    <row r="111" spans="1:35" ht="18.75" customHeight="1">
      <c r="A111" s="129"/>
      <c r="B111" s="129"/>
      <c r="C111" s="129"/>
      <c r="D111" s="129"/>
      <c r="E111" s="3755" t="str">
        <f>IF(项目基本情况!E9="抵押净值",IF(OR(项目基本情况!E8="已注销",项目基本情况!E8="房地产抵押价值"),"4.抵押净值","5.抵押净值"),"——")</f>
        <v>——</v>
      </c>
      <c r="F111" s="3725"/>
      <c r="G111" s="1826" t="s">
        <v>1432</v>
      </c>
      <c r="H111" s="2594" t="str">
        <f>IF(E111="——","——",N59)</f>
        <v>——</v>
      </c>
      <c r="I111" s="129"/>
    </row>
    <row r="112" spans="1:35" ht="18.75" customHeight="1" thickBot="1">
      <c r="A112" s="129"/>
      <c r="B112" s="129"/>
      <c r="C112" s="129"/>
      <c r="D112" s="129"/>
      <c r="E112" s="3756"/>
      <c r="F112" s="3757"/>
      <c r="G112" s="1829" t="s">
        <v>1434</v>
      </c>
      <c r="H112" s="2598" t="str">
        <f>IF(E111="——","——",N61)</f>
        <v>——</v>
      </c>
      <c r="I112" s="129"/>
    </row>
    <row r="113" spans="1:27" ht="18.75" customHeight="1">
      <c r="A113" s="129"/>
      <c r="B113" s="129"/>
      <c r="C113" s="129"/>
      <c r="D113" s="129"/>
      <c r="E113" s="3728" t="s">
        <v>1440</v>
      </c>
      <c r="F113" s="3728"/>
      <c r="G113" s="3728"/>
      <c r="H113" s="3728"/>
      <c r="I113" s="129"/>
    </row>
    <row r="114" spans="1:27" ht="3.75" customHeight="1">
      <c r="A114" s="1746"/>
      <c r="B114" s="1746"/>
      <c r="C114" s="1746"/>
      <c r="D114" s="1746"/>
      <c r="E114" s="1808"/>
      <c r="F114" s="1808"/>
      <c r="G114" s="1808"/>
      <c r="H114" s="1808"/>
      <c r="I114" s="1746"/>
    </row>
    <row r="115" spans="1:27" ht="18.75" customHeight="1">
      <c r="A115" s="3738" t="s">
        <v>1442</v>
      </c>
      <c r="B115" s="3739"/>
      <c r="C115" s="3739"/>
      <c r="D115" s="3739"/>
      <c r="E115" s="3739"/>
      <c r="F115" s="3739"/>
      <c r="G115" s="3739"/>
      <c r="H115" s="3739"/>
      <c r="I115" s="3740"/>
    </row>
    <row r="116" spans="1:27" ht="27" customHeight="1">
      <c r="A116" s="3694" t="s">
        <v>1443</v>
      </c>
      <c r="B116" s="3729" t="s">
        <v>1444</v>
      </c>
      <c r="C116" s="3729" t="s">
        <v>1445</v>
      </c>
      <c r="D116" s="3742" t="s">
        <v>1446</v>
      </c>
      <c r="E116" s="3743"/>
      <c r="F116" s="3737" t="s">
        <v>1447</v>
      </c>
      <c r="G116" s="3737"/>
      <c r="H116" s="3694" t="s">
        <v>1448</v>
      </c>
      <c r="I116" s="3694"/>
    </row>
    <row r="117" spans="1:27" ht="18.75" customHeight="1">
      <c r="A117" s="3694"/>
      <c r="B117" s="3730"/>
      <c r="C117" s="373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70468</v>
      </c>
      <c r="C118" s="2328">
        <f>M19</f>
        <v>21500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4" t="s">
        <v>1452</v>
      </c>
      <c r="B119" s="3694"/>
      <c r="C119" s="3694"/>
      <c r="D119" s="3734" t="e">
        <f ca="1">NUMBERSTRING(INT(D118*10000),2)&amp;"元整"</f>
        <v>#REF!</v>
      </c>
      <c r="E119" s="3736"/>
      <c r="F119" s="3734" t="e">
        <f ca="1">NUMBERSTRING(INT(F118*10000),2)&amp;"元整"</f>
        <v>#REF!</v>
      </c>
      <c r="G119" s="3736"/>
      <c r="H119" s="3734" t="e">
        <f ca="1">NUMBERSTRING(INT(H118*10000),2)&amp;"元整"</f>
        <v>#REF!</v>
      </c>
      <c r="I119" s="3736"/>
    </row>
    <row r="120" spans="1:27" ht="18.75" customHeight="1">
      <c r="A120" s="3758" t="str">
        <f>IF(项目基本情况!B9="房地产市场价值","",MID(E103,3,LEN(E103)-2))</f>
        <v>估价师知悉的法定优先受偿款</v>
      </c>
      <c r="B120" s="3759"/>
      <c r="C120" s="3760"/>
      <c r="D120" s="3758">
        <f>H103</f>
        <v>0</v>
      </c>
      <c r="E120" s="3759"/>
      <c r="F120" s="3759"/>
      <c r="G120" s="3759"/>
      <c r="H120" s="3759"/>
      <c r="I120" s="376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34" t="s">
        <v>1452</v>
      </c>
      <c r="B121" s="3735"/>
      <c r="C121" s="3736"/>
      <c r="D121" s="3734" t="str">
        <f>IF(D120=0,"零元整",NUMBERSTRING(INT(D120*10000),2)&amp;"元整")</f>
        <v>零元整</v>
      </c>
      <c r="E121" s="3735"/>
      <c r="F121" s="3735"/>
      <c r="G121" s="3735"/>
      <c r="H121" s="3735"/>
      <c r="I121" s="3736"/>
      <c r="AA121" s="725"/>
    </row>
    <row r="122" spans="1:27" ht="18.75" customHeight="1">
      <c r="A122" s="3725" t="str">
        <f>IF(项目基本情况!B9="房地产市场价值","",MID(E107,3,LEN(E107)-2))</f>
        <v>房地产抵押价值</v>
      </c>
      <c r="B122" s="3725"/>
      <c r="C122" s="3725"/>
      <c r="D122" s="3758" t="e">
        <f ca="1">H107</f>
        <v>#REF!</v>
      </c>
      <c r="E122" s="3759"/>
      <c r="F122" s="3759"/>
      <c r="G122" s="3759"/>
      <c r="H122" s="3759"/>
      <c r="I122" s="3760"/>
      <c r="AA122" s="725"/>
    </row>
    <row r="123" spans="1:27" ht="18.75" customHeight="1">
      <c r="A123" s="3694" t="s">
        <v>1452</v>
      </c>
      <c r="B123" s="3694"/>
      <c r="C123" s="3694"/>
      <c r="D123" s="3734" t="e">
        <f ca="1">NUMBERSTRING(INT(D122*10000),2)&amp;"元整"</f>
        <v>#REF!</v>
      </c>
      <c r="E123" s="3735"/>
      <c r="F123" s="3735"/>
      <c r="G123" s="3735"/>
      <c r="H123" s="3735"/>
      <c r="I123" s="3736"/>
      <c r="AA123" s="725"/>
    </row>
    <row r="124" spans="1:27" ht="18.75" customHeight="1">
      <c r="A124" s="3725" t="str">
        <f>IF(项目基本情况!B9="房地产市场价值","",MID(E109,3,LEN(E109)-2))</f>
        <v/>
      </c>
      <c r="B124" s="3725"/>
      <c r="C124" s="3725"/>
      <c r="D124" s="3758" t="str">
        <f>H109</f>
        <v>——</v>
      </c>
      <c r="E124" s="3759"/>
      <c r="F124" s="3759"/>
      <c r="G124" s="3759"/>
      <c r="H124" s="3759"/>
      <c r="I124" s="3760"/>
      <c r="AA124" s="725"/>
    </row>
    <row r="125" spans="1:27" ht="18.75" customHeight="1">
      <c r="A125" s="3694" t="s">
        <v>1452</v>
      </c>
      <c r="B125" s="3694"/>
      <c r="C125" s="3694"/>
      <c r="D125" s="3734" t="e">
        <f>NUMBERSTRING(INT(D124*10000),2)&amp;"元整"</f>
        <v>#VALUE!</v>
      </c>
      <c r="E125" s="3735"/>
      <c r="F125" s="3735"/>
      <c r="G125" s="3735"/>
      <c r="H125" s="3735"/>
      <c r="I125" s="3736"/>
      <c r="AA125" s="725"/>
    </row>
    <row r="126" spans="1:27" ht="18.75" customHeight="1">
      <c r="A126" s="3725" t="str">
        <f>IF(项目基本情况!B9="房地产市场价值","",MID(E111,3,LEN(E111)-2))</f>
        <v/>
      </c>
      <c r="B126" s="3725"/>
      <c r="C126" s="3725"/>
      <c r="D126" s="3758" t="str">
        <f>H111</f>
        <v>——</v>
      </c>
      <c r="E126" s="3759"/>
      <c r="F126" s="3759"/>
      <c r="G126" s="3759"/>
      <c r="H126" s="3759"/>
      <c r="I126" s="3760"/>
      <c r="AA126" s="725"/>
    </row>
    <row r="127" spans="1:27" ht="18.75" customHeight="1">
      <c r="A127" s="3694" t="s">
        <v>1452</v>
      </c>
      <c r="B127" s="3694"/>
      <c r="C127" s="3694"/>
      <c r="D127" s="3734" t="e">
        <f>NUMBERSTRING(INT(D126*10000),2)&amp;"元整"</f>
        <v>#VALUE!</v>
      </c>
      <c r="E127" s="3735"/>
      <c r="F127" s="3735"/>
      <c r="G127" s="3735"/>
      <c r="H127" s="3735"/>
      <c r="I127" s="3736"/>
      <c r="AA127" s="725"/>
    </row>
    <row r="128" spans="1:27" ht="21.75" customHeight="1">
      <c r="A128" s="3741" t="s">
        <v>1453</v>
      </c>
      <c r="B128" s="3741"/>
      <c r="C128" s="3741"/>
      <c r="D128" s="3741"/>
      <c r="E128" s="3741"/>
      <c r="F128" s="3741"/>
      <c r="G128" s="3741"/>
      <c r="H128" s="3741"/>
      <c r="I128" s="374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J27" sqref="J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t="s">
        <v>3756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70468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840" t="s">
        <v>1667</v>
      </c>
      <c r="D4" s="3841"/>
      <c r="E4" s="3842" t="s">
        <v>1668</v>
      </c>
      <c r="F4" s="3843"/>
      <c r="G4" s="3840" t="s">
        <v>1669</v>
      </c>
      <c r="H4" s="3841"/>
      <c r="I4" s="3840" t="s">
        <v>1670</v>
      </c>
      <c r="J4" s="3841"/>
      <c r="K4" s="1888" t="s">
        <v>1671</v>
      </c>
      <c r="L4" s="2714"/>
      <c r="M4" s="2715"/>
      <c r="N4" s="2715"/>
      <c r="O4" s="2715"/>
      <c r="P4" s="3844" t="s">
        <v>1672</v>
      </c>
      <c r="Q4" s="3845"/>
      <c r="R4" s="3850" t="s">
        <v>1668</v>
      </c>
      <c r="S4" s="3851"/>
      <c r="T4" s="3850" t="s">
        <v>1669</v>
      </c>
      <c r="U4" s="3851"/>
      <c r="V4" s="3856" t="s">
        <v>1670</v>
      </c>
      <c r="W4" s="3856"/>
      <c r="X4" s="1354"/>
      <c r="Y4" s="3850" t="s">
        <v>1672</v>
      </c>
      <c r="Z4" s="3851"/>
      <c r="AA4" s="3837" t="s">
        <v>1668</v>
      </c>
      <c r="AB4" s="3837" t="s">
        <v>1669</v>
      </c>
      <c r="AC4" s="3837" t="s">
        <v>1670</v>
      </c>
    </row>
    <row r="5" spans="1:29" ht="15">
      <c r="A5" s="358"/>
      <c r="B5" s="359"/>
      <c r="C5" s="3941" t="s">
        <v>3749</v>
      </c>
      <c r="D5" s="3860"/>
      <c r="E5" s="3866" t="str">
        <f>成交案例!G4</f>
        <v>亚林西居住区</v>
      </c>
      <c r="F5" s="3867"/>
      <c r="G5" s="3859" t="str">
        <f>成交案例!G5</f>
        <v>亚林西居住区9号院</v>
      </c>
      <c r="H5" s="3860"/>
      <c r="I5" s="3859" t="str">
        <f>成交案例!G6</f>
        <v>亚林西居住区</v>
      </c>
      <c r="J5" s="3860"/>
      <c r="K5" s="1889"/>
      <c r="L5" s="2714"/>
      <c r="M5" s="2715"/>
      <c r="N5" s="2715"/>
      <c r="O5" s="2715"/>
      <c r="P5" s="3846"/>
      <c r="Q5" s="3847"/>
      <c r="R5" s="3852"/>
      <c r="S5" s="3853"/>
      <c r="T5" s="3852"/>
      <c r="U5" s="3853"/>
      <c r="V5" s="3856"/>
      <c r="W5" s="3856"/>
      <c r="X5" s="1354"/>
      <c r="Y5" s="3852"/>
      <c r="Z5" s="3853"/>
      <c r="AA5" s="3838"/>
      <c r="AB5" s="3838"/>
      <c r="AC5" s="3838"/>
    </row>
    <row r="6" spans="1:29" ht="15.75" thickBot="1">
      <c r="A6" s="360"/>
      <c r="B6" s="361"/>
      <c r="C6" s="3947" t="s">
        <v>3753</v>
      </c>
      <c r="D6" s="3858"/>
      <c r="E6" s="3864" t="s">
        <v>1677</v>
      </c>
      <c r="F6" s="3865"/>
      <c r="G6" s="3857" t="s">
        <v>1677</v>
      </c>
      <c r="H6" s="3858"/>
      <c r="I6" s="3857" t="s">
        <v>1677</v>
      </c>
      <c r="J6" s="3858"/>
      <c r="K6" s="1889" t="s">
        <v>1678</v>
      </c>
      <c r="L6" s="2714"/>
      <c r="M6" s="2715"/>
      <c r="N6" s="2715"/>
      <c r="O6" s="2715"/>
      <c r="P6" s="3848"/>
      <c r="Q6" s="3849"/>
      <c r="R6" s="3852"/>
      <c r="S6" s="3853"/>
      <c r="T6" s="3854"/>
      <c r="U6" s="3855"/>
      <c r="V6" s="3856"/>
      <c r="W6" s="3856"/>
      <c r="X6" s="1354"/>
      <c r="Y6" s="3854"/>
      <c r="Z6" s="3855"/>
      <c r="AA6" s="3839"/>
      <c r="AB6" s="3839"/>
      <c r="AC6" s="3839"/>
    </row>
    <row r="7" spans="1:29" s="108" customFormat="1" ht="15.75" thickBot="1">
      <c r="A7" s="362" t="s">
        <v>1679</v>
      </c>
      <c r="B7" s="363"/>
      <c r="C7" s="364">
        <f>'数据-取费表'!B2</f>
        <v>45399</v>
      </c>
      <c r="D7" s="365">
        <v>100</v>
      </c>
      <c r="E7" s="366">
        <f>成交案例!S4</f>
        <v>45308</v>
      </c>
      <c r="F7" s="367">
        <f>SUMIF(58:58,YEAR(E7)&amp;"-"&amp;MONTH(E7),59:59)</f>
        <v>101.3</v>
      </c>
      <c r="G7" s="366">
        <f>成交案例!S5</f>
        <v>45208</v>
      </c>
      <c r="H7" s="365">
        <f>SUMIF(58:58,YEAR(G7)&amp;"-"&amp;MONTH(G7),59:59)</f>
        <v>104.7</v>
      </c>
      <c r="I7" s="366">
        <f>成交案例!S6</f>
        <v>45188</v>
      </c>
      <c r="J7" s="365">
        <f>SUMIF(58:58,YEAR(I7)&amp;"-"&amp;MONTH(I7),59:59)</f>
        <v>105.9</v>
      </c>
      <c r="K7" s="1890"/>
      <c r="L7" s="2716"/>
      <c r="M7" s="2717"/>
      <c r="N7" s="2717"/>
      <c r="O7" s="2717"/>
      <c r="P7" s="3861" t="s">
        <v>1680</v>
      </c>
      <c r="Q7" s="3863"/>
      <c r="R7" s="701" t="s">
        <v>20</v>
      </c>
      <c r="S7" s="702">
        <f t="shared" ref="S7:S15" si="0">F7</f>
        <v>101.3</v>
      </c>
      <c r="T7" s="701" t="s">
        <v>20</v>
      </c>
      <c r="U7" s="702">
        <f t="shared" ref="U7:U15" si="1">H7</f>
        <v>104.7</v>
      </c>
      <c r="V7" s="701" t="s">
        <v>20</v>
      </c>
      <c r="W7" s="702">
        <f t="shared" ref="W7:W15" si="2">J7</f>
        <v>105.9</v>
      </c>
      <c r="X7" s="703"/>
      <c r="Y7" s="3861" t="s">
        <v>1680</v>
      </c>
      <c r="Z7" s="3862"/>
      <c r="AA7" s="704">
        <f>D7/F7</f>
        <v>0.98716683119447191</v>
      </c>
      <c r="AB7" s="704">
        <f>D7/H7</f>
        <v>0.95510983763132762</v>
      </c>
      <c r="AC7" s="704">
        <f>D7/J7</f>
        <v>0.94428706326723322</v>
      </c>
    </row>
    <row r="8" spans="1:29" s="108" customFormat="1" ht="15.75" thickBot="1">
      <c r="A8" s="362" t="s">
        <v>1681</v>
      </c>
      <c r="B8" s="363"/>
      <c r="C8" s="368" t="s">
        <v>3552</v>
      </c>
      <c r="D8" s="365">
        <v>100</v>
      </c>
      <c r="E8" s="1891" t="s">
        <v>3552</v>
      </c>
      <c r="F8" s="367">
        <f>SUMIF(61:61,E8,62:62)-SUMIF(61:61,C8,62:62)+100</f>
        <v>100</v>
      </c>
      <c r="G8" s="368" t="s">
        <v>3552</v>
      </c>
      <c r="H8" s="365">
        <f>SUMIF(61:61,G8,62:62)-SUMIF(61:61,C8,62:62)+100</f>
        <v>100</v>
      </c>
      <c r="I8" s="1891" t="s">
        <v>3552</v>
      </c>
      <c r="J8" s="365">
        <f>SUMIF(61:61,I8,62:62)-SUMIF(61:61,C8,62:62)+100</f>
        <v>100</v>
      </c>
      <c r="K8" s="1890"/>
      <c r="L8" s="2716"/>
      <c r="M8" s="2717"/>
      <c r="N8" s="2717"/>
      <c r="O8" s="2717"/>
      <c r="P8" s="3861" t="s">
        <v>1683</v>
      </c>
      <c r="Q8" s="3862"/>
      <c r="R8" s="701" t="s">
        <v>20</v>
      </c>
      <c r="S8" s="702">
        <f t="shared" si="0"/>
        <v>100</v>
      </c>
      <c r="T8" s="701" t="s">
        <v>20</v>
      </c>
      <c r="U8" s="702">
        <f t="shared" si="1"/>
        <v>100</v>
      </c>
      <c r="V8" s="701" t="s">
        <v>20</v>
      </c>
      <c r="W8" s="702">
        <f t="shared" si="2"/>
        <v>100</v>
      </c>
      <c r="X8" s="703"/>
      <c r="Y8" s="3861" t="s">
        <v>1683</v>
      </c>
      <c r="Z8" s="3862"/>
      <c r="AA8" s="704">
        <f t="shared" ref="AA8:AA19" si="3">D8/F8</f>
        <v>1</v>
      </c>
      <c r="AB8" s="704">
        <f t="shared" ref="AB8:AB19" si="4">D8/H8</f>
        <v>1</v>
      </c>
      <c r="AC8" s="704">
        <f t="shared" ref="AC8:AC19" si="5">D8/J8</f>
        <v>1</v>
      </c>
    </row>
    <row r="9" spans="1:29" s="108" customFormat="1">
      <c r="A9" s="369" t="s">
        <v>1684</v>
      </c>
      <c r="B9" s="63" t="s">
        <v>1685</v>
      </c>
      <c r="C9" s="3945" t="s">
        <v>3750</v>
      </c>
      <c r="D9" s="126">
        <v>100</v>
      </c>
      <c r="E9" s="371" t="s">
        <v>3455</v>
      </c>
      <c r="F9" s="372">
        <f>SUMIF(63:63,E9,64:64)-SUMIF(63:63,C9,64:64)+100</f>
        <v>100</v>
      </c>
      <c r="G9" s="371" t="s">
        <v>3455</v>
      </c>
      <c r="H9" s="126">
        <f>SUMIF(63:63,G9,64:64)-SUMIF(63:63,C9,64:64)+100</f>
        <v>100</v>
      </c>
      <c r="I9" s="371" t="s">
        <v>3455</v>
      </c>
      <c r="J9" s="126">
        <f>SUMIF(63:63,I9,64:64)-SUMIF(63:63,C9,64:64)+100</f>
        <v>100</v>
      </c>
      <c r="K9" s="1890"/>
      <c r="L9" s="2716"/>
      <c r="M9" s="2717"/>
      <c r="N9" s="2717"/>
      <c r="O9" s="2717"/>
      <c r="P9" s="3836" t="s">
        <v>1686</v>
      </c>
      <c r="Q9" s="1342" t="str">
        <f t="shared" ref="Q9:Q15" si="6">B9</f>
        <v>用途</v>
      </c>
      <c r="R9" s="701" t="s">
        <v>14</v>
      </c>
      <c r="S9" s="702">
        <f t="shared" si="0"/>
        <v>100</v>
      </c>
      <c r="T9" s="701" t="s">
        <v>14</v>
      </c>
      <c r="U9" s="702">
        <f t="shared" si="1"/>
        <v>100</v>
      </c>
      <c r="V9" s="701" t="s">
        <v>14</v>
      </c>
      <c r="W9" s="702">
        <f t="shared" si="2"/>
        <v>100</v>
      </c>
      <c r="X9" s="703"/>
      <c r="Y9" s="3681" t="s">
        <v>1687</v>
      </c>
      <c r="Z9" s="52" t="str">
        <f t="shared" ref="Z9:Z15" si="7">Q9</f>
        <v>用途</v>
      </c>
      <c r="AA9" s="704">
        <f t="shared" si="3"/>
        <v>1</v>
      </c>
      <c r="AB9" s="704">
        <f t="shared" si="4"/>
        <v>1</v>
      </c>
      <c r="AC9" s="704">
        <f t="shared" si="5"/>
        <v>1</v>
      </c>
    </row>
    <row r="10" spans="1:29" s="378" customFormat="1" ht="27">
      <c r="A10" s="374"/>
      <c r="B10" s="375" t="s">
        <v>1688</v>
      </c>
      <c r="C10" s="3433" t="s">
        <v>3751</v>
      </c>
      <c r="D10" s="127">
        <v>100</v>
      </c>
      <c r="E10" s="3433" t="s">
        <v>3751</v>
      </c>
      <c r="F10" s="376">
        <f>SUMIF(65:65,#REF!,66:66)-SUMIF(65:65,C10,66:66)+100</f>
        <v>100</v>
      </c>
      <c r="G10" s="3433" t="s">
        <v>3751</v>
      </c>
      <c r="H10" s="127">
        <f>SUMIF(65:65,G10,66:66)-SUMIF(65:65,C10,66:66)+100</f>
        <v>100</v>
      </c>
      <c r="I10" s="3433" t="s">
        <v>3751</v>
      </c>
      <c r="J10" s="127">
        <f>SUMIF(65:65,I10,66:66)-SUMIF(65:65,C10,66:66)+100</f>
        <v>100</v>
      </c>
      <c r="K10" s="1890"/>
      <c r="L10" s="2718"/>
      <c r="M10" s="2719"/>
      <c r="N10" s="2719"/>
      <c r="O10" s="2719"/>
      <c r="P10" s="3836"/>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704">
        <f t="shared" si="5"/>
        <v>1</v>
      </c>
    </row>
    <row r="11" spans="1:29" ht="15.75" thickBot="1">
      <c r="A11" s="379"/>
      <c r="B11" s="375" t="s">
        <v>1689</v>
      </c>
      <c r="C11" s="380">
        <v>2.9</v>
      </c>
      <c r="D11" s="127">
        <v>100</v>
      </c>
      <c r="E11" s="381">
        <v>2.9</v>
      </c>
      <c r="F11" s="376">
        <f>LOOKUP(E11,68:68,69:69)-LOOKUP(C11,68:68,69:69)+100</f>
        <v>100</v>
      </c>
      <c r="G11" s="380">
        <v>2.9</v>
      </c>
      <c r="H11" s="127">
        <f>LOOKUP(G11,68:68,69:69)-LOOKUP(C11,68:68,69:69)+100</f>
        <v>100</v>
      </c>
      <c r="I11" s="380">
        <v>2.9</v>
      </c>
      <c r="J11" s="127">
        <f>LOOKUP(I11,68:68,69:69)-LOOKUP(C11,68:68,69:69)+100</f>
        <v>100</v>
      </c>
      <c r="K11" s="377">
        <v>1</v>
      </c>
      <c r="L11" s="2720"/>
      <c r="M11" s="2715"/>
      <c r="N11" s="2715"/>
      <c r="O11" s="2715"/>
      <c r="P11" s="3836"/>
      <c r="Q11" s="1342" t="str">
        <f t="shared" si="6"/>
        <v>容积率</v>
      </c>
      <c r="R11" s="701" t="s">
        <v>18</v>
      </c>
      <c r="S11" s="702">
        <f t="shared" si="0"/>
        <v>100</v>
      </c>
      <c r="T11" s="701" t="s">
        <v>18</v>
      </c>
      <c r="U11" s="702">
        <f t="shared" si="1"/>
        <v>100</v>
      </c>
      <c r="V11" s="701" t="s">
        <v>18</v>
      </c>
      <c r="W11" s="702">
        <f t="shared" si="2"/>
        <v>100</v>
      </c>
      <c r="X11" s="703"/>
      <c r="Y11" s="3681"/>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836"/>
      <c r="Q12" s="1342">
        <f t="shared" si="6"/>
        <v>111</v>
      </c>
      <c r="R12" s="701" t="s">
        <v>18</v>
      </c>
      <c r="S12" s="702">
        <f t="shared" si="0"/>
        <v>100</v>
      </c>
      <c r="T12" s="701" t="s">
        <v>18</v>
      </c>
      <c r="U12" s="702">
        <f t="shared" si="1"/>
        <v>100</v>
      </c>
      <c r="V12" s="701" t="s">
        <v>18</v>
      </c>
      <c r="W12" s="702">
        <f t="shared" si="2"/>
        <v>100</v>
      </c>
      <c r="X12" s="703"/>
      <c r="Y12" s="3681"/>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836"/>
      <c r="Q13" s="1342">
        <f t="shared" si="6"/>
        <v>111</v>
      </c>
      <c r="R13" s="701" t="s">
        <v>18</v>
      </c>
      <c r="S13" s="702">
        <f t="shared" si="0"/>
        <v>100</v>
      </c>
      <c r="T13" s="701" t="s">
        <v>18</v>
      </c>
      <c r="U13" s="702">
        <f t="shared" si="1"/>
        <v>100</v>
      </c>
      <c r="V13" s="701" t="s">
        <v>18</v>
      </c>
      <c r="W13" s="702">
        <f t="shared" si="2"/>
        <v>100</v>
      </c>
      <c r="X13" s="703"/>
      <c r="Y13" s="3681"/>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836"/>
      <c r="Q14" s="1342">
        <f t="shared" si="6"/>
        <v>111</v>
      </c>
      <c r="R14" s="701" t="s">
        <v>18</v>
      </c>
      <c r="S14" s="702">
        <f t="shared" si="0"/>
        <v>100</v>
      </c>
      <c r="T14" s="701" t="s">
        <v>18</v>
      </c>
      <c r="U14" s="702">
        <f t="shared" si="1"/>
        <v>100</v>
      </c>
      <c r="V14" s="701" t="s">
        <v>18</v>
      </c>
      <c r="W14" s="702">
        <f t="shared" si="2"/>
        <v>100</v>
      </c>
      <c r="X14" s="703"/>
      <c r="Y14" s="368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34" t="s">
        <v>1691</v>
      </c>
      <c r="Q15" s="1351" t="str">
        <f t="shared" si="6"/>
        <v>居住社区成熟度</v>
      </c>
      <c r="R15" s="705" t="s">
        <v>18</v>
      </c>
      <c r="S15" s="706">
        <f t="shared" si="0"/>
        <v>100</v>
      </c>
      <c r="T15" s="705" t="s">
        <v>18</v>
      </c>
      <c r="U15" s="706">
        <f t="shared" si="1"/>
        <v>100</v>
      </c>
      <c r="V15" s="705" t="s">
        <v>18</v>
      </c>
      <c r="W15" s="706">
        <f t="shared" si="2"/>
        <v>100</v>
      </c>
      <c r="X15" s="1354"/>
      <c r="Y15" s="3827" t="s">
        <v>1691</v>
      </c>
      <c r="Z15" s="1355" t="str">
        <f t="shared" si="7"/>
        <v>居住社区成熟度</v>
      </c>
      <c r="AA15" s="1352">
        <f t="shared" si="3"/>
        <v>1</v>
      </c>
      <c r="AB15" s="1352">
        <f t="shared" si="4"/>
        <v>1</v>
      </c>
      <c r="AC15" s="1352">
        <f t="shared" si="5"/>
        <v>1</v>
      </c>
    </row>
    <row r="16" spans="1:29" ht="15">
      <c r="A16" s="379"/>
      <c r="B16" s="397"/>
      <c r="C16" s="398" t="s">
        <v>3566</v>
      </c>
      <c r="D16" s="399"/>
      <c r="E16" s="398" t="s">
        <v>3566</v>
      </c>
      <c r="F16" s="399"/>
      <c r="G16" s="398" t="s">
        <v>3566</v>
      </c>
      <c r="H16" s="401"/>
      <c r="I16" s="398" t="s">
        <v>3566</v>
      </c>
      <c r="J16" s="399"/>
      <c r="K16" s="1898"/>
      <c r="L16" s="2721"/>
      <c r="M16" s="2715"/>
      <c r="N16" s="2715"/>
      <c r="O16" s="2715"/>
      <c r="P16" s="3835"/>
      <c r="Q16" s="1351"/>
      <c r="R16" s="705"/>
      <c r="S16" s="706"/>
      <c r="T16" s="705"/>
      <c r="U16" s="706"/>
      <c r="V16" s="705"/>
      <c r="W16" s="706"/>
      <c r="X16" s="1354"/>
      <c r="Y16" s="382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35"/>
      <c r="Q17" s="1351" t="str">
        <f>B17</f>
        <v>交通便捷度</v>
      </c>
      <c r="R17" s="705" t="s">
        <v>18</v>
      </c>
      <c r="S17" s="706">
        <f>F17</f>
        <v>100</v>
      </c>
      <c r="T17" s="705" t="s">
        <v>18</v>
      </c>
      <c r="U17" s="706">
        <f>H17</f>
        <v>100</v>
      </c>
      <c r="V17" s="705" t="s">
        <v>18</v>
      </c>
      <c r="W17" s="706">
        <f>J17</f>
        <v>100</v>
      </c>
      <c r="X17" s="1354"/>
      <c r="Y17" s="3828"/>
      <c r="Z17" s="1355" t="str">
        <f>Q17</f>
        <v>交通便捷度</v>
      </c>
      <c r="AA17" s="1352">
        <f t="shared" si="3"/>
        <v>1</v>
      </c>
      <c r="AB17" s="1352">
        <f t="shared" si="4"/>
        <v>1</v>
      </c>
      <c r="AC17" s="1352">
        <f t="shared" si="5"/>
        <v>1</v>
      </c>
    </row>
    <row r="18" spans="1:29" ht="15">
      <c r="A18" s="379"/>
      <c r="B18" s="407"/>
      <c r="C18" s="398" t="s">
        <v>3566</v>
      </c>
      <c r="D18" s="401"/>
      <c r="E18" s="398" t="s">
        <v>3566</v>
      </c>
      <c r="F18" s="401"/>
      <c r="G18" s="398" t="s">
        <v>3566</v>
      </c>
      <c r="H18" s="399"/>
      <c r="I18" s="398" t="s">
        <v>3566</v>
      </c>
      <c r="J18" s="399"/>
      <c r="K18" s="1898"/>
      <c r="L18" s="2721"/>
      <c r="M18" s="2715"/>
      <c r="N18" s="2715"/>
      <c r="O18" s="2715"/>
      <c r="P18" s="3835"/>
      <c r="Q18" s="1351"/>
      <c r="R18" s="705"/>
      <c r="S18" s="706"/>
      <c r="T18" s="705"/>
      <c r="U18" s="706"/>
      <c r="V18" s="705"/>
      <c r="W18" s="706"/>
      <c r="X18" s="1354"/>
      <c r="Y18" s="382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35"/>
      <c r="Q19" s="1351" t="str">
        <f>B19</f>
        <v>公共配套设施</v>
      </c>
      <c r="R19" s="705" t="s">
        <v>18</v>
      </c>
      <c r="S19" s="706">
        <f>F19</f>
        <v>100</v>
      </c>
      <c r="T19" s="705" t="s">
        <v>18</v>
      </c>
      <c r="U19" s="706">
        <f>H19</f>
        <v>100</v>
      </c>
      <c r="V19" s="705" t="s">
        <v>18</v>
      </c>
      <c r="W19" s="706">
        <f>J19</f>
        <v>100</v>
      </c>
      <c r="X19" s="1354"/>
      <c r="Y19" s="3828"/>
      <c r="Z19" s="1355" t="str">
        <f>Q19</f>
        <v>公共配套设施</v>
      </c>
      <c r="AA19" s="1352">
        <f t="shared" si="3"/>
        <v>1</v>
      </c>
      <c r="AB19" s="1352">
        <f t="shared" si="4"/>
        <v>1</v>
      </c>
      <c r="AC19" s="1352">
        <f t="shared" si="5"/>
        <v>1</v>
      </c>
    </row>
    <row r="20" spans="1:29" ht="15">
      <c r="A20" s="379"/>
      <c r="B20" s="407"/>
      <c r="C20" s="398" t="s">
        <v>3566</v>
      </c>
      <c r="D20" s="399"/>
      <c r="E20" s="398" t="s">
        <v>3566</v>
      </c>
      <c r="F20" s="399"/>
      <c r="G20" s="398" t="s">
        <v>3566</v>
      </c>
      <c r="H20" s="399"/>
      <c r="I20" s="398" t="s">
        <v>3566</v>
      </c>
      <c r="J20" s="399"/>
      <c r="K20" s="1898"/>
      <c r="L20" s="2721"/>
      <c r="M20" s="2715"/>
      <c r="N20" s="2715"/>
      <c r="O20" s="2715"/>
      <c r="P20" s="3835"/>
      <c r="Q20" s="1351"/>
      <c r="R20" s="705"/>
      <c r="S20" s="706"/>
      <c r="T20" s="705"/>
      <c r="U20" s="706"/>
      <c r="V20" s="705"/>
      <c r="W20" s="706"/>
      <c r="X20" s="1354"/>
      <c r="Y20" s="3828"/>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35"/>
      <c r="Q21" s="1351" t="str">
        <f>B21</f>
        <v>基础设施水平</v>
      </c>
      <c r="R21" s="705" t="s">
        <v>14</v>
      </c>
      <c r="S21" s="706">
        <f>F21</f>
        <v>100</v>
      </c>
      <c r="T21" s="705" t="s">
        <v>14</v>
      </c>
      <c r="U21" s="706">
        <f>H21</f>
        <v>100</v>
      </c>
      <c r="V21" s="705" t="s">
        <v>14</v>
      </c>
      <c r="W21" s="706">
        <f>J21</f>
        <v>100</v>
      </c>
      <c r="X21" s="1354"/>
      <c r="Y21" s="3828"/>
      <c r="Z21" s="1355" t="str">
        <f>Q21</f>
        <v>基础设施水平</v>
      </c>
      <c r="AA21" s="1352">
        <f t="shared" ref="AA21" si="8">D21/F21</f>
        <v>1</v>
      </c>
      <c r="AB21" s="1352">
        <f t="shared" ref="AB21" si="9">D21/H21</f>
        <v>1</v>
      </c>
      <c r="AC21" s="1352">
        <f t="shared" ref="AC21" si="10">D21/J21</f>
        <v>1</v>
      </c>
    </row>
    <row r="22" spans="1:29" ht="15">
      <c r="A22" s="379"/>
      <c r="B22" s="1130"/>
      <c r="C22" s="1900" t="s">
        <v>3561</v>
      </c>
      <c r="D22" s="399"/>
      <c r="E22" s="1900" t="s">
        <v>3561</v>
      </c>
      <c r="F22" s="399"/>
      <c r="G22" s="1900" t="s">
        <v>3561</v>
      </c>
      <c r="H22" s="399"/>
      <c r="I22" s="1900" t="s">
        <v>3561</v>
      </c>
      <c r="J22" s="399"/>
      <c r="K22" s="1904"/>
      <c r="L22" s="2721"/>
      <c r="M22" s="2715"/>
      <c r="N22" s="2715"/>
      <c r="O22" s="2715"/>
      <c r="P22" s="3835"/>
      <c r="Q22" s="1351"/>
      <c r="R22" s="705"/>
      <c r="S22" s="706"/>
      <c r="T22" s="705"/>
      <c r="U22" s="706"/>
      <c r="V22" s="705"/>
      <c r="W22" s="706"/>
      <c r="X22" s="1354"/>
      <c r="Y22" s="382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35"/>
      <c r="Q23" s="1351" t="str">
        <f>B23</f>
        <v>自然及人文环境</v>
      </c>
      <c r="R23" s="705" t="s">
        <v>18</v>
      </c>
      <c r="S23" s="706">
        <f>F23</f>
        <v>100</v>
      </c>
      <c r="T23" s="705" t="s">
        <v>18</v>
      </c>
      <c r="U23" s="706">
        <f>H23</f>
        <v>100</v>
      </c>
      <c r="V23" s="705" t="s">
        <v>18</v>
      </c>
      <c r="W23" s="706">
        <f>J23</f>
        <v>100</v>
      </c>
      <c r="X23" s="1354"/>
      <c r="Y23" s="3828"/>
      <c r="Z23" s="1355" t="str">
        <f>Q23</f>
        <v>自然及人文环境</v>
      </c>
      <c r="AA23" s="1352">
        <f>D23/F23</f>
        <v>1</v>
      </c>
      <c r="AB23" s="1352">
        <f>D23/H23</f>
        <v>1</v>
      </c>
      <c r="AC23" s="1352">
        <f>D23/J23</f>
        <v>1</v>
      </c>
    </row>
    <row r="24" spans="1:29" ht="15">
      <c r="A24" s="379"/>
      <c r="B24" s="407"/>
      <c r="C24" s="398" t="s">
        <v>3566</v>
      </c>
      <c r="D24" s="399"/>
      <c r="E24" s="398" t="s">
        <v>3566</v>
      </c>
      <c r="F24" s="399"/>
      <c r="G24" s="398" t="s">
        <v>3566</v>
      </c>
      <c r="H24" s="399"/>
      <c r="I24" s="398" t="s">
        <v>3566</v>
      </c>
      <c r="J24" s="399"/>
      <c r="K24" s="1898"/>
      <c r="L24" s="2721"/>
      <c r="M24" s="2715"/>
      <c r="N24" s="2715"/>
      <c r="O24" s="2715"/>
      <c r="P24" s="3835"/>
      <c r="Q24" s="1351"/>
      <c r="R24" s="705"/>
      <c r="S24" s="706"/>
      <c r="T24" s="705"/>
      <c r="U24" s="706"/>
      <c r="V24" s="705"/>
      <c r="W24" s="706"/>
      <c r="X24" s="1354"/>
      <c r="Y24" s="3828"/>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3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828"/>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3758</v>
      </c>
      <c r="D26" s="386">
        <v>100</v>
      </c>
      <c r="E26" s="411" t="s">
        <v>3758</v>
      </c>
      <c r="F26" s="386">
        <f>SUMIF(88:88,E26,89:89)-SUMIF(88:88,C26,89:89)+100</f>
        <v>100</v>
      </c>
      <c r="G26" s="411" t="s">
        <v>3758</v>
      </c>
      <c r="H26" s="386">
        <f>SUMIF(88:88,G26,89:89)-SUMIF(88:88,C26,89:89)+100</f>
        <v>100</v>
      </c>
      <c r="I26" s="411" t="s">
        <v>3758</v>
      </c>
      <c r="J26" s="386">
        <f>SUMIF(88:88,I26,89:89)-SUMIF(88:88,C26,89:89)+100</f>
        <v>100</v>
      </c>
      <c r="K26" s="377">
        <v>0.5</v>
      </c>
      <c r="L26" s="2721"/>
      <c r="M26" s="2715"/>
      <c r="N26" s="2715"/>
      <c r="O26" s="2715"/>
      <c r="P26" s="3835"/>
      <c r="Q26" s="1351" t="str">
        <f t="shared" si="11"/>
        <v>朝向</v>
      </c>
      <c r="R26" s="705" t="s">
        <v>18</v>
      </c>
      <c r="S26" s="706">
        <f t="shared" si="12"/>
        <v>100</v>
      </c>
      <c r="T26" s="705" t="s">
        <v>18</v>
      </c>
      <c r="U26" s="706">
        <f t="shared" si="13"/>
        <v>100</v>
      </c>
      <c r="V26" s="705" t="s">
        <v>18</v>
      </c>
      <c r="W26" s="706">
        <f t="shared" si="14"/>
        <v>100</v>
      </c>
      <c r="X26" s="1354"/>
      <c r="Y26" s="3828"/>
      <c r="Z26" s="1355" t="str">
        <f>Q26</f>
        <v>朝向</v>
      </c>
      <c r="AA26" s="1352">
        <f t="shared" si="15"/>
        <v>1</v>
      </c>
      <c r="AB26" s="1352">
        <f t="shared" si="16"/>
        <v>1</v>
      </c>
      <c r="AC26" s="1352">
        <f t="shared" si="17"/>
        <v>1</v>
      </c>
    </row>
    <row r="27" spans="1:29" s="108" customFormat="1" ht="15.75" thickTop="1">
      <c r="A27" s="382"/>
      <c r="B27" s="3946" t="s">
        <v>3752</v>
      </c>
      <c r="C27" s="3493" t="s">
        <v>3760</v>
      </c>
      <c r="D27" s="413">
        <v>100</v>
      </c>
      <c r="E27" s="3493" t="s">
        <v>3760</v>
      </c>
      <c r="F27" s="413">
        <f>SUMIF(90:90,E27,91:91)-SUMIF(90:90,C27,91:91)+100</f>
        <v>100</v>
      </c>
      <c r="G27" s="3493" t="s">
        <v>3760</v>
      </c>
      <c r="H27" s="413">
        <f>SUMIF(90:90,G27,91:91)-SUMIF(90:90,C27,91:91)+100</f>
        <v>100</v>
      </c>
      <c r="I27" s="3493" t="s">
        <v>3760</v>
      </c>
      <c r="J27" s="413">
        <f>SUMIF(90:90,I27,91:91)-SUMIF(90:90,C27,91:91)+100</f>
        <v>100</v>
      </c>
      <c r="K27" s="1893"/>
      <c r="L27" s="2716"/>
      <c r="M27" s="2717"/>
      <c r="N27" s="2717"/>
      <c r="O27" s="2717"/>
      <c r="P27" s="3835"/>
      <c r="Q27" s="1342" t="str">
        <f t="shared" si="11"/>
        <v>楼层</v>
      </c>
      <c r="R27" s="701" t="s">
        <v>18</v>
      </c>
      <c r="S27" s="702">
        <f t="shared" si="12"/>
        <v>100</v>
      </c>
      <c r="T27" s="701" t="s">
        <v>18</v>
      </c>
      <c r="U27" s="702">
        <f t="shared" si="13"/>
        <v>100</v>
      </c>
      <c r="V27" s="701" t="s">
        <v>18</v>
      </c>
      <c r="W27" s="702">
        <f t="shared" si="14"/>
        <v>100</v>
      </c>
      <c r="X27" s="703"/>
      <c r="Y27" s="3828"/>
      <c r="Z27" s="52" t="str">
        <f>Q27</f>
        <v>楼层</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35"/>
      <c r="Q28" s="1351">
        <f t="shared" si="11"/>
        <v>111</v>
      </c>
      <c r="R28" s="705" t="s">
        <v>18</v>
      </c>
      <c r="S28" s="706">
        <f t="shared" si="12"/>
        <v>100</v>
      </c>
      <c r="T28" s="705" t="s">
        <v>18</v>
      </c>
      <c r="U28" s="706">
        <f t="shared" si="13"/>
        <v>100</v>
      </c>
      <c r="V28" s="705" t="s">
        <v>18</v>
      </c>
      <c r="W28" s="706">
        <f t="shared" si="14"/>
        <v>100</v>
      </c>
      <c r="X28" s="1354"/>
      <c r="Y28" s="382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35"/>
      <c r="Q29" s="1351">
        <f t="shared" si="11"/>
        <v>111</v>
      </c>
      <c r="R29" s="705" t="s">
        <v>18</v>
      </c>
      <c r="S29" s="706">
        <f t="shared" si="12"/>
        <v>100</v>
      </c>
      <c r="T29" s="705" t="s">
        <v>18</v>
      </c>
      <c r="U29" s="706">
        <f t="shared" si="13"/>
        <v>100</v>
      </c>
      <c r="V29" s="705" t="s">
        <v>18</v>
      </c>
      <c r="W29" s="706">
        <f t="shared" si="14"/>
        <v>100</v>
      </c>
      <c r="X29" s="1354"/>
      <c r="Y29" s="382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35"/>
      <c r="Q30" s="1351">
        <f t="shared" si="11"/>
        <v>111</v>
      </c>
      <c r="R30" s="705" t="s">
        <v>18</v>
      </c>
      <c r="S30" s="706">
        <f t="shared" si="12"/>
        <v>100</v>
      </c>
      <c r="T30" s="705" t="s">
        <v>18</v>
      </c>
      <c r="U30" s="706">
        <f t="shared" si="13"/>
        <v>100</v>
      </c>
      <c r="V30" s="705" t="s">
        <v>18</v>
      </c>
      <c r="W30" s="706">
        <f t="shared" si="14"/>
        <v>100</v>
      </c>
      <c r="X30" s="1354"/>
      <c r="Y30" s="382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35"/>
      <c r="Q31" s="1351">
        <f t="shared" si="11"/>
        <v>111</v>
      </c>
      <c r="R31" s="705" t="s">
        <v>18</v>
      </c>
      <c r="S31" s="706">
        <f t="shared" si="12"/>
        <v>100</v>
      </c>
      <c r="T31" s="705" t="s">
        <v>18</v>
      </c>
      <c r="U31" s="706">
        <f t="shared" si="13"/>
        <v>100</v>
      </c>
      <c r="V31" s="705" t="s">
        <v>18</v>
      </c>
      <c r="W31" s="706">
        <f t="shared" si="14"/>
        <v>100</v>
      </c>
      <c r="X31" s="1354"/>
      <c r="Y31" s="382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829" t="s">
        <v>1696</v>
      </c>
      <c r="Q32" s="1351" t="str">
        <f t="shared" si="11"/>
        <v>建筑类型</v>
      </c>
      <c r="R32" s="705" t="s">
        <v>18</v>
      </c>
      <c r="S32" s="706">
        <f t="shared" si="12"/>
        <v>100</v>
      </c>
      <c r="T32" s="705" t="s">
        <v>18</v>
      </c>
      <c r="U32" s="706">
        <f t="shared" si="13"/>
        <v>100</v>
      </c>
      <c r="V32" s="705" t="s">
        <v>18</v>
      </c>
      <c r="W32" s="706">
        <f t="shared" si="14"/>
        <v>100</v>
      </c>
      <c r="X32" s="1354"/>
      <c r="Y32" s="3832" t="s">
        <v>1696</v>
      </c>
      <c r="Z32" s="1355" t="str">
        <f t="shared" si="18"/>
        <v>建筑类型</v>
      </c>
      <c r="AA32" s="1352">
        <f t="shared" si="15"/>
        <v>1</v>
      </c>
      <c r="AB32" s="1352">
        <f t="shared" si="16"/>
        <v>1</v>
      </c>
      <c r="AC32" s="1352">
        <f t="shared" si="17"/>
        <v>1</v>
      </c>
    </row>
    <row r="33" spans="1:29" s="422" customFormat="1" ht="15">
      <c r="A33" s="419"/>
      <c r="B33" s="375" t="s">
        <v>1697</v>
      </c>
      <c r="C33" s="420">
        <v>136.49</v>
      </c>
      <c r="D33" s="127">
        <v>100</v>
      </c>
      <c r="E33" s="381">
        <f>成交案例!J4</f>
        <v>86.6</v>
      </c>
      <c r="F33" s="376">
        <f>LOOKUP(E33,103:103,104:104)-LOOKUP(C33,103:103,104:104)+100</f>
        <v>102</v>
      </c>
      <c r="G33" s="380">
        <f>成交案例!J5</f>
        <v>113.96</v>
      </c>
      <c r="H33" s="127">
        <f>LOOKUP(G33,103:103,104:104)-LOOKUP(C33,103:103,104:104)+100</f>
        <v>102</v>
      </c>
      <c r="I33" s="381">
        <f>成交案例!J6</f>
        <v>87.82</v>
      </c>
      <c r="J33" s="127">
        <f>LOOKUP(I33,103:103,104:104)-LOOKUP(C33,103:103,104:104)+100</f>
        <v>102</v>
      </c>
      <c r="K33" s="1893"/>
      <c r="L33" s="2720"/>
      <c r="M33" s="2722"/>
      <c r="N33" s="2722"/>
      <c r="O33" s="2722"/>
      <c r="P33" s="3830"/>
      <c r="Q33" s="707" t="str">
        <f t="shared" si="11"/>
        <v>项目建筑规模</v>
      </c>
      <c r="R33" s="708" t="s">
        <v>18</v>
      </c>
      <c r="S33" s="709">
        <f t="shared" si="12"/>
        <v>102</v>
      </c>
      <c r="T33" s="708" t="s">
        <v>18</v>
      </c>
      <c r="U33" s="709">
        <f t="shared" si="13"/>
        <v>102</v>
      </c>
      <c r="V33" s="708" t="s">
        <v>18</v>
      </c>
      <c r="W33" s="709">
        <f t="shared" si="14"/>
        <v>102</v>
      </c>
      <c r="X33" s="710"/>
      <c r="Y33" s="3832"/>
      <c r="Z33" s="711" t="str">
        <f t="shared" si="18"/>
        <v>项目建筑规模</v>
      </c>
      <c r="AA33" s="1352">
        <f t="shared" si="15"/>
        <v>0.98039215686274506</v>
      </c>
      <c r="AB33" s="1352">
        <f t="shared" si="16"/>
        <v>0.98039215686274506</v>
      </c>
      <c r="AC33" s="1352">
        <f t="shared" si="17"/>
        <v>0.98039215686274506</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30"/>
      <c r="Q34" s="1351" t="str">
        <f t="shared" si="11"/>
        <v>建筑结构</v>
      </c>
      <c r="R34" s="705" t="s">
        <v>18</v>
      </c>
      <c r="S34" s="706">
        <f t="shared" si="12"/>
        <v>100</v>
      </c>
      <c r="T34" s="705" t="s">
        <v>18</v>
      </c>
      <c r="U34" s="706">
        <f t="shared" si="13"/>
        <v>100</v>
      </c>
      <c r="V34" s="705" t="s">
        <v>18</v>
      </c>
      <c r="W34" s="706">
        <f t="shared" si="14"/>
        <v>100</v>
      </c>
      <c r="X34" s="1354"/>
      <c r="Y34" s="383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30"/>
      <c r="Q35" s="1351" t="str">
        <f t="shared" si="11"/>
        <v>建筑品质</v>
      </c>
      <c r="R35" s="705" t="s">
        <v>18</v>
      </c>
      <c r="S35" s="706">
        <f t="shared" si="12"/>
        <v>100</v>
      </c>
      <c r="T35" s="705" t="s">
        <v>18</v>
      </c>
      <c r="U35" s="706">
        <f t="shared" si="13"/>
        <v>100</v>
      </c>
      <c r="V35" s="705" t="s">
        <v>18</v>
      </c>
      <c r="W35" s="706">
        <f t="shared" si="14"/>
        <v>100</v>
      </c>
      <c r="X35" s="1354"/>
      <c r="Y35" s="383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30"/>
      <c r="Q36" s="1351" t="str">
        <f t="shared" si="11"/>
        <v>公共部分装修</v>
      </c>
      <c r="R36" s="705" t="s">
        <v>18</v>
      </c>
      <c r="S36" s="706">
        <f t="shared" si="12"/>
        <v>100</v>
      </c>
      <c r="T36" s="705" t="s">
        <v>18</v>
      </c>
      <c r="U36" s="706">
        <f t="shared" si="13"/>
        <v>100</v>
      </c>
      <c r="V36" s="705" t="s">
        <v>18</v>
      </c>
      <c r="W36" s="706">
        <f t="shared" si="14"/>
        <v>100</v>
      </c>
      <c r="X36" s="1354"/>
      <c r="Y36" s="3832"/>
      <c r="Z36" s="1355" t="str">
        <f t="shared" si="18"/>
        <v>公共部分装修</v>
      </c>
      <c r="AA36" s="1352">
        <f t="shared" si="15"/>
        <v>1</v>
      </c>
      <c r="AB36" s="1352">
        <f t="shared" si="16"/>
        <v>1</v>
      </c>
      <c r="AC36" s="1352">
        <f t="shared" si="17"/>
        <v>1</v>
      </c>
    </row>
    <row r="37" spans="1:29" s="108" customFormat="1" ht="15">
      <c r="A37" s="424"/>
      <c r="B37" s="375" t="s">
        <v>1701</v>
      </c>
      <c r="C37" s="425">
        <v>0.98</v>
      </c>
      <c r="D37" s="127">
        <v>100</v>
      </c>
      <c r="E37" s="425">
        <v>0.98</v>
      </c>
      <c r="F37" s="376">
        <f>LOOKUP(E37,112:112,113:113)-LOOKUP(C37,112:112,113:113)+100</f>
        <v>100</v>
      </c>
      <c r="G37" s="427">
        <v>0.98</v>
      </c>
      <c r="H37" s="127">
        <f>LOOKUP(G37,112:112,113:113)-LOOKUP(C37,112:112,113:113)+100</f>
        <v>100</v>
      </c>
      <c r="I37" s="426">
        <v>0.98</v>
      </c>
      <c r="J37" s="127">
        <f>LOOKUP(I37,112:112,113:113)-LOOKUP(C37,112:112,113:113)+100</f>
        <v>100</v>
      </c>
      <c r="K37" s="377"/>
      <c r="L37" s="2716"/>
      <c r="M37" s="2717"/>
      <c r="N37" s="2717"/>
      <c r="O37" s="2717"/>
      <c r="P37" s="3830"/>
      <c r="Q37" s="1342" t="str">
        <f t="shared" si="11"/>
        <v>成新度</v>
      </c>
      <c r="R37" s="701" t="s">
        <v>18</v>
      </c>
      <c r="S37" s="702">
        <f t="shared" si="12"/>
        <v>100</v>
      </c>
      <c r="T37" s="701" t="s">
        <v>18</v>
      </c>
      <c r="U37" s="702">
        <f t="shared" si="13"/>
        <v>100</v>
      </c>
      <c r="V37" s="701" t="s">
        <v>18</v>
      </c>
      <c r="W37" s="702">
        <f t="shared" si="14"/>
        <v>100</v>
      </c>
      <c r="X37" s="703"/>
      <c r="Y37" s="3832"/>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30" t="s">
        <v>1696</v>
      </c>
      <c r="Q38" s="1351" t="str">
        <f t="shared" si="11"/>
        <v>物业管理</v>
      </c>
      <c r="R38" s="705" t="s">
        <v>18</v>
      </c>
      <c r="S38" s="706">
        <f t="shared" si="12"/>
        <v>100</v>
      </c>
      <c r="T38" s="705" t="s">
        <v>18</v>
      </c>
      <c r="U38" s="706">
        <f t="shared" si="13"/>
        <v>100</v>
      </c>
      <c r="V38" s="705" t="s">
        <v>18</v>
      </c>
      <c r="W38" s="706">
        <f t="shared" si="14"/>
        <v>100</v>
      </c>
      <c r="X38" s="1354"/>
      <c r="Y38" s="383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30"/>
      <c r="Q39" s="1351" t="str">
        <f t="shared" si="11"/>
        <v>市政基础设施</v>
      </c>
      <c r="R39" s="705" t="s">
        <v>18</v>
      </c>
      <c r="S39" s="706">
        <f t="shared" si="12"/>
        <v>100</v>
      </c>
      <c r="T39" s="705" t="s">
        <v>18</v>
      </c>
      <c r="U39" s="706">
        <f t="shared" si="13"/>
        <v>100</v>
      </c>
      <c r="V39" s="705" t="s">
        <v>18</v>
      </c>
      <c r="W39" s="706">
        <f t="shared" si="14"/>
        <v>100</v>
      </c>
      <c r="X39" s="1354"/>
      <c r="Y39" s="383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30"/>
      <c r="Q40" s="1351" t="str">
        <f t="shared" si="11"/>
        <v>房型</v>
      </c>
      <c r="R40" s="705" t="s">
        <v>18</v>
      </c>
      <c r="S40" s="706">
        <f t="shared" si="12"/>
        <v>100</v>
      </c>
      <c r="T40" s="705" t="s">
        <v>18</v>
      </c>
      <c r="U40" s="706">
        <f t="shared" si="13"/>
        <v>100</v>
      </c>
      <c r="V40" s="705" t="s">
        <v>18</v>
      </c>
      <c r="W40" s="706">
        <f t="shared" si="14"/>
        <v>100</v>
      </c>
      <c r="X40" s="1354"/>
      <c r="Y40" s="383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30"/>
      <c r="Q41" s="707" t="str">
        <f t="shared" si="11"/>
        <v>单套/主力户型建筑面积</v>
      </c>
      <c r="R41" s="708" t="s">
        <v>18</v>
      </c>
      <c r="S41" s="709">
        <f t="shared" si="12"/>
        <v>100</v>
      </c>
      <c r="T41" s="708" t="s">
        <v>18</v>
      </c>
      <c r="U41" s="709">
        <f t="shared" si="13"/>
        <v>100</v>
      </c>
      <c r="V41" s="708" t="s">
        <v>18</v>
      </c>
      <c r="W41" s="709">
        <f t="shared" si="14"/>
        <v>100</v>
      </c>
      <c r="X41" s="710"/>
      <c r="Y41" s="383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30"/>
      <c r="Q42" s="1351" t="str">
        <f t="shared" si="11"/>
        <v>内部装修</v>
      </c>
      <c r="R42" s="705" t="s">
        <v>18</v>
      </c>
      <c r="S42" s="706">
        <f t="shared" si="12"/>
        <v>100</v>
      </c>
      <c r="T42" s="705" t="s">
        <v>18</v>
      </c>
      <c r="U42" s="706">
        <f t="shared" si="13"/>
        <v>100</v>
      </c>
      <c r="V42" s="705" t="s">
        <v>18</v>
      </c>
      <c r="W42" s="706">
        <f t="shared" si="14"/>
        <v>100</v>
      </c>
      <c r="X42" s="1354"/>
      <c r="Y42" s="383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30"/>
      <c r="Q43" s="1351" t="str">
        <f t="shared" si="11"/>
        <v>内部装修维护情况</v>
      </c>
      <c r="R43" s="705" t="s">
        <v>18</v>
      </c>
      <c r="S43" s="706">
        <f t="shared" si="12"/>
        <v>100</v>
      </c>
      <c r="T43" s="705" t="s">
        <v>18</v>
      </c>
      <c r="U43" s="706">
        <f t="shared" si="13"/>
        <v>100</v>
      </c>
      <c r="V43" s="705" t="s">
        <v>18</v>
      </c>
      <c r="W43" s="706">
        <f t="shared" si="14"/>
        <v>100</v>
      </c>
      <c r="X43" s="1354"/>
      <c r="Y43" s="383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30"/>
      <c r="Q44" s="1342">
        <f t="shared" si="11"/>
        <v>111</v>
      </c>
      <c r="R44" s="701" t="s">
        <v>18</v>
      </c>
      <c r="S44" s="702">
        <f t="shared" si="12"/>
        <v>100</v>
      </c>
      <c r="T44" s="701" t="s">
        <v>18</v>
      </c>
      <c r="U44" s="702">
        <f t="shared" si="13"/>
        <v>100</v>
      </c>
      <c r="V44" s="701" t="s">
        <v>18</v>
      </c>
      <c r="W44" s="702">
        <f t="shared" si="14"/>
        <v>100</v>
      </c>
      <c r="X44" s="703"/>
      <c r="Y44" s="3832"/>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30"/>
      <c r="Q45" s="1351">
        <f t="shared" si="11"/>
        <v>111</v>
      </c>
      <c r="R45" s="705" t="s">
        <v>18</v>
      </c>
      <c r="S45" s="706">
        <f t="shared" si="12"/>
        <v>100</v>
      </c>
      <c r="T45" s="705" t="s">
        <v>18</v>
      </c>
      <c r="U45" s="706">
        <f t="shared" si="13"/>
        <v>100</v>
      </c>
      <c r="V45" s="705" t="s">
        <v>18</v>
      </c>
      <c r="W45" s="706">
        <f t="shared" si="14"/>
        <v>100</v>
      </c>
      <c r="X45" s="1354"/>
      <c r="Y45" s="383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31"/>
      <c r="Q46" s="1351">
        <f t="shared" si="11"/>
        <v>111</v>
      </c>
      <c r="R46" s="705" t="s">
        <v>17</v>
      </c>
      <c r="S46" s="706">
        <f t="shared" si="12"/>
        <v>100</v>
      </c>
      <c r="T46" s="705" t="s">
        <v>17</v>
      </c>
      <c r="U46" s="706">
        <f t="shared" si="13"/>
        <v>100</v>
      </c>
      <c r="V46" s="705" t="s">
        <v>17</v>
      </c>
      <c r="W46" s="706">
        <f t="shared" si="14"/>
        <v>100</v>
      </c>
      <c r="X46" s="1354"/>
      <c r="Y46" s="3833"/>
      <c r="Z46" s="1355">
        <f t="shared" si="18"/>
        <v>111</v>
      </c>
      <c r="AA46" s="1352">
        <f t="shared" si="15"/>
        <v>1</v>
      </c>
      <c r="AB46" s="1352">
        <f t="shared" si="16"/>
        <v>1</v>
      </c>
      <c r="AC46" s="1352">
        <f t="shared" si="17"/>
        <v>1</v>
      </c>
    </row>
    <row r="47" spans="1:29" ht="15">
      <c r="A47" s="430" t="s">
        <v>1708</v>
      </c>
      <c r="B47" s="431"/>
      <c r="C47" s="1153" t="s">
        <v>16</v>
      </c>
      <c r="D47" s="1154"/>
      <c r="E47" s="1155">
        <f>成交案例!P4</f>
        <v>66975</v>
      </c>
      <c r="F47" s="1156"/>
      <c r="G47" s="1157">
        <f>成交案例!P5</f>
        <v>60372</v>
      </c>
      <c r="H47" s="1158"/>
      <c r="I47" s="1155">
        <f>成交案例!P6</f>
        <v>61489</v>
      </c>
      <c r="J47" s="1158"/>
      <c r="K47" s="1913"/>
      <c r="L47" s="2723"/>
      <c r="M47" s="2724"/>
      <c r="N47" s="2715"/>
      <c r="O47" s="2724"/>
      <c r="P47" s="3825" t="str">
        <f>A47</f>
        <v>成交单价（元/平方米）</v>
      </c>
      <c r="Q47" s="3825"/>
      <c r="R47" s="3826">
        <f>E47</f>
        <v>66975</v>
      </c>
      <c r="S47" s="3826"/>
      <c r="T47" s="3826">
        <f>G47</f>
        <v>60372</v>
      </c>
      <c r="U47" s="3826"/>
      <c r="V47" s="3826">
        <f>I47</f>
        <v>61489</v>
      </c>
      <c r="W47" s="3826"/>
      <c r="X47" s="690"/>
      <c r="Y47" s="712"/>
      <c r="Z47" s="690"/>
      <c r="AA47" s="690"/>
      <c r="AB47" s="690"/>
      <c r="AC47" s="690"/>
    </row>
    <row r="48" spans="1:29" ht="15.75" thickBot="1">
      <c r="A48" s="437" t="s">
        <v>1709</v>
      </c>
      <c r="B48" s="438"/>
      <c r="C48" s="1159">
        <f>R49</f>
        <v>59425</v>
      </c>
      <c r="D48" s="2316" t="s">
        <v>2138</v>
      </c>
      <c r="E48" s="1160">
        <f>R48</f>
        <v>64819</v>
      </c>
      <c r="F48" s="2317"/>
      <c r="G48" s="1159">
        <f>T48</f>
        <v>56531</v>
      </c>
      <c r="H48" s="2317"/>
      <c r="I48" s="1160">
        <f>V48</f>
        <v>56925</v>
      </c>
      <c r="J48" s="2317"/>
      <c r="K48" s="2318">
        <f>F48+H48+J48</f>
        <v>0</v>
      </c>
      <c r="L48" s="2723"/>
      <c r="M48" s="2724"/>
      <c r="N48" s="2724"/>
      <c r="O48" s="2724"/>
      <c r="P48" s="3825" t="str">
        <f>A48</f>
        <v>比较价值（元/平方米）</v>
      </c>
      <c r="Q48" s="3825"/>
      <c r="R48" s="3826">
        <f>IF(F1="售价",ROUND(PRODUCT(R47,AA7:AA46),0),ROUND(PRODUCT(R47,AA7:AA46),1))</f>
        <v>64819</v>
      </c>
      <c r="S48" s="3826"/>
      <c r="T48" s="3826">
        <f>IF(F1="售价",ROUND(PRODUCT(T47,AB7:AB46),0),ROUND(PRODUCT(T47,AB7:AB46),1))</f>
        <v>56531</v>
      </c>
      <c r="U48" s="3826"/>
      <c r="V48" s="3826">
        <f>IF(F1="售价",ROUND(PRODUCT(V47,AC7:AC46),0),ROUND(PRODUCT(V47,AC7:AC46),1))</f>
        <v>56925</v>
      </c>
      <c r="W48" s="3826"/>
      <c r="X48" s="690"/>
      <c r="Y48" s="690"/>
      <c r="Z48" s="690"/>
      <c r="AA48" s="690"/>
      <c r="AB48" s="690"/>
      <c r="AC48" s="690"/>
    </row>
    <row r="49" spans="1:29" ht="15.75" thickBot="1">
      <c r="A49" s="441" t="s">
        <v>1710</v>
      </c>
      <c r="B49" s="442"/>
      <c r="C49" s="1161">
        <f>R49</f>
        <v>59425</v>
      </c>
      <c r="D49" s="1162"/>
      <c r="E49" s="1162"/>
      <c r="F49" s="1162"/>
      <c r="G49" s="1162"/>
      <c r="H49" s="1162"/>
      <c r="I49" s="1162"/>
      <c r="J49" s="1162"/>
      <c r="K49" s="1914"/>
      <c r="L49" s="2723"/>
      <c r="M49" s="2724"/>
      <c r="N49" s="2724"/>
      <c r="O49" s="2724"/>
      <c r="P49" s="3822" t="str">
        <f>A49</f>
        <v>估价对象XX用房的比较价值（楼面单价，元/平方米）</v>
      </c>
      <c r="Q49" s="3823"/>
      <c r="R49" s="3824">
        <f>IF(F1="售价",ROUND(IF(D48="简单平均",AVERAGE(R48:V48),R48*F48+T48*H48+V48*J48),0),ROUND(IF(D48="简单平均",AVERAGE(R48:V48),R48*F48+T48*H48+V48*J48),1))</f>
        <v>59425</v>
      </c>
      <c r="S49" s="3824"/>
      <c r="T49" s="3824"/>
      <c r="U49" s="3824"/>
      <c r="V49" s="3824"/>
      <c r="W49" s="382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3.3261852234684364E-2</v>
      </c>
      <c r="F52" s="449" t="str">
        <f>IF(OR(E52&gt;=0.3,E52&lt;=-0.3),"超过30%","")</f>
        <v/>
      </c>
      <c r="G52" s="448">
        <f>IF(G47&lt;G48,G48/G47-1,G47/G48-1)</f>
        <v>6.7945021315738208E-2</v>
      </c>
      <c r="H52" s="449" t="str">
        <f>IF(OR(G52&gt;=0.3,G52&lt;=-0.3),"超过30%","")</f>
        <v/>
      </c>
      <c r="I52" s="448">
        <f>IF(I47&lt;I48,I48/I47-1,I47/I48-1)</f>
        <v>8.0175669740887079E-2</v>
      </c>
      <c r="J52" s="449" t="str">
        <f>IF(OR(I52&gt;=0.3,I52&lt;=-0.3),"超过30%","")</f>
        <v/>
      </c>
      <c r="K52" s="2729"/>
      <c r="L52" s="2725"/>
      <c r="M52" s="2724"/>
      <c r="N52" s="2724"/>
      <c r="O52" s="2724"/>
    </row>
    <row r="53" spans="1:29" ht="13.5" customHeight="1">
      <c r="A53" s="2724"/>
      <c r="B53" s="2724"/>
      <c r="C53" s="446" t="s">
        <v>1712</v>
      </c>
      <c r="D53" s="450"/>
      <c r="E53" s="448">
        <f>IF(E48&lt;G48,G48/E48-1,E48/G48-1)</f>
        <v>0.14660982469795325</v>
      </c>
      <c r="F53" s="449" t="str">
        <f>IF(OR(E53&gt;=0.2,E53&lt;=-0.2),"超过20%","")</f>
        <v/>
      </c>
      <c r="G53" s="448">
        <f>IF(G48&lt;I48,I48/G48-1,G48/I48-1)</f>
        <v>6.9696272841450746E-3</v>
      </c>
      <c r="H53" s="449" t="str">
        <f>IF(OR(G53&gt;=0.2,G53&lt;=-0.2),"超过20%","")</f>
        <v/>
      </c>
      <c r="I53" s="448">
        <f>IF(I48&lt;E48,E48/I48-1,I48/E48-1)</f>
        <v>0.13867369345630221</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0.10937189425561522</v>
      </c>
      <c r="F54" s="449" t="str">
        <f>IF(OR(E54&gt;=0.3,E54&lt;=-0.3),"超过30%","")</f>
        <v/>
      </c>
      <c r="G54" s="448">
        <f>IF(G47&lt;I47,I47/G47-1,G47/I47-1)</f>
        <v>1.8501954548466149E-2</v>
      </c>
      <c r="H54" s="449" t="str">
        <f>IF(OR(G54&gt;=0.3,G54&lt;=-0.3),"超过30%","")</f>
        <v/>
      </c>
      <c r="I54" s="448">
        <f>IF(I47&lt;E47,E47/I47-1,I47/E47-1)</f>
        <v>8.921920993998933E-2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ht="15">
      <c r="A59" s="458"/>
      <c r="B59" s="1918"/>
      <c r="C59" s="1182">
        <v>100</v>
      </c>
      <c r="D59" s="460">
        <f>指数!A33</f>
        <v>100</v>
      </c>
      <c r="E59" s="461">
        <f>指数!B33</f>
        <v>100.4</v>
      </c>
      <c r="F59" s="461">
        <f>指数!C33</f>
        <v>101.3</v>
      </c>
      <c r="G59" s="461">
        <f>指数!D33</f>
        <v>102</v>
      </c>
      <c r="H59" s="461">
        <f>指数!E33</f>
        <v>103.3</v>
      </c>
      <c r="I59" s="461">
        <f>指数!F33</f>
        <v>104.7</v>
      </c>
      <c r="J59" s="461">
        <f>指数!G33</f>
        <v>105.9</v>
      </c>
      <c r="K59" s="461">
        <f>指数!H33</f>
        <v>105.1</v>
      </c>
      <c r="L59" s="461">
        <f>指数!I33</f>
        <v>104.7</v>
      </c>
      <c r="M59" s="461">
        <f>指数!J33</f>
        <v>105.4</v>
      </c>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3493" t="s">
        <v>3759</v>
      </c>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75" thickTop="1">
      <c r="A90" s="502"/>
      <c r="B90" s="487" t="str">
        <f>B27</f>
        <v>楼层</v>
      </c>
      <c r="C90" s="3493" t="s">
        <v>3760</v>
      </c>
      <c r="D90" s="503"/>
      <c r="E90" s="503"/>
      <c r="F90" s="503"/>
      <c r="G90" s="503"/>
      <c r="H90" s="504"/>
      <c r="I90" s="504"/>
      <c r="J90" s="504"/>
      <c r="K90" s="504"/>
      <c r="L90" s="505"/>
      <c r="M90" s="506"/>
      <c r="N90" s="935"/>
      <c r="O90" s="935"/>
      <c r="P90" s="1922"/>
      <c r="Q90" s="508"/>
    </row>
    <row r="91" spans="1:17" s="422" customFormat="1" ht="15.75" thickBot="1">
      <c r="A91" s="502"/>
      <c r="B91" s="492"/>
      <c r="C91" s="509">
        <v>100</v>
      </c>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0(含)-60</v>
      </c>
      <c r="D102" s="527" t="str">
        <f t="shared" ref="D102:L102" si="26">D103&amp;"(含)"&amp;"-"&amp;E103</f>
        <v>60(含)-120</v>
      </c>
      <c r="E102" s="527" t="str">
        <f t="shared" si="26"/>
        <v>120(含)-180</v>
      </c>
      <c r="F102" s="527" t="str">
        <f t="shared" si="26"/>
        <v>180(含)-240</v>
      </c>
      <c r="G102" s="527" t="str">
        <f t="shared" si="26"/>
        <v>240(含)-300</v>
      </c>
      <c r="H102" s="527" t="str">
        <f t="shared" si="26"/>
        <v>300(含)-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120</v>
      </c>
      <c r="F103" s="544">
        <v>180</v>
      </c>
      <c r="G103" s="544">
        <v>240</v>
      </c>
      <c r="H103" s="544">
        <v>300</v>
      </c>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v>92</v>
      </c>
      <c r="H104" s="485">
        <v>90</v>
      </c>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L34"/>
  <sheetViews>
    <sheetView topLeftCell="A19" workbookViewId="0">
      <selection activeCell="M35" sqref="M35"/>
    </sheetView>
  </sheetViews>
  <sheetFormatPr defaultRowHeight="13.5"/>
  <sheetData>
    <row r="23" spans="1:12" ht="14.25" thickBot="1"/>
    <row r="24" spans="1:12" ht="14.25" thickBot="1">
      <c r="A24" s="3948">
        <v>45352</v>
      </c>
      <c r="B24" s="3949">
        <v>45323</v>
      </c>
      <c r="C24" s="3949">
        <v>45292</v>
      </c>
      <c r="D24" s="3949">
        <v>45261</v>
      </c>
      <c r="E24" s="3949">
        <v>45231</v>
      </c>
      <c r="F24" s="3950"/>
      <c r="G24" s="3950"/>
      <c r="H24" s="3950"/>
      <c r="I24" s="3950"/>
      <c r="J24" s="3950"/>
      <c r="K24" s="3950"/>
      <c r="L24" s="3950"/>
    </row>
    <row r="25" spans="1:12" ht="14.25" thickBot="1">
      <c r="A25" s="3951">
        <v>99.6</v>
      </c>
      <c r="B25" s="3952">
        <v>99.1</v>
      </c>
      <c r="C25" s="3952">
        <v>99.3</v>
      </c>
      <c r="D25" s="3952">
        <v>98.8</v>
      </c>
      <c r="E25" s="3952">
        <v>98.6</v>
      </c>
      <c r="F25" s="3950"/>
      <c r="G25" s="3950"/>
      <c r="H25" s="3950"/>
      <c r="I25" s="3950"/>
      <c r="J25" s="3950"/>
      <c r="K25" s="3950"/>
      <c r="L25" s="3950"/>
    </row>
    <row r="26" spans="1:12" ht="14.25" thickBot="1">
      <c r="A26" s="3948">
        <v>45200</v>
      </c>
      <c r="B26" s="3949">
        <v>45170</v>
      </c>
      <c r="C26" s="3949">
        <v>45139</v>
      </c>
      <c r="D26" s="3949">
        <v>45108</v>
      </c>
      <c r="E26" s="3949">
        <v>45078</v>
      </c>
      <c r="F26" s="3949">
        <v>45047</v>
      </c>
      <c r="G26" s="3950"/>
      <c r="H26" s="3950"/>
      <c r="I26" s="3950"/>
      <c r="J26" s="3950"/>
      <c r="K26" s="3950"/>
      <c r="L26" s="3950"/>
    </row>
    <row r="27" spans="1:12" ht="14.25" thickBot="1">
      <c r="A27" s="3951">
        <v>98.9</v>
      </c>
      <c r="B27" s="3952">
        <v>100.7</v>
      </c>
      <c r="C27" s="3952">
        <v>100.4</v>
      </c>
      <c r="D27" s="3952">
        <v>99.4</v>
      </c>
      <c r="E27" s="3952">
        <v>99.3</v>
      </c>
      <c r="F27" s="3952">
        <v>99.4</v>
      </c>
      <c r="G27" s="3950"/>
      <c r="H27" s="3950"/>
      <c r="I27" s="3950"/>
      <c r="J27" s="3950"/>
      <c r="K27" s="3950"/>
      <c r="L27" s="3950"/>
    </row>
    <row r="28" spans="1:12">
      <c r="A28" s="3950"/>
      <c r="B28" s="3950"/>
      <c r="C28" s="3950"/>
      <c r="D28" s="3950"/>
      <c r="E28" s="3950"/>
      <c r="F28" s="3950"/>
      <c r="G28" s="3950"/>
      <c r="H28" s="3950"/>
      <c r="I28" s="3950"/>
      <c r="J28" s="3950"/>
      <c r="K28" s="3950"/>
      <c r="L28" s="3950"/>
    </row>
    <row r="29" spans="1:12">
      <c r="A29" s="3953">
        <f t="shared" ref="A29:E30" si="0">A24</f>
        <v>45352</v>
      </c>
      <c r="B29" s="3953">
        <f t="shared" si="0"/>
        <v>45323</v>
      </c>
      <c r="C29" s="3953">
        <f t="shared" si="0"/>
        <v>45292</v>
      </c>
      <c r="D29" s="3953">
        <f t="shared" si="0"/>
        <v>45261</v>
      </c>
      <c r="E29" s="3953">
        <f t="shared" si="0"/>
        <v>45231</v>
      </c>
      <c r="F29" s="3953">
        <f t="shared" ref="F29:J30" si="1">A26</f>
        <v>45200</v>
      </c>
      <c r="G29" s="3953">
        <f t="shared" si="1"/>
        <v>45170</v>
      </c>
      <c r="H29" s="3953">
        <f t="shared" si="1"/>
        <v>45139</v>
      </c>
      <c r="I29" s="3953">
        <f t="shared" si="1"/>
        <v>45108</v>
      </c>
      <c r="J29" s="3953">
        <f t="shared" si="1"/>
        <v>45078</v>
      </c>
      <c r="K29" s="3953">
        <v>45047</v>
      </c>
      <c r="L29" s="3953">
        <v>45017</v>
      </c>
    </row>
    <row r="30" spans="1:12">
      <c r="A30" s="3950">
        <f t="shared" si="0"/>
        <v>99.6</v>
      </c>
      <c r="B30" s="3950">
        <f t="shared" si="0"/>
        <v>99.1</v>
      </c>
      <c r="C30" s="3950">
        <f t="shared" si="0"/>
        <v>99.3</v>
      </c>
      <c r="D30" s="3950">
        <f t="shared" si="0"/>
        <v>98.8</v>
      </c>
      <c r="E30" s="3950">
        <f t="shared" si="0"/>
        <v>98.6</v>
      </c>
      <c r="F30" s="3950">
        <f t="shared" si="1"/>
        <v>98.9</v>
      </c>
      <c r="G30" s="3950">
        <f t="shared" si="1"/>
        <v>100.7</v>
      </c>
      <c r="H30" s="3950">
        <f t="shared" si="1"/>
        <v>100.4</v>
      </c>
      <c r="I30" s="3950">
        <f t="shared" si="1"/>
        <v>99.4</v>
      </c>
      <c r="J30" s="3950">
        <f t="shared" si="1"/>
        <v>99.3</v>
      </c>
      <c r="K30" s="3950">
        <f>F27</f>
        <v>99.4</v>
      </c>
      <c r="L30" s="3950">
        <v>100.1</v>
      </c>
    </row>
    <row r="31" spans="1:12">
      <c r="A31" s="3950">
        <f>ROUND(100/100,4)</f>
        <v>1</v>
      </c>
      <c r="B31" s="3950">
        <f t="shared" ref="B31:L31" si="2">ROUND(100/A30,4)</f>
        <v>1.004</v>
      </c>
      <c r="C31" s="3950">
        <f t="shared" si="2"/>
        <v>1.0091000000000001</v>
      </c>
      <c r="D31" s="3950">
        <f t="shared" si="2"/>
        <v>1.0069999999999999</v>
      </c>
      <c r="E31" s="3950">
        <f t="shared" si="2"/>
        <v>1.0121</v>
      </c>
      <c r="F31" s="3950">
        <f t="shared" si="2"/>
        <v>1.0142</v>
      </c>
      <c r="G31" s="3950">
        <f t="shared" si="2"/>
        <v>1.0111000000000001</v>
      </c>
      <c r="H31" s="3950">
        <f t="shared" si="2"/>
        <v>0.99299999999999999</v>
      </c>
      <c r="I31" s="3950">
        <f t="shared" si="2"/>
        <v>0.996</v>
      </c>
      <c r="J31" s="3950">
        <f t="shared" si="2"/>
        <v>1.006</v>
      </c>
      <c r="K31" s="3950">
        <f t="shared" si="2"/>
        <v>1.0069999999999999</v>
      </c>
      <c r="L31" s="3950">
        <f t="shared" si="2"/>
        <v>1.006</v>
      </c>
    </row>
    <row r="32" spans="1:12">
      <c r="A32" s="3950">
        <v>1</v>
      </c>
      <c r="B32" s="3954">
        <f>ROUND(A32*B31,4)</f>
        <v>1.004</v>
      </c>
      <c r="C32" s="3950">
        <f t="shared" ref="C32:I32" si="3">ROUND(B32*C31,4)</f>
        <v>1.0130999999999999</v>
      </c>
      <c r="D32" s="3950">
        <f>ROUND(C32*D31,4)</f>
        <v>1.0202</v>
      </c>
      <c r="E32" s="3950">
        <f>ROUND(D32*E31,4)</f>
        <v>1.0325</v>
      </c>
      <c r="F32" s="3950">
        <f t="shared" si="3"/>
        <v>1.0471999999999999</v>
      </c>
      <c r="G32" s="3950">
        <f t="shared" si="3"/>
        <v>1.0588</v>
      </c>
      <c r="H32" s="3950">
        <f t="shared" si="3"/>
        <v>1.0513999999999999</v>
      </c>
      <c r="I32" s="3950">
        <f t="shared" si="3"/>
        <v>1.0471999999999999</v>
      </c>
      <c r="J32" s="3950">
        <f>ROUND(I32*J31,4)</f>
        <v>1.0535000000000001</v>
      </c>
      <c r="K32" s="3950">
        <f>ROUND(J32*K31,4)</f>
        <v>1.0609</v>
      </c>
      <c r="L32" s="3950">
        <f>ROUND(K32*L31,4)</f>
        <v>1.0672999999999999</v>
      </c>
    </row>
    <row r="33" spans="1:12">
      <c r="A33" s="3950">
        <v>100</v>
      </c>
      <c r="B33" s="3950">
        <f>ROUND(B32*100,1)</f>
        <v>100.4</v>
      </c>
      <c r="C33" s="3950">
        <f t="shared" ref="C33:L33" si="4">ROUND(C32*100,1)</f>
        <v>101.3</v>
      </c>
      <c r="D33" s="3950">
        <f t="shared" si="4"/>
        <v>102</v>
      </c>
      <c r="E33" s="3950">
        <f t="shared" si="4"/>
        <v>103.3</v>
      </c>
      <c r="F33" s="3950">
        <f t="shared" si="4"/>
        <v>104.7</v>
      </c>
      <c r="G33" s="3950">
        <f t="shared" si="4"/>
        <v>105.9</v>
      </c>
      <c r="H33" s="3950">
        <f t="shared" si="4"/>
        <v>105.1</v>
      </c>
      <c r="I33" s="3950">
        <f t="shared" si="4"/>
        <v>104.7</v>
      </c>
      <c r="J33" s="3950">
        <f t="shared" si="4"/>
        <v>105.4</v>
      </c>
      <c r="K33" s="3950">
        <f t="shared" si="4"/>
        <v>106.1</v>
      </c>
      <c r="L33" s="3950">
        <f t="shared" si="4"/>
        <v>106.7</v>
      </c>
    </row>
    <row r="34" spans="1:12">
      <c r="A34" s="3950"/>
      <c r="B34" s="3950"/>
      <c r="C34" s="3950"/>
      <c r="D34" s="3950"/>
      <c r="E34" s="3950"/>
      <c r="F34" s="3950"/>
      <c r="G34" s="3950"/>
      <c r="H34" s="3950"/>
      <c r="I34" s="3950"/>
      <c r="J34" s="3950"/>
      <c r="K34" s="3950"/>
      <c r="L34" s="3950"/>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topLeftCell="C13" workbookViewId="0">
      <selection activeCell="C23" sqref="C23"/>
    </sheetView>
  </sheetViews>
  <sheetFormatPr defaultRowHeight="13.5"/>
  <cols>
    <col min="19" max="19" width="11.375" customWidth="1"/>
  </cols>
  <sheetData>
    <row r="1" spans="1:19" ht="14.25">
      <c r="A1" s="3936" t="s">
        <v>3693</v>
      </c>
      <c r="B1" s="3940" t="s">
        <v>3694</v>
      </c>
      <c r="C1" s="3940" t="s">
        <v>3695</v>
      </c>
      <c r="D1" s="3940" t="s">
        <v>3696</v>
      </c>
      <c r="E1" s="3940" t="s">
        <v>3697</v>
      </c>
      <c r="F1" s="3940" t="s">
        <v>3698</v>
      </c>
      <c r="G1" s="3940" t="s">
        <v>3699</v>
      </c>
      <c r="H1" s="3940" t="s">
        <v>3700</v>
      </c>
      <c r="I1" s="3940" t="s">
        <v>3701</v>
      </c>
      <c r="J1" s="3940" t="s">
        <v>3702</v>
      </c>
      <c r="K1" s="3940" t="s">
        <v>3703</v>
      </c>
      <c r="L1" s="3940" t="s">
        <v>3704</v>
      </c>
      <c r="M1" s="3940" t="s">
        <v>3705</v>
      </c>
      <c r="N1" s="3940" t="s">
        <v>3706</v>
      </c>
      <c r="O1" s="3940" t="s">
        <v>3707</v>
      </c>
      <c r="P1" s="3940" t="s">
        <v>3708</v>
      </c>
      <c r="Q1" s="3940" t="s">
        <v>3709</v>
      </c>
      <c r="R1" s="3940" t="s">
        <v>3710</v>
      </c>
      <c r="S1" s="3940" t="s">
        <v>3711</v>
      </c>
    </row>
    <row r="2" spans="1:19" ht="57.75" thickBot="1">
      <c r="A2" s="3930">
        <v>1</v>
      </c>
      <c r="B2" s="3931" t="s">
        <v>3712</v>
      </c>
      <c r="C2" s="3930" t="s">
        <v>3713</v>
      </c>
      <c r="D2" s="3930" t="s">
        <v>3714</v>
      </c>
      <c r="E2" s="3930" t="s">
        <v>3715</v>
      </c>
      <c r="F2" s="3930" t="s">
        <v>3716</v>
      </c>
      <c r="G2" s="3930" t="s">
        <v>3717</v>
      </c>
      <c r="H2" s="3930" t="s">
        <v>3718</v>
      </c>
      <c r="I2" s="3930" t="s">
        <v>3719</v>
      </c>
      <c r="J2" s="3930">
        <v>87.82</v>
      </c>
      <c r="K2" s="3930" t="s">
        <v>3455</v>
      </c>
      <c r="L2" s="3930" t="s">
        <v>3720</v>
      </c>
      <c r="M2" s="3930">
        <v>12</v>
      </c>
      <c r="N2" s="3930">
        <v>2018</v>
      </c>
      <c r="O2" s="3930" t="s">
        <v>633</v>
      </c>
      <c r="P2" s="3930">
        <v>64678</v>
      </c>
      <c r="Q2" s="3930">
        <v>59921</v>
      </c>
      <c r="R2" s="3930">
        <v>5262262</v>
      </c>
      <c r="S2" s="3932">
        <v>45319</v>
      </c>
    </row>
    <row r="3" spans="1:19" ht="57.75" thickBot="1">
      <c r="A3" s="3933">
        <v>2</v>
      </c>
      <c r="B3" s="3934" t="s">
        <v>3712</v>
      </c>
      <c r="C3" s="3933" t="s">
        <v>3721</v>
      </c>
      <c r="D3" s="3933" t="s">
        <v>3722</v>
      </c>
      <c r="E3" s="3933" t="s">
        <v>3715</v>
      </c>
      <c r="F3" s="3933" t="s">
        <v>3723</v>
      </c>
      <c r="G3" s="3933" t="s">
        <v>3724</v>
      </c>
      <c r="H3" s="3933" t="s">
        <v>3718</v>
      </c>
      <c r="I3" s="3933" t="s">
        <v>3719</v>
      </c>
      <c r="J3" s="3933">
        <v>86.54</v>
      </c>
      <c r="K3" s="3933" t="s">
        <v>3455</v>
      </c>
      <c r="L3" s="3933">
        <v>31</v>
      </c>
      <c r="M3" s="3933">
        <v>7</v>
      </c>
      <c r="N3" s="3933" t="s">
        <v>633</v>
      </c>
      <c r="O3" s="3933">
        <v>2018</v>
      </c>
      <c r="P3" s="3933">
        <v>72568</v>
      </c>
      <c r="Q3" s="3933">
        <v>71102</v>
      </c>
      <c r="R3" s="3933">
        <v>6153167</v>
      </c>
      <c r="S3" s="3935">
        <v>45315</v>
      </c>
    </row>
    <row r="4" spans="1:19" s="3460" customFormat="1" ht="57.75" thickBot="1">
      <c r="A4" s="3942">
        <v>3</v>
      </c>
      <c r="B4" s="3943" t="s">
        <v>3712</v>
      </c>
      <c r="C4" s="3942" t="s">
        <v>3725</v>
      </c>
      <c r="D4" s="3942" t="s">
        <v>3726</v>
      </c>
      <c r="E4" s="3942" t="s">
        <v>3715</v>
      </c>
      <c r="F4" s="3942" t="s">
        <v>3727</v>
      </c>
      <c r="G4" s="3942" t="s">
        <v>3717</v>
      </c>
      <c r="H4" s="3942" t="s">
        <v>3718</v>
      </c>
      <c r="I4" s="3942" t="s">
        <v>3728</v>
      </c>
      <c r="J4" s="3942">
        <v>86.6</v>
      </c>
      <c r="K4" s="3942" t="s">
        <v>3455</v>
      </c>
      <c r="L4" s="3942" t="s">
        <v>3729</v>
      </c>
      <c r="M4" s="3942">
        <v>1</v>
      </c>
      <c r="N4" s="3942">
        <v>2019</v>
      </c>
      <c r="O4" s="3942" t="s">
        <v>633</v>
      </c>
      <c r="P4" s="3942">
        <v>66975</v>
      </c>
      <c r="Q4" s="3942">
        <v>60878</v>
      </c>
      <c r="R4" s="3942">
        <v>5272035</v>
      </c>
      <c r="S4" s="3944">
        <v>45308</v>
      </c>
    </row>
    <row r="5" spans="1:19" s="3460" customFormat="1" ht="57.75" thickBot="1">
      <c r="A5" s="3942">
        <v>4</v>
      </c>
      <c r="B5" s="3943" t="s">
        <v>3712</v>
      </c>
      <c r="C5" s="3942" t="s">
        <v>3735</v>
      </c>
      <c r="D5" s="3942" t="s">
        <v>3736</v>
      </c>
      <c r="E5" s="3942" t="s">
        <v>3715</v>
      </c>
      <c r="F5" s="3942" t="s">
        <v>3737</v>
      </c>
      <c r="G5" s="3942" t="s">
        <v>3724</v>
      </c>
      <c r="H5" s="3942" t="s">
        <v>3718</v>
      </c>
      <c r="I5" s="3942" t="s">
        <v>3728</v>
      </c>
      <c r="J5" s="3942">
        <v>113.96</v>
      </c>
      <c r="K5" s="3942" t="s">
        <v>3455</v>
      </c>
      <c r="L5" s="3942" t="s">
        <v>3738</v>
      </c>
      <c r="M5" s="3942">
        <v>1</v>
      </c>
      <c r="N5" s="3942" t="s">
        <v>633</v>
      </c>
      <c r="O5" s="3942">
        <v>2019</v>
      </c>
      <c r="P5" s="3942">
        <v>60372</v>
      </c>
      <c r="Q5" s="3942">
        <v>57213</v>
      </c>
      <c r="R5" s="3942">
        <v>6519993</v>
      </c>
      <c r="S5" s="3944">
        <v>45208</v>
      </c>
    </row>
    <row r="6" spans="1:19" s="3460" customFormat="1" ht="57.75" thickBot="1">
      <c r="A6" s="3942">
        <v>5</v>
      </c>
      <c r="B6" s="3943" t="s">
        <v>3712</v>
      </c>
      <c r="C6" s="3942" t="s">
        <v>3739</v>
      </c>
      <c r="D6" s="3942" t="s">
        <v>3740</v>
      </c>
      <c r="E6" s="3942" t="s">
        <v>3715</v>
      </c>
      <c r="F6" s="3942" t="s">
        <v>3741</v>
      </c>
      <c r="G6" s="3942" t="s">
        <v>3717</v>
      </c>
      <c r="H6" s="3942" t="s">
        <v>3718</v>
      </c>
      <c r="I6" s="3942" t="s">
        <v>3728</v>
      </c>
      <c r="J6" s="3942">
        <v>87.82</v>
      </c>
      <c r="K6" s="3942" t="s">
        <v>3455</v>
      </c>
      <c r="L6" s="3942" t="s">
        <v>3720</v>
      </c>
      <c r="M6" s="3942">
        <v>7</v>
      </c>
      <c r="N6" s="3942" t="s">
        <v>633</v>
      </c>
      <c r="O6" s="3942">
        <v>2019</v>
      </c>
      <c r="P6" s="3942">
        <v>61489</v>
      </c>
      <c r="Q6" s="3942">
        <v>61089</v>
      </c>
      <c r="R6" s="3942">
        <v>5364836</v>
      </c>
      <c r="S6" s="3944">
        <v>45188</v>
      </c>
    </row>
    <row r="7" spans="1:19" ht="57.75" thickBot="1">
      <c r="A7" s="3933">
        <v>6</v>
      </c>
      <c r="B7" s="3934" t="s">
        <v>3712</v>
      </c>
      <c r="C7" s="3933" t="s">
        <v>3742</v>
      </c>
      <c r="D7" s="3933" t="s">
        <v>3743</v>
      </c>
      <c r="E7" s="3933" t="s">
        <v>3715</v>
      </c>
      <c r="F7" s="3933" t="s">
        <v>3744</v>
      </c>
      <c r="G7" s="3933" t="s">
        <v>3717</v>
      </c>
      <c r="H7" s="3933" t="s">
        <v>3718</v>
      </c>
      <c r="I7" s="3933" t="s">
        <v>3728</v>
      </c>
      <c r="J7" s="3933">
        <v>58.26</v>
      </c>
      <c r="K7" s="3933" t="s">
        <v>3455</v>
      </c>
      <c r="L7" s="3933" t="s">
        <v>3720</v>
      </c>
      <c r="M7" s="3933">
        <v>15</v>
      </c>
      <c r="N7" s="3933" t="s">
        <v>633</v>
      </c>
      <c r="O7" s="3933">
        <v>2014</v>
      </c>
      <c r="P7" s="3933">
        <v>69516</v>
      </c>
      <c r="Q7" s="3933">
        <v>66176</v>
      </c>
      <c r="R7" s="3933">
        <v>3855414</v>
      </c>
      <c r="S7" s="3935">
        <v>45182</v>
      </c>
    </row>
    <row r="8" spans="1:19" ht="57.75" thickBot="1">
      <c r="A8" s="3930">
        <v>7</v>
      </c>
      <c r="B8" s="3931" t="s">
        <v>3712</v>
      </c>
      <c r="C8" s="3930" t="s">
        <v>3745</v>
      </c>
      <c r="D8" s="3930" t="s">
        <v>3746</v>
      </c>
      <c r="E8" s="3930" t="s">
        <v>3715</v>
      </c>
      <c r="F8" s="3930" t="s">
        <v>3747</v>
      </c>
      <c r="G8" s="3930" t="s">
        <v>3724</v>
      </c>
      <c r="H8" s="3930" t="s">
        <v>3718</v>
      </c>
      <c r="I8" s="3930" t="s">
        <v>3728</v>
      </c>
      <c r="J8" s="3930">
        <v>87.86</v>
      </c>
      <c r="K8" s="3930" t="s">
        <v>3455</v>
      </c>
      <c r="L8" s="3930" t="s">
        <v>3748</v>
      </c>
      <c r="M8" s="3930">
        <v>5</v>
      </c>
      <c r="N8" s="3930" t="s">
        <v>633</v>
      </c>
      <c r="O8" s="3930">
        <v>2018</v>
      </c>
      <c r="P8" s="3930">
        <v>67152</v>
      </c>
      <c r="Q8" s="3930">
        <v>62359</v>
      </c>
      <c r="R8" s="3930">
        <v>5478862</v>
      </c>
      <c r="S8" s="3932">
        <v>45155</v>
      </c>
    </row>
    <row r="9" spans="1:19" ht="43.5" thickBot="1">
      <c r="A9" s="3933">
        <v>8</v>
      </c>
      <c r="B9" s="3938" t="s">
        <v>3712</v>
      </c>
      <c r="C9" s="3937" t="s">
        <v>3730</v>
      </c>
      <c r="D9" s="3937" t="s">
        <v>3731</v>
      </c>
      <c r="E9" s="3937" t="s">
        <v>3715</v>
      </c>
      <c r="F9" s="3937" t="s">
        <v>3732</v>
      </c>
      <c r="G9" s="3937" t="s">
        <v>3733</v>
      </c>
      <c r="H9" s="3937" t="s">
        <v>3718</v>
      </c>
      <c r="I9" s="3937" t="s">
        <v>3719</v>
      </c>
      <c r="J9" s="3937">
        <v>146.31</v>
      </c>
      <c r="K9" s="3937" t="s">
        <v>3455</v>
      </c>
      <c r="L9" s="3937" t="s">
        <v>3734</v>
      </c>
      <c r="M9" s="3937">
        <v>5</v>
      </c>
      <c r="N9" s="3937" t="s">
        <v>633</v>
      </c>
      <c r="O9" s="3937">
        <v>2018</v>
      </c>
      <c r="P9" s="3937">
        <v>137380</v>
      </c>
      <c r="Q9" s="3937">
        <v>124703</v>
      </c>
      <c r="R9" s="3937">
        <v>18245296</v>
      </c>
      <c r="S9" s="3939">
        <v>45103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4" sqref="J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3455</v>
      </c>
      <c r="C1" s="198"/>
      <c r="D1" s="198"/>
      <c r="E1" s="198"/>
      <c r="F1" s="198"/>
      <c r="G1" s="1125">
        <f>MATCH(B1,'数据-取费表'!A6:A16,0)+5</f>
        <v>6</v>
      </c>
    </row>
    <row r="2" spans="1:9" s="200" customFormat="1" ht="18" customHeight="1">
      <c r="A2" s="201" t="s">
        <v>1462</v>
      </c>
      <c r="B2" s="202">
        <f ca="1">IF(D2="——",C52,C52-E2)</f>
        <v>40104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6845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3501" t="s">
        <v>1468</v>
      </c>
      <c r="C5" s="3502">
        <f ca="1">C6+C7+C8</f>
        <v>7642.4065000000001</v>
      </c>
      <c r="D5" s="211" t="s">
        <v>1469</v>
      </c>
      <c r="E5" s="212" t="s">
        <v>1470</v>
      </c>
      <c r="F5" s="212" t="s">
        <v>1471</v>
      </c>
      <c r="G5" s="213"/>
    </row>
    <row r="6" spans="1:9" s="214" customFormat="1" ht="13.5" customHeight="1">
      <c r="A6" s="778" t="s">
        <v>1472</v>
      </c>
      <c r="B6" s="215" t="s">
        <v>1473</v>
      </c>
      <c r="C6" s="216">
        <f>4500*面积整理!F1/10000</f>
        <v>6276.4065000000001</v>
      </c>
      <c r="D6" s="217"/>
      <c r="E6" s="218"/>
      <c r="F6" s="218"/>
      <c r="G6" s="219"/>
    </row>
    <row r="7" spans="1:9" s="214" customFormat="1" ht="13.5" customHeight="1">
      <c r="A7" s="778" t="s">
        <v>1474</v>
      </c>
      <c r="B7" s="215" t="s">
        <v>1475</v>
      </c>
      <c r="C7" s="220">
        <f>ROUND(C6*F7,0)</f>
        <v>191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1175</v>
      </c>
      <c r="D8" s="222"/>
      <c r="E8" s="220"/>
      <c r="F8" s="221"/>
      <c r="G8" s="1855" t="s">
        <v>3624</v>
      </c>
    </row>
    <row r="9" spans="1:9" s="214" customFormat="1" ht="13.5" customHeight="1">
      <c r="A9" s="779" t="s">
        <v>355</v>
      </c>
      <c r="B9" s="224" t="s">
        <v>1478</v>
      </c>
      <c r="C9" s="225">
        <f ca="1">ROUND(D9*E9/10000,0)</f>
        <v>937</v>
      </c>
      <c r="D9" s="845">
        <f ca="1">IF(B1="",'数据-汇总表'!E5,IF(INDIRECT("'数据-取费表'!c"&amp;$G$1)="住宅",INDIRECT("'数据-取费表'!k"&amp;$G$1),0))</f>
        <v>58590</v>
      </c>
      <c r="E9" s="225">
        <f>'数据-取费表'!B27</f>
        <v>160</v>
      </c>
      <c r="F9" s="221"/>
      <c r="G9" s="1856" t="s">
        <v>3625</v>
      </c>
      <c r="H9" s="1136"/>
      <c r="I9" s="1857" t="s">
        <v>1479</v>
      </c>
    </row>
    <row r="10" spans="1:9" s="214" customFormat="1" ht="13.5" customHeight="1">
      <c r="A10" s="779" t="s">
        <v>356</v>
      </c>
      <c r="B10" s="224" t="s">
        <v>1480</v>
      </c>
      <c r="C10" s="225">
        <f ca="1">ROUND(D10*E10/10000,0)</f>
        <v>238</v>
      </c>
      <c r="D10" s="845">
        <f ca="1">IF(B1="",'数据-汇总表'!E6,IF(INDIRECT("'数据-取费表'!c"&amp;$G$1)="住宅",INDIRECT("'数据-取费表'!s"&amp;$G$1),INDIRECT("'数据-取费表'!k"&amp;$G$1)+INDIRECT("'数据-取费表'!s"&amp;$G$1)))</f>
        <v>11878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3501" t="s">
        <v>1492</v>
      </c>
      <c r="C19" s="3502" t="str">
        <f>IF(G19="已包含在土地取得成本中","0",ROUND(D19*E19/10000,0))</f>
        <v>0</v>
      </c>
      <c r="D19" s="849">
        <f ca="1">D9+D10</f>
        <v>70468</v>
      </c>
      <c r="E19" s="211">
        <f>'数据-取费表'!B31</f>
        <v>200</v>
      </c>
      <c r="F19" s="231"/>
      <c r="G19" s="1855" t="s">
        <v>3626</v>
      </c>
    </row>
    <row r="20" spans="1:7" s="214" customFormat="1" ht="13.5" customHeight="1">
      <c r="A20" s="255" t="s">
        <v>1493</v>
      </c>
      <c r="B20" s="3501" t="s">
        <v>1494</v>
      </c>
      <c r="C20" s="3503">
        <f ca="1">ROUND((C5+C19)*F20,0)</f>
        <v>153</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3501" t="s">
        <v>1501</v>
      </c>
      <c r="C22" s="3504">
        <f ca="1">ROUND(SUM(C23:C25),0)</f>
        <v>1153</v>
      </c>
      <c r="D22" s="235">
        <f ca="1">C26</f>
        <v>0</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1142</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11</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3505" t="s">
        <v>1513</v>
      </c>
      <c r="C27" s="3506">
        <f ca="1">C28</f>
        <v>234</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234</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3501" t="s">
        <v>1521</v>
      </c>
      <c r="C31" s="3502">
        <f ca="1">ROUND((C5+C19+C20+C22+C27)/(1-C21-D22-D27-C30),0)</f>
        <v>9182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3507" t="s">
        <v>1524</v>
      </c>
      <c r="C33" s="3508">
        <f ca="1">SUM(C34:C38)</f>
        <v>33140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27593</v>
      </c>
      <c r="D34" s="217"/>
      <c r="E34" s="220"/>
      <c r="F34" s="257">
        <f ca="1">IF('数据-取费表'!B24=0,1,IF(B1="",'数据-取费表'!N16,INDIRECT("'数据-取费表'!n"&amp;$G$1)))</f>
        <v>1</v>
      </c>
      <c r="G34" s="219" t="s">
        <v>1526</v>
      </c>
    </row>
    <row r="35" spans="1:7" ht="13.5" customHeight="1">
      <c r="A35" s="780" t="s">
        <v>351</v>
      </c>
      <c r="B35" s="215" t="s">
        <v>1527</v>
      </c>
      <c r="C35" s="220">
        <f ca="1">ROUND(C34*F35,0)</f>
        <v>1380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2344</v>
      </c>
      <c r="D36" s="220"/>
      <c r="E36" s="220"/>
      <c r="F36" s="259">
        <f>'数据-取费表'!B34</f>
        <v>0.1</v>
      </c>
      <c r="G36" s="260" t="s">
        <v>1530</v>
      </c>
    </row>
    <row r="37" spans="1:7" s="258" customFormat="1" ht="13.5" customHeight="1">
      <c r="A37" s="780" t="s">
        <v>353</v>
      </c>
      <c r="B37" s="215" t="s">
        <v>1531</v>
      </c>
      <c r="C37" s="249">
        <f ca="1">ROUND(E37*D37*F34/10000,0)</f>
        <v>1409</v>
      </c>
      <c r="D37" s="217">
        <f ca="1">D19</f>
        <v>70468</v>
      </c>
      <c r="E37" s="249">
        <f>'数据-取费表'!B35</f>
        <v>200</v>
      </c>
      <c r="F37" s="259"/>
      <c r="G37" s="261" t="s">
        <v>1532</v>
      </c>
    </row>
    <row r="38" spans="1:7" ht="13.5" customHeight="1">
      <c r="A38" s="780" t="s">
        <v>354</v>
      </c>
      <c r="B38" s="215" t="s">
        <v>1533</v>
      </c>
      <c r="C38" s="220">
        <f ca="1">ROUND(C34*F38,0)</f>
        <v>414</v>
      </c>
      <c r="D38" s="220"/>
      <c r="E38" s="220"/>
      <c r="F38" s="259">
        <f>'数据-取费表'!B36</f>
        <v>1.4999999999999999E-2</v>
      </c>
      <c r="G38" s="219" t="s">
        <v>1528</v>
      </c>
    </row>
    <row r="39" spans="1:7" s="214" customFormat="1" ht="13.5" customHeight="1">
      <c r="A39" s="255" t="s">
        <v>1534</v>
      </c>
      <c r="B39" s="3507" t="s">
        <v>1535</v>
      </c>
      <c r="C39" s="3509">
        <f ca="1">ROUND(C33*F20,0)</f>
        <v>663</v>
      </c>
      <c r="D39" s="232"/>
      <c r="E39" s="232"/>
      <c r="F39" s="233">
        <f>F20</f>
        <v>0.02</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3507" t="s">
        <v>1542</v>
      </c>
      <c r="C41" s="3509">
        <f ca="1">ROUND(SUM(C42:C43),0)</f>
        <v>1605</v>
      </c>
      <c r="D41" s="235">
        <f ca="1">C44</f>
        <v>0</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1574</v>
      </c>
      <c r="D42" s="238"/>
      <c r="E42" s="238"/>
      <c r="F42" s="239"/>
      <c r="G42" s="3774" t="s">
        <v>1544</v>
      </c>
    </row>
    <row r="43" spans="1:7" ht="13.5" customHeight="1">
      <c r="A43" s="780" t="s">
        <v>347</v>
      </c>
      <c r="B43" s="215" t="s">
        <v>1545</v>
      </c>
      <c r="C43" s="238">
        <f ca="1">ROUND(IF('数据-取费表'!B22&lt;=1,C39*F22*'数据-取费表'!B21/2,C39*(POWER((1+F22),'数据-取费表'!B21/2)-1)),0)</f>
        <v>31</v>
      </c>
      <c r="D43" s="238"/>
      <c r="E43" s="238"/>
      <c r="F43" s="239"/>
      <c r="G43" s="3775"/>
    </row>
    <row r="44" spans="1:7" ht="13.5" customHeight="1">
      <c r="A44" s="780" t="s">
        <v>348</v>
      </c>
      <c r="B44" s="215" t="s">
        <v>1546</v>
      </c>
      <c r="C44" s="238">
        <f ca="1">ROUND(IF('数据-取费表'!B22&lt;=1,C40*F22*'数据-取费表'!B21/2,C40*(POWER((1+F22),'数据-取费表'!B21/2)-1)),4)</f>
        <v>0</v>
      </c>
      <c r="D44" s="238"/>
      <c r="E44" s="238"/>
      <c r="F44" s="239"/>
      <c r="G44" s="3776"/>
    </row>
    <row r="45" spans="1:7" s="214" customFormat="1" ht="13.5" customHeight="1">
      <c r="A45" s="255" t="s">
        <v>1547</v>
      </c>
      <c r="B45" s="3510" t="s">
        <v>1513</v>
      </c>
      <c r="C45" s="3511">
        <f ca="1">C46</f>
        <v>1014</v>
      </c>
      <c r="D45" s="235">
        <f ca="1">C47</f>
        <v>0</v>
      </c>
      <c r="E45" s="236" t="s">
        <v>1539</v>
      </c>
      <c r="F45" s="246">
        <f ca="1">F27</f>
        <v>0.03</v>
      </c>
      <c r="G45" s="247" t="s">
        <v>1548</v>
      </c>
    </row>
    <row r="46" spans="1:7" s="214" customFormat="1" ht="13.5" customHeight="1">
      <c r="A46" s="780" t="s">
        <v>346</v>
      </c>
      <c r="B46" s="248" t="s">
        <v>1549</v>
      </c>
      <c r="C46" s="249">
        <f ca="1">ROUND((C33+C39)*F27,0)</f>
        <v>1014</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6">
        <f>ROUND(F30/(1+'数据-取费表'!C42),4)</f>
        <v>0</v>
      </c>
      <c r="D48" s="236" t="s">
        <v>1539</v>
      </c>
      <c r="E48" s="232"/>
      <c r="F48" s="237">
        <f>F30</f>
        <v>0</v>
      </c>
      <c r="G48" s="234" t="s">
        <v>1552</v>
      </c>
    </row>
    <row r="49" spans="1:7" ht="16.5" customHeight="1">
      <c r="A49" s="255" t="s">
        <v>1518</v>
      </c>
      <c r="B49" s="210" t="s">
        <v>1553</v>
      </c>
      <c r="C49" s="232">
        <f ca="1">ROUND((C33+C39+C41+C45)/(1-C40-D41-D45-C48),0)</f>
        <v>36422</v>
      </c>
      <c r="D49" s="232"/>
      <c r="E49" s="232"/>
      <c r="F49" s="264"/>
      <c r="G49" s="234" t="s">
        <v>1554</v>
      </c>
    </row>
    <row r="50" spans="1:7" s="258" customFormat="1" ht="24">
      <c r="A50" s="255" t="s">
        <v>1555</v>
      </c>
      <c r="B50" s="210" t="s">
        <v>1556</v>
      </c>
      <c r="C50" s="232"/>
      <c r="D50" s="232"/>
      <c r="E50" s="232"/>
      <c r="F50" s="264">
        <f>IF('数据-取费表'!B24=0,'数据-取费表'!N16,1)</f>
        <v>0.84899999999999998</v>
      </c>
      <c r="G50" s="247" t="s">
        <v>1557</v>
      </c>
    </row>
    <row r="51" spans="1:7" ht="16.5" customHeight="1">
      <c r="A51" s="255" t="s">
        <v>1558</v>
      </c>
      <c r="B51" s="3507" t="s">
        <v>1559</v>
      </c>
      <c r="C51" s="3509">
        <f ca="1">ROUND(C49*F50,0)</f>
        <v>30922</v>
      </c>
      <c r="D51" s="232"/>
      <c r="E51" s="232"/>
      <c r="F51" s="264"/>
      <c r="G51" s="234" t="s">
        <v>1560</v>
      </c>
    </row>
    <row r="52" spans="1:7" s="208" customFormat="1" ht="16.5" thickBot="1">
      <c r="A52" s="265" t="s">
        <v>1561</v>
      </c>
      <c r="B52" s="266"/>
      <c r="C52" s="267">
        <f ca="1">C31+C51</f>
        <v>40104</v>
      </c>
      <c r="D52" s="266"/>
      <c r="E52" s="266"/>
      <c r="F52" s="266"/>
      <c r="G52" s="268"/>
    </row>
    <row r="55" spans="1:7" ht="15">
      <c r="B55" s="270" t="s">
        <v>1562</v>
      </c>
      <c r="C55" s="271"/>
    </row>
    <row r="56" spans="1:7">
      <c r="B56" s="273" t="s">
        <v>802</v>
      </c>
      <c r="C56" s="275">
        <f ca="1">1-C57</f>
        <v>0.22899999999999998</v>
      </c>
    </row>
    <row r="57" spans="1:7">
      <c r="B57" s="273" t="s">
        <v>803</v>
      </c>
      <c r="C57" s="274">
        <f ca="1">ROUND(C51/C52,3)</f>
        <v>0.77100000000000002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33990.295299999998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4824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11750000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11750000</v>
      </c>
      <c r="D8" s="222"/>
      <c r="E8" s="220"/>
      <c r="F8" s="221"/>
      <c r="G8" s="1855"/>
    </row>
    <row r="9" spans="1:8" s="214" customFormat="1" ht="13.5" customHeight="1">
      <c r="A9" s="779" t="s">
        <v>355</v>
      </c>
      <c r="B9" s="224" t="s">
        <v>1478</v>
      </c>
      <c r="C9" s="225">
        <f ca="1">ROUND(D9*E9,0)</f>
        <v>9374400</v>
      </c>
      <c r="D9" s="845">
        <f ca="1">IF(B1="",'数据-汇总表'!E5,IF(INDIRECT("'数据-取费表'!c"&amp;$G$1)="住宅",INDIRECT("'数据-取费表'!k"&amp;$G$1),0))</f>
        <v>58590</v>
      </c>
      <c r="E9" s="225">
        <f>'数据-取费表'!B27</f>
        <v>160</v>
      </c>
      <c r="F9" s="221"/>
      <c r="G9" s="226"/>
    </row>
    <row r="10" spans="1:8" s="214" customFormat="1" ht="13.5" customHeight="1">
      <c r="A10" s="779" t="s">
        <v>356</v>
      </c>
      <c r="B10" s="224" t="s">
        <v>1480</v>
      </c>
      <c r="C10" s="225">
        <f ca="1">ROUND(D10*E10,0)</f>
        <v>2375600</v>
      </c>
      <c r="D10" s="845">
        <f ca="1">IF(B1="",'数据-汇总表'!E6,IF(INDIRECT("'数据-取费表'!c"&amp;$G$1)="住宅",INDIRECT("'数据-取费表'!s"&amp;$G$1),INDIRECT("'数据-取费表'!k"&amp;$G$1)+INDIRECT("'数据-取费表'!s"&amp;$G$1)))</f>
        <v>11878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14093600</v>
      </c>
      <c r="D19" s="849">
        <f ca="1">D9+D10</f>
        <v>70468</v>
      </c>
      <c r="E19" s="211">
        <f>'数据-取费表'!B31</f>
        <v>200</v>
      </c>
      <c r="F19" s="231"/>
      <c r="G19" s="1855"/>
    </row>
    <row r="20" spans="1:7" s="214" customFormat="1" ht="13.5" customHeight="1">
      <c r="A20" s="255" t="s">
        <v>1574</v>
      </c>
      <c r="B20" s="210" t="s">
        <v>1575</v>
      </c>
      <c r="C20" s="232">
        <f ca="1">ROUND((C5+C19)*F20,0)</f>
        <v>516872</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6">
        <f ca="1">ROUND(SUM(C23:C25),0)</f>
        <v>3526135</v>
      </c>
      <c r="D22" s="235">
        <f ca="1">C26</f>
        <v>0</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1755167</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1733707</v>
      </c>
      <c r="D24" s="238"/>
      <c r="E24" s="238"/>
      <c r="F24" s="239"/>
      <c r="G24" s="240" t="s">
        <v>1586</v>
      </c>
    </row>
    <row r="25" spans="1:7" s="214" customFormat="1" ht="24">
      <c r="A25" s="780" t="s">
        <v>1476</v>
      </c>
      <c r="B25" s="215" t="s">
        <v>1587</v>
      </c>
      <c r="C25" s="1127">
        <f ca="1">ROUND(IF('数据-取费表'!B22&lt;=1,C20*F22*'数据-取费表'!B22/2,C20*(POWER((1+F22),'数据-取费表'!B22/2)-1)),0)</f>
        <v>37261</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f ca="1">C28</f>
        <v>790814</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ROUND((C5+C19+C20)*F27,0)</f>
        <v>790814</v>
      </c>
      <c r="D28" s="235"/>
      <c r="E28" s="236"/>
      <c r="F28" s="246"/>
      <c r="G28" s="247"/>
    </row>
    <row r="29" spans="1:7" s="214" customFormat="1" ht="13.5" customHeight="1">
      <c r="A29" s="780"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30677421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331398245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275933000</v>
      </c>
      <c r="D34" s="217"/>
      <c r="E34" s="220"/>
      <c r="F34" s="257"/>
      <c r="G34" s="219"/>
    </row>
    <row r="35" spans="1:7" ht="13.5" customHeight="1">
      <c r="A35" s="780" t="s">
        <v>351</v>
      </c>
      <c r="B35" s="215" t="s">
        <v>1527</v>
      </c>
      <c r="C35" s="220">
        <f ca="1">ROUND(C34*F35,0)</f>
        <v>13796650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23436000</v>
      </c>
      <c r="D36" s="220"/>
      <c r="E36" s="220"/>
      <c r="F36" s="259">
        <f>'数据-取费表'!B34</f>
        <v>0.1</v>
      </c>
      <c r="G36" s="260" t="s">
        <v>1530</v>
      </c>
    </row>
    <row r="37" spans="1:7" s="258" customFormat="1" ht="13.5" customHeight="1">
      <c r="A37" s="780" t="s">
        <v>353</v>
      </c>
      <c r="B37" s="215" t="s">
        <v>1531</v>
      </c>
      <c r="C37" s="249">
        <f ca="1">ROUND(E37*D37,0)</f>
        <v>14093600</v>
      </c>
      <c r="D37" s="217">
        <f ca="1">D19</f>
        <v>70468</v>
      </c>
      <c r="E37" s="249">
        <f>'数据-取费表'!B35</f>
        <v>200</v>
      </c>
      <c r="F37" s="259"/>
      <c r="G37" s="261"/>
    </row>
    <row r="38" spans="1:7" ht="13.5" customHeight="1">
      <c r="A38" s="780" t="s">
        <v>354</v>
      </c>
      <c r="B38" s="215" t="s">
        <v>1533</v>
      </c>
      <c r="C38" s="220">
        <f ca="1">ROUND(C34*F38,0)</f>
        <v>4138995</v>
      </c>
      <c r="D38" s="220"/>
      <c r="E38" s="220"/>
      <c r="F38" s="259">
        <f>'数据-取费表'!B36</f>
        <v>1.4999999999999999E-2</v>
      </c>
      <c r="G38" s="219" t="s">
        <v>1528</v>
      </c>
    </row>
    <row r="39" spans="1:7" s="214" customFormat="1" ht="13.5" customHeight="1">
      <c r="A39" s="255" t="s">
        <v>1534</v>
      </c>
      <c r="B39" s="210" t="s">
        <v>1535</v>
      </c>
      <c r="C39" s="232">
        <f ca="1">ROUND(C33*F20,0)</f>
        <v>6627965</v>
      </c>
      <c r="D39" s="232"/>
      <c r="E39" s="232"/>
      <c r="F39" s="233">
        <f>F20</f>
        <v>0.02</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210" t="s">
        <v>1542</v>
      </c>
      <c r="C41" s="232">
        <f ca="1">ROUND(SUM(C42:C43),0)</f>
        <v>16056245</v>
      </c>
      <c r="D41" s="235">
        <f ca="1">C44</f>
        <v>0</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15741417</v>
      </c>
      <c r="D42" s="238"/>
      <c r="E42" s="238"/>
      <c r="F42" s="239"/>
      <c r="G42" s="3774" t="s">
        <v>1591</v>
      </c>
    </row>
    <row r="43" spans="1:7" ht="13.5" customHeight="1">
      <c r="A43" s="780" t="s">
        <v>347</v>
      </c>
      <c r="B43" s="215" t="s">
        <v>1545</v>
      </c>
      <c r="C43" s="238">
        <f ca="1">ROUND(IF('数据-取费表'!B22&lt;=1,C39*F22*'数据-取费表'!B20/2,C39*(POWER((1+F22),'数据-取费表'!B20/2)-1)),0)</f>
        <v>314828</v>
      </c>
      <c r="D43" s="238"/>
      <c r="E43" s="238"/>
      <c r="F43" s="239"/>
      <c r="G43" s="3775"/>
    </row>
    <row r="44" spans="1:7" ht="13.5" customHeight="1">
      <c r="A44" s="780" t="s">
        <v>348</v>
      </c>
      <c r="B44" s="215" t="s">
        <v>1546</v>
      </c>
      <c r="C44" s="238">
        <f ca="1">ROUND(IF('数据-取费表'!B22&lt;=1,C40*F22*'数据-取费表'!B20/2,C40*(POWER((1+F22),'数据-取费表'!B20/2)-1)),4)</f>
        <v>0</v>
      </c>
      <c r="D44" s="238"/>
      <c r="E44" s="238"/>
      <c r="F44" s="239"/>
      <c r="G44" s="3776"/>
    </row>
    <row r="45" spans="1:7" s="214" customFormat="1" ht="13.5" customHeight="1">
      <c r="A45" s="255" t="s">
        <v>1547</v>
      </c>
      <c r="B45" s="244" t="s">
        <v>1513</v>
      </c>
      <c r="C45" s="245">
        <f ca="1">C46</f>
        <v>10140786</v>
      </c>
      <c r="D45" s="235">
        <f ca="1">C47</f>
        <v>0</v>
      </c>
      <c r="E45" s="236" t="s">
        <v>1539</v>
      </c>
      <c r="F45" s="246">
        <f ca="1">F27</f>
        <v>0.03</v>
      </c>
      <c r="G45" s="247" t="s">
        <v>1548</v>
      </c>
    </row>
    <row r="46" spans="1:7" s="214" customFormat="1" ht="13.5" customHeight="1">
      <c r="A46" s="780" t="s">
        <v>346</v>
      </c>
      <c r="B46" s="248" t="s">
        <v>1549</v>
      </c>
      <c r="C46" s="249">
        <f ca="1">ROUND((C33+C39)*F27,0)</f>
        <v>10140786</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364223241</v>
      </c>
      <c r="D49" s="232"/>
      <c r="E49" s="232"/>
      <c r="F49" s="264"/>
      <c r="G49" s="234" t="s">
        <v>1554</v>
      </c>
    </row>
    <row r="50" spans="1:7" s="258" customFormat="1">
      <c r="A50" s="255" t="s">
        <v>1555</v>
      </c>
      <c r="B50" s="210" t="s">
        <v>1556</v>
      </c>
      <c r="C50" s="232"/>
      <c r="D50" s="232"/>
      <c r="E50" s="232"/>
      <c r="F50" s="264">
        <f>IF('数据-取费表'!B24=0,'数据-取费表'!N16,1)</f>
        <v>0.84899999999999998</v>
      </c>
      <c r="G50" s="247"/>
    </row>
    <row r="51" spans="1:7" ht="16.5" customHeight="1">
      <c r="A51" s="255" t="s">
        <v>1558</v>
      </c>
      <c r="B51" s="210" t="s">
        <v>1593</v>
      </c>
      <c r="C51" s="232">
        <f ca="1">ROUND(C49*F50,0)</f>
        <v>309225532</v>
      </c>
      <c r="D51" s="232"/>
      <c r="E51" s="232"/>
      <c r="F51" s="264"/>
      <c r="G51" s="234" t="s">
        <v>1560</v>
      </c>
    </row>
    <row r="52" spans="1:7" s="208" customFormat="1" ht="16.5" thickBot="1">
      <c r="A52" s="265" t="s">
        <v>1561</v>
      </c>
      <c r="B52" s="266"/>
      <c r="C52" s="267">
        <f ca="1">C31+C51</f>
        <v>339902953</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-1034</v>
      </c>
      <c r="C2" s="276" t="s">
        <v>1595</v>
      </c>
      <c r="D2" s="276"/>
      <c r="E2" s="2805"/>
      <c r="F2" s="2805"/>
      <c r="G2" s="2805"/>
      <c r="H2" s="2805"/>
      <c r="I2" s="2805"/>
      <c r="J2" s="2805"/>
      <c r="K2" s="2805"/>
    </row>
    <row r="3" spans="1:33" ht="18" customHeight="1" thickBot="1">
      <c r="A3" s="203" t="s">
        <v>1464</v>
      </c>
      <c r="B3" s="204">
        <f ca="1">ROUND(B2*10000/IF(C1="",'数据-汇总表'!E3,INDIRECT("'数据-取费表'!K"&amp;$K$1)),0)</f>
        <v>-147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70468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70468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1015</v>
      </c>
      <c r="D18" s="846"/>
      <c r="E18" s="21"/>
      <c r="F18" s="804"/>
      <c r="G18" s="1861"/>
      <c r="H18" s="1186"/>
      <c r="I18" s="1862" t="s">
        <v>1625</v>
      </c>
      <c r="J18" s="807"/>
      <c r="K18" s="808"/>
    </row>
    <row r="19" spans="1:33" s="803" customFormat="1" ht="13.5" customHeight="1">
      <c r="A19" s="800" t="s">
        <v>360</v>
      </c>
      <c r="B19" s="801" t="s">
        <v>1626</v>
      </c>
      <c r="C19" s="21">
        <f ca="1">ROUND(D19*E19/10000,0)</f>
        <v>937</v>
      </c>
      <c r="D19" s="846">
        <f ca="1">IF(C1="",'数据-汇总表'!E5,IF(INDIRECT("'数据-取费表'!c"&amp;$K$1)="住宅",INDIRECT("'数据-取费表'!k"&amp;$K$1),0))</f>
        <v>58590</v>
      </c>
      <c r="E19" s="21">
        <f>'数据-取费表'!B27</f>
        <v>160</v>
      </c>
      <c r="F19" s="804"/>
      <c r="G19" s="12"/>
      <c r="H19" s="1188"/>
      <c r="I19" s="809"/>
      <c r="J19" s="809"/>
      <c r="K19" s="810"/>
    </row>
    <row r="20" spans="1:33" s="803" customFormat="1" ht="13.5" customHeight="1">
      <c r="A20" s="800" t="s">
        <v>361</v>
      </c>
      <c r="B20" s="801" t="s">
        <v>1627</v>
      </c>
      <c r="C20" s="21">
        <f ca="1">ROUND(D20*E20/10000,0)</f>
        <v>238</v>
      </c>
      <c r="D20" s="846">
        <f ca="1">IF(C1="",'数据-汇总表'!E6,IF(INDIRECT("'数据-取费表'!c"&amp;$K$1)="住宅",INDIRECT("'数据-取费表'!s"&amp;$K$1),INDIRECT("'数据-取费表'!k"&amp;$K$1)+INDIRECT("'数据-取费表'!s"&amp;$K$1)))</f>
        <v>11878</v>
      </c>
      <c r="E20" s="21">
        <f>'数据-取费表'!B28</f>
        <v>200</v>
      </c>
      <c r="F20" s="804"/>
      <c r="G20" s="12"/>
      <c r="H20" s="809"/>
      <c r="I20" s="809"/>
      <c r="J20" s="809"/>
      <c r="K20" s="810"/>
    </row>
    <row r="21" spans="1:33" s="803" customFormat="1" ht="13.5" customHeight="1">
      <c r="A21" s="790" t="s">
        <v>357</v>
      </c>
      <c r="B21" s="813" t="s">
        <v>1628</v>
      </c>
      <c r="C21" s="814">
        <f ca="1">C16+C17+C18</f>
        <v>1015</v>
      </c>
      <c r="D21" s="815"/>
      <c r="E21" s="281"/>
      <c r="F21" s="281"/>
      <c r="G21" s="131" t="s">
        <v>1629</v>
      </c>
      <c r="H21" s="807"/>
      <c r="I21" s="807"/>
      <c r="J21" s="807"/>
      <c r="K21" s="808"/>
    </row>
    <row r="22" spans="1:33" s="803" customFormat="1" ht="13.5" customHeight="1">
      <c r="A22" s="790" t="s">
        <v>1601</v>
      </c>
      <c r="B22" s="813" t="s">
        <v>1630</v>
      </c>
      <c r="C22" s="814">
        <f ca="1">ROUND(C21*F22,0)</f>
        <v>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31</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-1034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35" sqref="G3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46810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133694</v>
      </c>
      <c r="C2" s="1998" t="s">
        <v>1935</v>
      </c>
      <c r="D2" s="1999" t="s">
        <v>1936</v>
      </c>
      <c r="E2" s="3421" t="s">
        <v>3455</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1.5019</v>
      </c>
      <c r="T2" s="3360">
        <f t="shared" ref="T2:T16" si="0">ROUND($C$5*$C$22*$C$23*$C$24*S2*$C$28,0)</f>
        <v>44281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28561</v>
      </c>
      <c r="C3" s="1998" t="s">
        <v>1941</v>
      </c>
      <c r="D3" s="1999" t="s">
        <v>1942</v>
      </c>
      <c r="E3" s="3419" t="s">
        <v>3609</v>
      </c>
      <c r="F3" s="2003" t="s">
        <v>3610</v>
      </c>
      <c r="G3" s="752">
        <f>IF(F3="宗地容积率",'数据-汇总表'!I4,IF(F3="估价对象容积率",'数据-汇总表'!I6,'数据-汇总表'!I7))</f>
        <v>2.9</v>
      </c>
      <c r="H3" s="170" t="s">
        <v>1943</v>
      </c>
      <c r="I3" s="775"/>
      <c r="J3" s="2001" t="s">
        <v>1944</v>
      </c>
      <c r="K3" s="1118"/>
      <c r="L3" s="2002" t="s">
        <v>1945</v>
      </c>
      <c r="M3" s="864">
        <f>SUMPRODUCT((区片价!B30:B54=I2)*(区片价!C3:G3=E2)*(区片价!C30:G54))</f>
        <v>22610</v>
      </c>
      <c r="N3" s="866">
        <f>SUMPRODUCT((因素修正幅度!B30:B54=I2)*(因素修正幅度!C3:G3=E2)*(因素修正幅度!C30:G54))</f>
        <v>8.2000000000000003E-2</v>
      </c>
      <c r="O3" s="1118"/>
      <c r="P3" s="1118"/>
      <c r="Q3" s="1118"/>
      <c r="R3" s="1211">
        <v>2</v>
      </c>
      <c r="S3" s="3360">
        <f>ROUND(SUMPRODUCT((B106:B110=R3)*(C105:N105=G2)*(C106:N110)),4)</f>
        <v>1.1838</v>
      </c>
      <c r="T3" s="3360">
        <f t="shared" si="0"/>
        <v>34903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4"/>
      <c r="B4" s="3785"/>
      <c r="C4" s="3785"/>
      <c r="D4" s="3786"/>
      <c r="E4" s="3786"/>
      <c r="F4" s="3786"/>
      <c r="G4" s="3786"/>
      <c r="H4" s="3786"/>
      <c r="I4" s="3786"/>
      <c r="J4" s="3787"/>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1.0004999999999999</v>
      </c>
      <c r="T4" s="3360">
        <f t="shared" si="0"/>
        <v>29498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26002</v>
      </c>
      <c r="D5" s="1338">
        <f>ROUND(C6*C17+C20,0)</f>
        <v>22610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0.88239999999999996</v>
      </c>
      <c r="T5" s="3360">
        <f t="shared" si="0"/>
        <v>26016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22610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0.84799999999999998</v>
      </c>
      <c r="T6" s="3360">
        <f t="shared" si="0"/>
        <v>25002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2.9</v>
      </c>
      <c r="AA7" s="1215"/>
      <c r="AB7" s="1215"/>
      <c r="AC7" s="1216"/>
      <c r="AD7" s="1217"/>
      <c r="AE7" s="1217"/>
      <c r="AF7" s="1217"/>
      <c r="AG7" s="1217"/>
      <c r="AH7" s="1217"/>
      <c r="AI7" s="1217"/>
      <c r="AJ7" s="1218"/>
    </row>
    <row r="8" spans="1:36" ht="25.5">
      <c r="A8" s="3298"/>
      <c r="B8" s="170" t="s">
        <v>1957</v>
      </c>
      <c r="C8" s="2025" t="s">
        <v>3611</v>
      </c>
      <c r="D8" s="756" t="s">
        <v>112</v>
      </c>
      <c r="E8" s="757">
        <f>ROUND(C11/E7,4)</f>
        <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f t="shared" si="0"/>
        <v>0</v>
      </c>
      <c r="U8" s="1212"/>
      <c r="V8" s="3360">
        <f t="shared" si="1"/>
        <v>0</v>
      </c>
      <c r="W8" s="3781" t="s">
        <v>1960</v>
      </c>
      <c r="X8" s="378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8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8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1.1499999999999999</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3612</v>
      </c>
      <c r="D15" s="2043" t="s">
        <v>3612</v>
      </c>
      <c r="E15" s="2044" t="s">
        <v>3613</v>
      </c>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1.1499999999999999</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0.96709999999999996</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8" t="s">
        <v>3257</v>
      </c>
      <c r="B20" s="167" t="s">
        <v>1994</v>
      </c>
      <c r="C20" s="3324">
        <f>ROUND(IF(F21="与级别开发程度一致",0,(G21-E21)/C21),0)</f>
        <v>0</v>
      </c>
      <c r="D20" s="3340" t="s">
        <v>1998</v>
      </c>
      <c r="E20" s="3341"/>
      <c r="F20" s="3794" t="s">
        <v>1995</v>
      </c>
      <c r="G20" s="3795"/>
      <c r="H20" s="3325" t="s">
        <v>3614</v>
      </c>
      <c r="I20" s="3325" t="s">
        <v>3615</v>
      </c>
      <c r="J20" s="3326" t="s">
        <v>3616</v>
      </c>
      <c r="K20" s="2046" t="s">
        <v>3617</v>
      </c>
      <c r="L20" s="2046" t="s">
        <v>3618</v>
      </c>
      <c r="M20" s="2046" t="s">
        <v>3619</v>
      </c>
      <c r="N20" s="2046" t="s">
        <v>3620</v>
      </c>
      <c r="O20" s="2047" t="s">
        <v>3621</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3622</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3" t="s">
        <v>2002</v>
      </c>
      <c r="E23" s="761">
        <v>44197</v>
      </c>
      <c r="F23" s="2053" t="s">
        <v>2003</v>
      </c>
      <c r="G23" s="762">
        <f>'数据-取费表'!B2</f>
        <v>45399</v>
      </c>
      <c r="H23" s="3342" t="s">
        <v>3259</v>
      </c>
      <c r="I23" s="3343" t="str">
        <f>IF(H23="季度增幅（自定义）",SUMIF(N25:N28,E2,O25:O28),"")</f>
        <v/>
      </c>
      <c r="J23" s="3445" t="s">
        <v>3258</v>
      </c>
      <c r="K23" s="1124"/>
      <c r="L23" s="2054" t="s">
        <v>2004</v>
      </c>
      <c r="M23" s="1327">
        <f>ROUND(SUMIF(地价!B2:G2,E2,地价!B16:G16),0)</f>
        <v>687</v>
      </c>
      <c r="N23" s="2055" t="s">
        <v>2005</v>
      </c>
      <c r="O23" s="763">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1</v>
      </c>
      <c r="D24" s="2059" t="s">
        <v>2007</v>
      </c>
      <c r="E24" s="1334">
        <f>存贷款利率!E24/100</f>
        <v>4.3499999999999997E-2</v>
      </c>
      <c r="F24" s="2059" t="s">
        <v>1999</v>
      </c>
      <c r="G24" s="768">
        <f>SUMIF(M30:Q30,E2,M33:Q33)</f>
        <v>0.05</v>
      </c>
      <c r="H24" s="2059" t="s">
        <v>2008</v>
      </c>
      <c r="I24" s="769">
        <f>SUMIF('数据-取费表'!C6:C15,E2,'数据-取费表'!F6:F15)/COUNTIF('数据-取费表'!C6:C15,E2)</f>
        <v>70</v>
      </c>
      <c r="J24" s="770">
        <f>IF(E2="住宅",70,IF(E2="商业",40,50))</f>
        <v>70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1">
        <f>IF(B25="容积率修正",IF(G3&lt;10,D26,J26),C27)</f>
        <v>0.96870000000000001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0.96870000000000001</v>
      </c>
      <c r="E26" s="752">
        <f>ROUNDDOWN(G3,1)</f>
        <v>2.9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0.96870000000000001</v>
      </c>
      <c r="G26" s="752">
        <f>ROUNDUP(G3,1)</f>
        <v>2.9</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0.96870000000000001</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1.0442</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133694</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28561</v>
      </c>
      <c r="D33" s="2097">
        <f>面积整理!D10</f>
        <v>46810</v>
      </c>
      <c r="E33" s="773">
        <f>ROUND(C33*D33/10000,0)</f>
        <v>133694</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7140</v>
      </c>
      <c r="D34" s="2102"/>
      <c r="E34" s="773">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2"/>
      <c r="B37" s="2112" t="s">
        <v>2036</v>
      </c>
      <c r="C37" s="175">
        <f>ROUND(D5*C22*C23*C24*C28*F37,0)</f>
        <v>15382</v>
      </c>
      <c r="D37" s="2097"/>
      <c r="E37" s="171">
        <f>ROUND(C37*D37/10000,0)</f>
        <v>0</v>
      </c>
      <c r="F37" s="171">
        <f>SUMIF(修正!A57:A68,G2,修正!B57:B68)</f>
        <v>0.6</v>
      </c>
      <c r="G37" s="171">
        <f>ROUND(IF(E2="工业",C37*$M$42,C37*$M$41),0)</f>
        <v>3846</v>
      </c>
      <c r="H37" s="171">
        <f>D37</f>
        <v>0</v>
      </c>
      <c r="I37" s="171">
        <f>ROUND(G37*H37/10000,0)</f>
        <v>0</v>
      </c>
      <c r="J37" s="3011"/>
      <c r="K37" s="3358" t="s">
        <v>3269</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3"/>
      <c r="B38" s="2040" t="s">
        <v>2037</v>
      </c>
      <c r="C38" s="175">
        <f>ROUND(D5*C22*C23*C24*C28*F38,0)</f>
        <v>7691</v>
      </c>
      <c r="D38" s="2097"/>
      <c r="E38" s="171">
        <f t="shared" ref="E38:E42" si="4">ROUND(C38*D38/10000,0)</f>
        <v>0</v>
      </c>
      <c r="F38" s="171">
        <f>SUMIF(修正!A57:A68,G2,修正!C57:C68)</f>
        <v>0.3</v>
      </c>
      <c r="G38" s="171">
        <f>ROUND(IF(E2="工业",C38*$M$42,C38*$M$41),0)</f>
        <v>1923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93"/>
      <c r="B39" s="2040" t="s">
        <v>3262</v>
      </c>
      <c r="C39" s="175">
        <f>ROUND(D5*C22*C23*C24*C28*F39,0)</f>
        <v>6409</v>
      </c>
      <c r="D39" s="2097"/>
      <c r="E39" s="171">
        <f t="shared" si="4"/>
        <v>0</v>
      </c>
      <c r="F39" s="171">
        <f>SUMIF(修正!A57:A68,G2,修正!D57:D68)</f>
        <v>0.25</v>
      </c>
      <c r="G39" s="171">
        <f>ROUND(IF(E2="工业",C39*$M$42,C39*$M$41),0)</f>
        <v>1602</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6409</v>
      </c>
      <c r="D40" s="2097"/>
      <c r="E40" s="171">
        <f t="shared" si="4"/>
        <v>0</v>
      </c>
      <c r="F40" s="175">
        <f>SUMIF(修正!A57:A68,G2,修正!E57:E68)</f>
        <v>0.25</v>
      </c>
      <c r="G40" s="171">
        <f>ROUND(IF(E2="工业",C40*$M$42,C40*$M$41),0)</f>
        <v>1602</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1.0442</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t="s">
        <v>3566</v>
      </c>
      <c r="D72" s="1064">
        <f t="shared" ref="D72:D80" si="17">SUMIF($J$71:$N$71,C72,J72:N72)</f>
        <v>8.2000000000000007E-3</v>
      </c>
      <c r="E72" s="744">
        <f>ROUND(SUM(D72:D80),4)</f>
        <v>4.4200000000000003E-2</v>
      </c>
      <c r="F72" s="1813">
        <f>IF(E2="住宅",SUMIF(L1:L12,G2,N1:N12),"——")</f>
        <v>8.2000000000000003E-2</v>
      </c>
      <c r="G72" s="1062">
        <f>H72</f>
        <v>8.2000000000000007E-3</v>
      </c>
      <c r="H72" s="1065">
        <f t="shared" ref="H72:H80" si="18">IFERROR(ROUNDDOWN($F$72*I72/2,4),"——")</f>
        <v>8.2000000000000007E-3</v>
      </c>
      <c r="I72" s="3366">
        <v>0.2</v>
      </c>
      <c r="J72" s="1063">
        <f t="shared" ref="J72:J80" si="19">K72+$G72</f>
        <v>1.6400000000000001E-2</v>
      </c>
      <c r="K72" s="1063">
        <f t="shared" ref="K72:K80" si="20">$L72+$G72</f>
        <v>8.2000000000000007E-3</v>
      </c>
      <c r="L72" s="1063">
        <v>0</v>
      </c>
      <c r="M72" s="1063">
        <f t="shared" ref="M72:N80" si="21">L72-$G72</f>
        <v>-8.2000000000000007E-3</v>
      </c>
      <c r="N72" s="1063">
        <f t="shared" si="21"/>
        <v>-1.6400000000000001E-2</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t="s">
        <v>3566</v>
      </c>
      <c r="D73" s="1064">
        <f t="shared" si="17"/>
        <v>1.06E-2</v>
      </c>
      <c r="E73" s="747"/>
      <c r="F73" s="1813"/>
      <c r="G73" s="1062">
        <f t="shared" ref="G73:G80" si="22">H73</f>
        <v>1.06E-2</v>
      </c>
      <c r="H73" s="1065">
        <f t="shared" si="18"/>
        <v>1.06E-2</v>
      </c>
      <c r="I73" s="3366">
        <v>0.26</v>
      </c>
      <c r="J73" s="1063">
        <f t="shared" si="19"/>
        <v>2.12E-2</v>
      </c>
      <c r="K73" s="1063">
        <f t="shared" si="20"/>
        <v>1.06E-2</v>
      </c>
      <c r="L73" s="1063">
        <v>0</v>
      </c>
      <c r="M73" s="1063">
        <f t="shared" si="21"/>
        <v>-1.06E-2</v>
      </c>
      <c r="N73" s="1063">
        <f t="shared" si="21"/>
        <v>-2.12E-2</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t="s">
        <v>3566</v>
      </c>
      <c r="D74" s="1064">
        <f t="shared" si="17"/>
        <v>4.1000000000000003E-3</v>
      </c>
      <c r="E74" s="747"/>
      <c r="F74" s="1813"/>
      <c r="G74" s="1062">
        <f t="shared" si="22"/>
        <v>4.1000000000000003E-3</v>
      </c>
      <c r="H74" s="1065">
        <f t="shared" si="18"/>
        <v>4.1000000000000003E-3</v>
      </c>
      <c r="I74" s="3366">
        <v>0.1</v>
      </c>
      <c r="J74" s="1063">
        <f t="shared" si="19"/>
        <v>8.2000000000000007E-3</v>
      </c>
      <c r="K74" s="1063">
        <f t="shared" si="20"/>
        <v>4.1000000000000003E-3</v>
      </c>
      <c r="L74" s="1063">
        <v>0</v>
      </c>
      <c r="M74" s="1063">
        <f t="shared" si="21"/>
        <v>-4.1000000000000003E-3</v>
      </c>
      <c r="N74" s="1063">
        <f t="shared" si="21"/>
        <v>-8.2000000000000007E-3</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t="s">
        <v>3566</v>
      </c>
      <c r="D75" s="1064">
        <f t="shared" si="17"/>
        <v>2E-3</v>
      </c>
      <c r="E75" s="747"/>
      <c r="F75" s="1813"/>
      <c r="G75" s="1062">
        <f t="shared" si="22"/>
        <v>2E-3</v>
      </c>
      <c r="H75" s="1065">
        <f t="shared" si="18"/>
        <v>2E-3</v>
      </c>
      <c r="I75" s="3366">
        <v>0.05</v>
      </c>
      <c r="J75" s="1063">
        <f t="shared" si="19"/>
        <v>4.0000000000000001E-3</v>
      </c>
      <c r="K75" s="1063">
        <f t="shared" si="20"/>
        <v>2E-3</v>
      </c>
      <c r="L75" s="1063">
        <v>0</v>
      </c>
      <c r="M75" s="1063">
        <f t="shared" si="21"/>
        <v>-2E-3</v>
      </c>
      <c r="N75" s="1063">
        <f t="shared" si="21"/>
        <v>-4.0000000000000001E-3</v>
      </c>
      <c r="O75" s="1118"/>
      <c r="P75" s="1118"/>
      <c r="Q75" s="1996"/>
      <c r="Z75" s="1997"/>
      <c r="AA75" s="2052"/>
      <c r="AG75" s="1120"/>
      <c r="AK75" s="2052"/>
    </row>
    <row r="76" spans="1:37" ht="25.5">
      <c r="A76" s="2129" t="s">
        <v>2059</v>
      </c>
      <c r="B76" s="1325" t="str">
        <f>估价对象房地状况!C21</f>
        <v>估价对象所在区域公共配套设施齐备情况</v>
      </c>
      <c r="C76" s="2043" t="s">
        <v>3566</v>
      </c>
      <c r="D76" s="1064">
        <f t="shared" si="17"/>
        <v>3.2000000000000002E-3</v>
      </c>
      <c r="E76" s="747"/>
      <c r="F76" s="1813"/>
      <c r="G76" s="1062">
        <f t="shared" si="22"/>
        <v>3.2000000000000002E-3</v>
      </c>
      <c r="H76" s="1065">
        <f t="shared" si="18"/>
        <v>3.2000000000000002E-3</v>
      </c>
      <c r="I76" s="3366">
        <v>0.08</v>
      </c>
      <c r="J76" s="1063">
        <f t="shared" si="19"/>
        <v>6.4000000000000003E-3</v>
      </c>
      <c r="K76" s="1063">
        <f t="shared" si="20"/>
        <v>3.2000000000000002E-3</v>
      </c>
      <c r="L76" s="1063">
        <v>0</v>
      </c>
      <c r="M76" s="1063">
        <f t="shared" si="21"/>
        <v>-3.2000000000000002E-3</v>
      </c>
      <c r="N76" s="1063">
        <f t="shared" si="21"/>
        <v>-6.4000000000000003E-3</v>
      </c>
      <c r="O76" s="1118"/>
      <c r="P76" s="1118"/>
      <c r="Z76" s="1997"/>
      <c r="AA76" s="2052"/>
      <c r="AG76" s="1120"/>
      <c r="AK76" s="2052"/>
    </row>
    <row r="77" spans="1:37" ht="25.5">
      <c r="A77" s="2129" t="s">
        <v>2060</v>
      </c>
      <c r="B77" s="1325" t="str">
        <f>估价对象房地状况!C22</f>
        <v>估价对象所在区域基础设施水平</v>
      </c>
      <c r="C77" s="2043" t="s">
        <v>3623</v>
      </c>
      <c r="D77" s="1064">
        <f t="shared" si="17"/>
        <v>7.1999999999999998E-3</v>
      </c>
      <c r="E77" s="747"/>
      <c r="F77" s="1813"/>
      <c r="G77" s="1062">
        <f t="shared" si="22"/>
        <v>3.5999999999999999E-3</v>
      </c>
      <c r="H77" s="1065">
        <f t="shared" si="18"/>
        <v>3.5999999999999999E-3</v>
      </c>
      <c r="I77" s="3366">
        <v>0.09</v>
      </c>
      <c r="J77" s="1063">
        <f t="shared" si="19"/>
        <v>7.1999999999999998E-3</v>
      </c>
      <c r="K77" s="1063">
        <f t="shared" si="20"/>
        <v>3.5999999999999999E-3</v>
      </c>
      <c r="L77" s="1063">
        <v>0</v>
      </c>
      <c r="M77" s="1063">
        <f t="shared" si="21"/>
        <v>-3.5999999999999999E-3</v>
      </c>
      <c r="N77" s="1063">
        <f t="shared" si="21"/>
        <v>-7.1999999999999998E-3</v>
      </c>
      <c r="O77" s="1118"/>
      <c r="P77" s="1118"/>
      <c r="Z77" s="1997"/>
      <c r="AA77" s="2052"/>
      <c r="AG77" s="1120"/>
      <c r="AK77" s="2052"/>
    </row>
    <row r="78" spans="1:37" ht="24">
      <c r="A78" s="2129" t="s">
        <v>2057</v>
      </c>
      <c r="B78" s="2135" t="s">
        <v>2058</v>
      </c>
      <c r="C78" s="2043" t="s">
        <v>3566</v>
      </c>
      <c r="D78" s="1064">
        <f t="shared" si="17"/>
        <v>2E-3</v>
      </c>
      <c r="E78" s="747"/>
      <c r="F78" s="1813"/>
      <c r="G78" s="1062">
        <f t="shared" si="22"/>
        <v>2E-3</v>
      </c>
      <c r="H78" s="1065">
        <f t="shared" si="18"/>
        <v>2E-3</v>
      </c>
      <c r="I78" s="3366">
        <v>0.05</v>
      </c>
      <c r="J78" s="1063">
        <f t="shared" si="19"/>
        <v>4.0000000000000001E-3</v>
      </c>
      <c r="K78" s="1063">
        <f t="shared" si="20"/>
        <v>2E-3</v>
      </c>
      <c r="L78" s="1063">
        <v>0</v>
      </c>
      <c r="M78" s="1063">
        <f t="shared" si="21"/>
        <v>-2E-3</v>
      </c>
      <c r="N78" s="1063">
        <f t="shared" si="21"/>
        <v>-4.0000000000000001E-3</v>
      </c>
      <c r="O78" s="1996"/>
      <c r="P78" s="1996"/>
      <c r="Z78" s="1997"/>
      <c r="AA78" s="2052"/>
      <c r="AG78" s="1120"/>
      <c r="AK78" s="2052"/>
    </row>
    <row r="79" spans="1:37" ht="25.5">
      <c r="A79" s="2129" t="s">
        <v>2061</v>
      </c>
      <c r="B79" s="2132" t="str">
        <f>估价对象房地状况!C20</f>
        <v>区域自然环境：；人文环境；综合评价环境状况一般</v>
      </c>
      <c r="C79" s="2043" t="s">
        <v>3566</v>
      </c>
      <c r="D79" s="1064">
        <f t="shared" si="17"/>
        <v>4.8999999999999998E-3</v>
      </c>
      <c r="E79" s="747"/>
      <c r="F79" s="1813"/>
      <c r="G79" s="1062">
        <f t="shared" si="22"/>
        <v>4.8999999999999998E-3</v>
      </c>
      <c r="H79" s="1065">
        <f t="shared" si="18"/>
        <v>4.8999999999999998E-3</v>
      </c>
      <c r="I79" s="3366">
        <v>0.12</v>
      </c>
      <c r="J79" s="1063">
        <f t="shared" si="19"/>
        <v>9.7999999999999997E-3</v>
      </c>
      <c r="K79" s="1063">
        <f t="shared" si="20"/>
        <v>4.8999999999999998E-3</v>
      </c>
      <c r="L79" s="1063">
        <v>0</v>
      </c>
      <c r="M79" s="1063">
        <f t="shared" si="21"/>
        <v>-4.8999999999999998E-3</v>
      </c>
      <c r="N79" s="1063">
        <f t="shared" si="21"/>
        <v>-9.7999999999999997E-3</v>
      </c>
      <c r="Z79" s="1997"/>
      <c r="AA79" s="2052"/>
      <c r="AG79" s="1120"/>
      <c r="AK79" s="2052"/>
    </row>
    <row r="80" spans="1:37" ht="24.75" thickBot="1">
      <c r="A80" s="2137" t="s">
        <v>2068</v>
      </c>
      <c r="B80" s="2141"/>
      <c r="C80" s="2043" t="s">
        <v>3566</v>
      </c>
      <c r="D80" s="1064">
        <f t="shared" si="17"/>
        <v>2E-3</v>
      </c>
      <c r="E80" s="748"/>
      <c r="F80" s="1813"/>
      <c r="G80" s="1062">
        <f t="shared" si="22"/>
        <v>2E-3</v>
      </c>
      <c r="H80" s="1065">
        <f t="shared" si="18"/>
        <v>2E-3</v>
      </c>
      <c r="I80" s="3367">
        <v>0.05</v>
      </c>
      <c r="J80" s="1063">
        <f t="shared" si="19"/>
        <v>4.0000000000000001E-3</v>
      </c>
      <c r="K80" s="1063">
        <f t="shared" si="20"/>
        <v>2E-3</v>
      </c>
      <c r="L80" s="1063">
        <v>0</v>
      </c>
      <c r="M80" s="1063">
        <f t="shared" si="21"/>
        <v>-2E-3</v>
      </c>
      <c r="N80" s="1063">
        <f t="shared" si="21"/>
        <v>-4.0000000000000001E-3</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90" t="s">
        <v>3297</v>
      </c>
      <c r="B103" s="3790"/>
      <c r="C103" s="3790"/>
      <c r="D103" s="3790"/>
      <c r="E103" s="3790"/>
      <c r="F103" s="3790"/>
      <c r="G103" s="3790"/>
      <c r="H103" s="3790"/>
      <c r="I103" s="3790"/>
      <c r="J103" s="3790"/>
      <c r="K103" s="3389"/>
      <c r="L103" s="3389"/>
      <c r="M103" s="3389"/>
      <c r="N103" s="3389"/>
    </row>
    <row r="104" spans="1:14">
      <c r="A104" s="3791" t="s">
        <v>3298</v>
      </c>
      <c r="B104" s="3791" t="s">
        <v>3299</v>
      </c>
      <c r="C104" s="3390" t="s">
        <v>3300</v>
      </c>
      <c r="D104" s="3391"/>
      <c r="E104" s="3391"/>
      <c r="F104" s="3391"/>
      <c r="G104" s="3391"/>
      <c r="H104" s="3391"/>
      <c r="I104" s="3391"/>
      <c r="J104" s="3392"/>
      <c r="K104" s="3393"/>
      <c r="L104" s="3393"/>
      <c r="M104" s="3393"/>
      <c r="N104" s="3393"/>
    </row>
    <row r="105" spans="1:14">
      <c r="A105" s="3791"/>
      <c r="B105" s="379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7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8"/>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80" t="s">
        <v>3314</v>
      </c>
      <c r="B113" s="3780"/>
      <c r="C113" s="3780"/>
      <c r="D113" s="3780"/>
      <c r="E113" s="3780"/>
      <c r="F113" s="3780"/>
      <c r="G113" s="3780"/>
      <c r="H113" s="3780"/>
      <c r="I113" s="3780"/>
      <c r="J113" s="378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2.9</v>
      </c>
      <c r="C116" s="3399" t="s">
        <v>3316</v>
      </c>
      <c r="D116" s="3400">
        <f>SUMPRODUCT((A118:A122=F116)*(B117:M117=H116)*B118:M122)</f>
        <v>0.89500000000000002</v>
      </c>
      <c r="E116" s="1999" t="s">
        <v>3317</v>
      </c>
      <c r="F116" s="3401" t="str">
        <f>E2</f>
        <v>住宅</v>
      </c>
      <c r="G116" s="1999" t="s">
        <v>3318</v>
      </c>
      <c r="H116" s="3401" t="str">
        <f>G2</f>
        <v>三级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0.96489999999999998</v>
      </c>
      <c r="C118" s="3387">
        <f>B118</f>
        <v>0.96489999999999998</v>
      </c>
      <c r="D118" s="3387">
        <f>ROUND(0.949-0.014*B116,4)</f>
        <v>0.90839999999999999</v>
      </c>
      <c r="E118" s="3387">
        <f>D118</f>
        <v>0.90839999999999999</v>
      </c>
      <c r="F118" s="3387">
        <f>E118</f>
        <v>0.90839999999999999</v>
      </c>
      <c r="G118" s="3387">
        <f>F118</f>
        <v>0.90839999999999999</v>
      </c>
      <c r="H118" s="3387">
        <f>G118</f>
        <v>0.90839999999999999</v>
      </c>
      <c r="I118" s="3387">
        <f>ROUND(0.8486-0.018*B116,4)</f>
        <v>0.7964</v>
      </c>
      <c r="J118" s="3387">
        <f t="shared" ref="J118:M122" si="36">I118</f>
        <v>0.7964</v>
      </c>
      <c r="K118" s="3387">
        <f t="shared" si="36"/>
        <v>0.7964</v>
      </c>
      <c r="L118" s="3387">
        <f t="shared" si="36"/>
        <v>0.7964</v>
      </c>
      <c r="M118" s="3410">
        <f t="shared" si="36"/>
        <v>0.7964</v>
      </c>
      <c r="N118" s="3397"/>
    </row>
    <row r="119" spans="1:14">
      <c r="A119" s="3409" t="s">
        <v>3332</v>
      </c>
      <c r="B119" s="3387">
        <f>ROUND(0.993-0.0112*B116,4)</f>
        <v>0.96050000000000002</v>
      </c>
      <c r="C119" s="3387">
        <f>B119</f>
        <v>0.96050000000000002</v>
      </c>
      <c r="D119" s="3387">
        <f>ROUND(0.9415-0.0142*B116,4)</f>
        <v>0.90029999999999999</v>
      </c>
      <c r="E119" s="3387">
        <f t="shared" ref="E119:H120" si="37">D119</f>
        <v>0.90029999999999999</v>
      </c>
      <c r="F119" s="3387">
        <f t="shared" si="37"/>
        <v>0.90029999999999999</v>
      </c>
      <c r="G119" s="3387">
        <f t="shared" si="37"/>
        <v>0.90029999999999999</v>
      </c>
      <c r="H119" s="3387">
        <f t="shared" si="37"/>
        <v>0.90029999999999999</v>
      </c>
      <c r="I119" s="3387">
        <f>ROUND(0.838-0.0182*B116,4)</f>
        <v>0.78520000000000001</v>
      </c>
      <c r="J119" s="3387">
        <f t="shared" si="36"/>
        <v>0.78520000000000001</v>
      </c>
      <c r="K119" s="3387">
        <f t="shared" si="36"/>
        <v>0.78520000000000001</v>
      </c>
      <c r="L119" s="3387">
        <f t="shared" si="36"/>
        <v>0.78520000000000001</v>
      </c>
      <c r="M119" s="3410">
        <f t="shared" si="36"/>
        <v>0.78520000000000001</v>
      </c>
      <c r="N119" s="3397"/>
    </row>
    <row r="120" spans="1:14">
      <c r="A120" s="3409" t="s">
        <v>3333</v>
      </c>
      <c r="B120" s="3387">
        <f>ROUND(0.9448-0.0115*B116,4)</f>
        <v>0.91149999999999998</v>
      </c>
      <c r="C120" s="3387">
        <f>B120</f>
        <v>0.91149999999999998</v>
      </c>
      <c r="D120" s="3387">
        <f>ROUND(0.937-0.0145*B116,4)</f>
        <v>0.89500000000000002</v>
      </c>
      <c r="E120" s="3387">
        <f t="shared" si="37"/>
        <v>0.89500000000000002</v>
      </c>
      <c r="F120" s="3387">
        <f t="shared" si="37"/>
        <v>0.89500000000000002</v>
      </c>
      <c r="G120" s="3387">
        <f t="shared" si="37"/>
        <v>0.89500000000000002</v>
      </c>
      <c r="H120" s="3387">
        <f t="shared" si="37"/>
        <v>0.89500000000000002</v>
      </c>
      <c r="I120" s="3387">
        <f>ROUND(0.7965-0.0185*B116,4)</f>
        <v>0.7429</v>
      </c>
      <c r="J120" s="3387">
        <f t="shared" si="36"/>
        <v>0.7429</v>
      </c>
      <c r="K120" s="3387">
        <f t="shared" si="36"/>
        <v>0.7429</v>
      </c>
      <c r="L120" s="3387">
        <f t="shared" si="36"/>
        <v>0.7429</v>
      </c>
      <c r="M120" s="3410">
        <f t="shared" si="36"/>
        <v>0.7429</v>
      </c>
      <c r="N120" s="3397"/>
    </row>
    <row r="121" spans="1:14" ht="13.5" thickBot="1">
      <c r="A121" s="3411" t="s">
        <v>3334</v>
      </c>
      <c r="B121" s="3412">
        <f>ROUND(0.7836-0.012*B116,4)</f>
        <v>0.74880000000000002</v>
      </c>
      <c r="C121" s="3412">
        <f>B121</f>
        <v>0.74880000000000002</v>
      </c>
      <c r="D121" s="3412">
        <f>ROUND(0.753-0.015*B116,4)</f>
        <v>0.70950000000000002</v>
      </c>
      <c r="E121" s="3412">
        <f>D121</f>
        <v>0.70950000000000002</v>
      </c>
      <c r="F121" s="3412">
        <f>E121</f>
        <v>0.70950000000000002</v>
      </c>
      <c r="G121" s="3412">
        <f>ROUND(0.6612-0.018*B116,4)</f>
        <v>0.60899999999999999</v>
      </c>
      <c r="H121" s="3412">
        <f>G121</f>
        <v>0.60899999999999999</v>
      </c>
      <c r="I121" s="3412">
        <f>ROUND(0.5905-0.019*B116,4)</f>
        <v>0.53539999999999999</v>
      </c>
      <c r="J121" s="3412">
        <f t="shared" si="36"/>
        <v>0.53539999999999999</v>
      </c>
      <c r="K121" s="3412">
        <f t="shared" si="36"/>
        <v>0.53539999999999999</v>
      </c>
      <c r="L121" s="3412">
        <f t="shared" si="36"/>
        <v>0.53539999999999999</v>
      </c>
      <c r="M121" s="3413">
        <f t="shared" si="36"/>
        <v>0.53539999999999999</v>
      </c>
      <c r="N121" s="3397"/>
    </row>
    <row r="122" spans="1:14">
      <c r="A122" s="3414" t="s">
        <v>2615</v>
      </c>
      <c r="B122" s="3387">
        <f>ROUND(0.9404-0.0106*B116,4)</f>
        <v>0.90969999999999995</v>
      </c>
      <c r="C122" s="3387">
        <f>B122</f>
        <v>0.90969999999999995</v>
      </c>
      <c r="D122" s="3387">
        <f>ROUND(0.8955-0.0135*B116,4)</f>
        <v>0.85640000000000005</v>
      </c>
      <c r="E122" s="3387">
        <f t="shared" ref="E122:H122" si="38">D122</f>
        <v>0.85640000000000005</v>
      </c>
      <c r="F122" s="3387">
        <f t="shared" si="38"/>
        <v>0.85640000000000005</v>
      </c>
      <c r="G122" s="3387">
        <f t="shared" si="38"/>
        <v>0.85640000000000005</v>
      </c>
      <c r="H122" s="3387">
        <f t="shared" si="38"/>
        <v>0.85640000000000005</v>
      </c>
      <c r="I122" s="3387">
        <f>ROUND(0.7632-0.0166*B116,4)</f>
        <v>0.71509999999999996</v>
      </c>
      <c r="J122" s="3387">
        <f t="shared" si="36"/>
        <v>0.71509999999999996</v>
      </c>
      <c r="K122" s="3387">
        <f t="shared" si="36"/>
        <v>0.71509999999999996</v>
      </c>
      <c r="L122" s="3387">
        <f t="shared" si="36"/>
        <v>0.71509999999999996</v>
      </c>
      <c r="M122" s="3410">
        <f t="shared" si="36"/>
        <v>0.71509999999999996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98" t="s">
        <v>694</v>
      </c>
      <c r="C6" s="1073">
        <f ca="1">ROUND(F6*F8*F7*(1-F9)/10000,0)</f>
        <v>0</v>
      </c>
      <c r="D6" s="155" t="s">
        <v>2109</v>
      </c>
      <c r="E6" s="302" t="s">
        <v>696</v>
      </c>
      <c r="F6" s="303">
        <f ca="1">INDIRECT("'数据-取费表'!u"&amp;$G$1)</f>
        <v>0</v>
      </c>
      <c r="G6" s="1383"/>
      <c r="H6" s="1068" t="s">
        <v>398</v>
      </c>
      <c r="I6" s="3798" t="s">
        <v>694</v>
      </c>
      <c r="J6" s="301">
        <f ca="1">ROUND(M6*M8*M7*(1-M9)/10000,0)</f>
        <v>0</v>
      </c>
      <c r="K6" s="155" t="s">
        <v>2108</v>
      </c>
      <c r="L6" s="302" t="s">
        <v>696</v>
      </c>
      <c r="M6" s="303">
        <f ca="1">INDIRECT("'数据-取费表'!z"&amp;$G$1)</f>
        <v>0</v>
      </c>
    </row>
    <row r="7" spans="1:37" ht="18" customHeight="1">
      <c r="A7" s="1072"/>
      <c r="B7" s="3799"/>
      <c r="C7" s="1074"/>
      <c r="D7" s="307"/>
      <c r="E7" s="1075" t="s">
        <v>697</v>
      </c>
      <c r="F7" s="303">
        <f ca="1">IF(INDIRECT("'数据-取费表'!ah"&amp;$G$1)="",INDIRECT("'数据-取费表'!k"&amp;$G$1),INDIRECT("'数据-取费表'!ah"&amp;$G$1))</f>
        <v>0</v>
      </c>
      <c r="G7" s="1383"/>
      <c r="H7" s="304"/>
      <c r="I7" s="3799"/>
      <c r="J7" s="306"/>
      <c r="K7" s="307"/>
      <c r="L7" s="302" t="s">
        <v>697</v>
      </c>
      <c r="M7" s="303">
        <f ca="1">F7</f>
        <v>0</v>
      </c>
    </row>
    <row r="8" spans="1:37" ht="18" customHeight="1">
      <c r="A8" s="304"/>
      <c r="B8" s="3799"/>
      <c r="C8" s="306"/>
      <c r="D8" s="307"/>
      <c r="E8" s="302" t="s">
        <v>698</v>
      </c>
      <c r="F8" s="303">
        <f ca="1">INDIRECT("'数据-取费表'!ai"&amp;$G$1)</f>
        <v>0</v>
      </c>
      <c r="G8" s="1383"/>
      <c r="H8" s="304"/>
      <c r="I8" s="3799"/>
      <c r="J8" s="306"/>
      <c r="K8" s="307"/>
      <c r="L8" s="302" t="s">
        <v>698</v>
      </c>
      <c r="M8" s="303">
        <f ca="1">INDIRECT("'数据-取费表'!ai"&amp;$G$1)</f>
        <v>0</v>
      </c>
    </row>
    <row r="9" spans="1:37" ht="18" customHeight="1">
      <c r="A9" s="304"/>
      <c r="B9" s="3800"/>
      <c r="C9" s="306"/>
      <c r="D9" s="307"/>
      <c r="E9" s="302" t="s">
        <v>699</v>
      </c>
      <c r="F9" s="312">
        <f ca="1">INDIRECT("'数据-取费表'!w"&amp;$G$1)</f>
        <v>0</v>
      </c>
      <c r="G9" s="1383"/>
      <c r="H9" s="304"/>
      <c r="I9" s="380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0</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96" t="s">
        <v>837</v>
      </c>
      <c r="L53" s="3797"/>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0</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估价对象为北京市房地产，为所有。根据《国有土地使用证》[]，估价对象（分摊）出让国有建设用地使用权面积为21500平方米，建筑面积为70468平方米。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估价对象为北京市房地产,属开发建设的，该项目尚在开发建设中。根据《国有土地使用证》[]，估价对象（分摊）出让国有建设用地使用权面积为21500平方米，规划建筑面积为70468平方米。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2024年4月17日（评估专业人员实地查勘之日）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98" t="s">
        <v>694</v>
      </c>
      <c r="C6" s="1073">
        <f ca="1">ROUND(F6*F8*F7*(1-F9),0)</f>
        <v>0</v>
      </c>
      <c r="D6" s="155" t="s">
        <v>2106</v>
      </c>
      <c r="E6" s="302" t="s">
        <v>696</v>
      </c>
      <c r="F6" s="303">
        <f ca="1">INDIRECT("'数据-取费表'!u"&amp;$G$1)</f>
        <v>0</v>
      </c>
      <c r="G6" s="1383"/>
      <c r="H6" s="1068" t="s">
        <v>398</v>
      </c>
      <c r="I6" s="3798" t="s">
        <v>694</v>
      </c>
      <c r="J6" s="301">
        <f ca="1">ROUND(M6*M8*M7*(1-M9),0)</f>
        <v>0</v>
      </c>
      <c r="K6" s="1375" t="s">
        <v>2107</v>
      </c>
      <c r="L6" s="302" t="s">
        <v>696</v>
      </c>
      <c r="M6" s="303">
        <f ca="1">INDIRECT("'数据-取费表'!z"&amp;$G$1)</f>
        <v>0</v>
      </c>
    </row>
    <row r="7" spans="1:37" ht="18" customHeight="1">
      <c r="A7" s="1072"/>
      <c r="B7" s="3799"/>
      <c r="C7" s="1074"/>
      <c r="D7" s="307"/>
      <c r="E7" s="1075" t="s">
        <v>697</v>
      </c>
      <c r="F7" s="303">
        <f ca="1">IF(INDIRECT("'数据-取费表'!ah"&amp;$G$1)="",INDIRECT("'数据-取费表'!k"&amp;$G$1),INDIRECT("'数据-取费表'!ah"&amp;$G$1))</f>
        <v>0</v>
      </c>
      <c r="G7" s="1383"/>
      <c r="H7" s="304"/>
      <c r="I7" s="3799"/>
      <c r="J7" s="306"/>
      <c r="K7" s="307"/>
      <c r="L7" s="302" t="s">
        <v>697</v>
      </c>
      <c r="M7" s="303">
        <f ca="1">F7</f>
        <v>0</v>
      </c>
    </row>
    <row r="8" spans="1:37" ht="18" customHeight="1">
      <c r="A8" s="304"/>
      <c r="B8" s="3799"/>
      <c r="C8" s="306"/>
      <c r="D8" s="307"/>
      <c r="E8" s="302" t="s">
        <v>698</v>
      </c>
      <c r="F8" s="303">
        <f ca="1">INDIRECT("'数据-取费表'!ai"&amp;$G$1)</f>
        <v>0</v>
      </c>
      <c r="G8" s="1383"/>
      <c r="H8" s="304"/>
      <c r="I8" s="3799"/>
      <c r="J8" s="306"/>
      <c r="K8" s="307"/>
      <c r="L8" s="302" t="s">
        <v>698</v>
      </c>
      <c r="M8" s="303">
        <f ca="1">INDIRECT("'数据-取费表'!ai"&amp;$G$1)</f>
        <v>0</v>
      </c>
    </row>
    <row r="9" spans="1:37" ht="18" customHeight="1">
      <c r="A9" s="304"/>
      <c r="B9" s="3800"/>
      <c r="C9" s="306"/>
      <c r="D9" s="307"/>
      <c r="E9" s="302" t="s">
        <v>699</v>
      </c>
      <c r="F9" s="312">
        <f ca="1">INDIRECT("'数据-取费表'!w"&amp;$G$1)</f>
        <v>0</v>
      </c>
      <c r="G9" s="1383"/>
      <c r="H9" s="304"/>
      <c r="I9" s="380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0</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96" t="s">
        <v>837</v>
      </c>
      <c r="L53" s="379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0</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807" t="s">
        <v>2320</v>
      </c>
      <c r="K2" s="380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809" t="s">
        <v>2330</v>
      </c>
      <c r="K3" s="381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809" t="s">
        <v>2332</v>
      </c>
      <c r="K4" s="381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815" t="s">
        <v>2336</v>
      </c>
      <c r="B6" s="3816"/>
      <c r="C6" s="3817"/>
      <c r="D6" s="2869"/>
      <c r="E6" s="2870"/>
      <c r="F6" s="2871"/>
      <c r="G6" s="2872"/>
      <c r="H6" s="2847"/>
      <c r="I6" s="2848"/>
      <c r="J6" s="3801">
        <v>1</v>
      </c>
      <c r="K6" s="380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801"/>
      <c r="K7" s="380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818" t="s">
        <v>2350</v>
      </c>
      <c r="C8" s="3819"/>
      <c r="D8" s="2888" t="s">
        <v>2351</v>
      </c>
      <c r="E8" s="2889" t="s">
        <v>2352</v>
      </c>
      <c r="F8" s="2890" t="s">
        <v>2353</v>
      </c>
      <c r="G8" s="2891"/>
      <c r="H8" s="2847"/>
      <c r="I8" s="2848"/>
      <c r="J8" s="3801"/>
      <c r="K8" s="380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818" t="s">
        <v>2356</v>
      </c>
      <c r="C9" s="3819"/>
      <c r="D9" s="2888">
        <f>ROUND(D6*E9,0)</f>
        <v>0</v>
      </c>
      <c r="E9" s="2892"/>
      <c r="F9" s="2893" t="s">
        <v>2357</v>
      </c>
      <c r="G9" s="2872"/>
      <c r="H9" s="2847"/>
      <c r="I9" s="2848"/>
      <c r="J9" s="3801"/>
      <c r="K9" s="3803"/>
      <c r="L9" s="2882" t="s">
        <v>2358</v>
      </c>
      <c r="M9" s="2883"/>
      <c r="N9" s="2859"/>
      <c r="O9" s="2884"/>
      <c r="P9" s="2884"/>
      <c r="Q9" s="2885">
        <v>365</v>
      </c>
      <c r="R9" s="2886">
        <f t="shared" si="0"/>
        <v>0</v>
      </c>
      <c r="S9" s="2840"/>
      <c r="T9" s="2840"/>
      <c r="U9" s="2840"/>
      <c r="V9" s="2848"/>
    </row>
    <row r="10" spans="1:22" s="2852" customFormat="1" ht="13.15" customHeight="1">
      <c r="A10" s="2887">
        <v>2</v>
      </c>
      <c r="B10" s="3818" t="s">
        <v>2359</v>
      </c>
      <c r="C10" s="3819"/>
      <c r="D10" s="2888">
        <f>ROUND(D6*E10,0)</f>
        <v>0</v>
      </c>
      <c r="E10" s="2892"/>
      <c r="F10" s="2893" t="s">
        <v>2360</v>
      </c>
      <c r="G10" s="2872"/>
      <c r="H10" s="2847"/>
      <c r="I10" s="2848"/>
      <c r="J10" s="3801"/>
      <c r="K10" s="3803"/>
      <c r="L10" s="2882" t="s">
        <v>2361</v>
      </c>
      <c r="M10" s="2883"/>
      <c r="N10" s="2859"/>
      <c r="O10" s="2884"/>
      <c r="P10" s="2884"/>
      <c r="Q10" s="2885">
        <v>365</v>
      </c>
      <c r="R10" s="2886">
        <f t="shared" si="0"/>
        <v>0</v>
      </c>
      <c r="S10" s="2840"/>
      <c r="T10" s="2840"/>
      <c r="U10" s="2840"/>
      <c r="V10" s="2848"/>
    </row>
    <row r="11" spans="1:22" s="2852" customFormat="1" ht="13.15" customHeight="1">
      <c r="A11" s="2887">
        <v>3</v>
      </c>
      <c r="B11" s="3818" t="s">
        <v>2362</v>
      </c>
      <c r="C11" s="3819"/>
      <c r="D11" s="2888">
        <f>D12+D14+D15+D16</f>
        <v>0</v>
      </c>
      <c r="E11" s="2894" t="e">
        <f>D11/D6</f>
        <v>#DIV/0!</v>
      </c>
      <c r="F11" s="2890"/>
      <c r="G11" s="2891"/>
      <c r="H11" s="2847"/>
      <c r="I11" s="2848"/>
      <c r="J11" s="3801"/>
      <c r="K11" s="380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811" t="s">
        <v>2365</v>
      </c>
      <c r="C12" s="3812"/>
      <c r="D12" s="2896">
        <f>ROUND(D13*1.2%*(1-30%),0)</f>
        <v>0</v>
      </c>
      <c r="E12" s="2897">
        <v>1.2E-2</v>
      </c>
      <c r="F12" s="2890" t="s">
        <v>2366</v>
      </c>
      <c r="G12" s="2891"/>
      <c r="H12" s="2847"/>
      <c r="I12" s="2848"/>
      <c r="J12" s="3801"/>
      <c r="K12" s="380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801"/>
      <c r="K13" s="380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811" t="s">
        <v>2371</v>
      </c>
      <c r="C14" s="3812"/>
      <c r="D14" s="2896">
        <f>ROUND(E14*B5/10000,0)</f>
        <v>0</v>
      </c>
      <c r="E14" s="2885"/>
      <c r="F14" s="2890" t="s">
        <v>2372</v>
      </c>
      <c r="G14" s="2891"/>
      <c r="H14" s="2847"/>
      <c r="I14" s="2848"/>
      <c r="J14" s="3801"/>
      <c r="K14" s="380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811" t="s">
        <v>2375</v>
      </c>
      <c r="C15" s="3812"/>
      <c r="D15" s="2896">
        <f>ROUND(D6*E15,0)</f>
        <v>0</v>
      </c>
      <c r="E15" s="2897">
        <v>5.5E-2</v>
      </c>
      <c r="F15" s="2890" t="s">
        <v>2376</v>
      </c>
      <c r="G15" s="2872"/>
      <c r="H15" s="2847"/>
      <c r="I15" s="2848"/>
      <c r="J15" s="3801">
        <v>2</v>
      </c>
      <c r="K15" s="380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811" t="s">
        <v>2384</v>
      </c>
      <c r="C16" s="3812"/>
      <c r="D16" s="2907">
        <f>D6*E16</f>
        <v>0</v>
      </c>
      <c r="E16" s="2908"/>
      <c r="F16" s="2893" t="s">
        <v>2385</v>
      </c>
      <c r="G16" s="2872"/>
      <c r="H16" s="2847"/>
      <c r="I16" s="2848"/>
      <c r="J16" s="3801"/>
      <c r="K16" s="380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813" t="s">
        <v>2387</v>
      </c>
      <c r="C17" s="3814"/>
      <c r="D17" s="2910">
        <f>ROUND(D6*E17,0)</f>
        <v>0</v>
      </c>
      <c r="E17" s="2911"/>
      <c r="F17" s="2912" t="s">
        <v>2388</v>
      </c>
      <c r="G17" s="2872"/>
      <c r="H17" s="2847"/>
      <c r="I17" s="2848"/>
      <c r="J17" s="3801"/>
      <c r="K17" s="380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801"/>
      <c r="K18" s="380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801"/>
      <c r="K19" s="380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801">
        <v>3</v>
      </c>
      <c r="K20" s="380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801"/>
      <c r="K21" s="380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801"/>
      <c r="K22" s="380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801"/>
      <c r="K23" s="380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801"/>
      <c r="K24" s="380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80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80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807" t="s">
        <v>2320</v>
      </c>
      <c r="K32" s="380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809" t="s">
        <v>2330</v>
      </c>
      <c r="K33" s="381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809" t="s">
        <v>2332</v>
      </c>
      <c r="K34" s="381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801">
        <v>1</v>
      </c>
      <c r="K36" s="380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801"/>
      <c r="K37" s="380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801"/>
      <c r="K38" s="380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801"/>
      <c r="K39" s="380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801"/>
      <c r="K40" s="380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80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80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820" t="s">
        <v>1654</v>
      </c>
      <c r="C5" s="3821"/>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70468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840" t="s">
        <v>1770</v>
      </c>
      <c r="D4" s="3841"/>
      <c r="E4" s="3842" t="s">
        <v>1771</v>
      </c>
      <c r="F4" s="3843"/>
      <c r="G4" s="3840" t="s">
        <v>1772</v>
      </c>
      <c r="H4" s="3841"/>
      <c r="I4" s="3840" t="s">
        <v>1773</v>
      </c>
      <c r="J4" s="3841"/>
      <c r="K4" s="559" t="s">
        <v>1774</v>
      </c>
      <c r="L4" s="2714"/>
      <c r="M4" s="2715"/>
      <c r="N4" s="2715"/>
      <c r="O4" s="2715"/>
      <c r="P4" s="3844" t="s">
        <v>1775</v>
      </c>
      <c r="Q4" s="3845"/>
      <c r="R4" s="3850" t="s">
        <v>1771</v>
      </c>
      <c r="S4" s="3851"/>
      <c r="T4" s="3850" t="s">
        <v>1772</v>
      </c>
      <c r="U4" s="3851"/>
      <c r="V4" s="3856" t="s">
        <v>1773</v>
      </c>
      <c r="W4" s="3856"/>
      <c r="X4" s="1354"/>
      <c r="Y4" s="3850" t="s">
        <v>1775</v>
      </c>
      <c r="Z4" s="3851"/>
      <c r="AA4" s="3837" t="s">
        <v>1771</v>
      </c>
      <c r="AB4" s="3856" t="s">
        <v>1772</v>
      </c>
      <c r="AC4" s="3837" t="s">
        <v>1773</v>
      </c>
    </row>
    <row r="5" spans="1:29" ht="15">
      <c r="A5" s="358"/>
      <c r="B5" s="359"/>
      <c r="C5" s="3859" t="s">
        <v>1673</v>
      </c>
      <c r="D5" s="3860"/>
      <c r="E5" s="3866" t="s">
        <v>1674</v>
      </c>
      <c r="F5" s="3867"/>
      <c r="G5" s="3859" t="s">
        <v>1675</v>
      </c>
      <c r="H5" s="3860"/>
      <c r="I5" s="3859" t="s">
        <v>1676</v>
      </c>
      <c r="J5" s="3860"/>
      <c r="K5" s="559"/>
      <c r="L5" s="2714"/>
      <c r="M5" s="2715"/>
      <c r="N5" s="2715"/>
      <c r="O5" s="2715"/>
      <c r="P5" s="3846"/>
      <c r="Q5" s="3847"/>
      <c r="R5" s="3852"/>
      <c r="S5" s="3853"/>
      <c r="T5" s="3852"/>
      <c r="U5" s="3853"/>
      <c r="V5" s="3856"/>
      <c r="W5" s="3856"/>
      <c r="X5" s="1354"/>
      <c r="Y5" s="3852"/>
      <c r="Z5" s="3853"/>
      <c r="AA5" s="3838"/>
      <c r="AB5" s="3856"/>
      <c r="AC5" s="3838"/>
    </row>
    <row r="6" spans="1:29" ht="15.75" thickBot="1">
      <c r="A6" s="360"/>
      <c r="B6" s="361"/>
      <c r="C6" s="3857" t="s">
        <v>1677</v>
      </c>
      <c r="D6" s="3858"/>
      <c r="E6" s="3864" t="s">
        <v>1677</v>
      </c>
      <c r="F6" s="3865"/>
      <c r="G6" s="3857" t="s">
        <v>1677</v>
      </c>
      <c r="H6" s="3858"/>
      <c r="I6" s="3857" t="s">
        <v>1677</v>
      </c>
      <c r="J6" s="3858"/>
      <c r="K6" s="559" t="s">
        <v>1678</v>
      </c>
      <c r="L6" s="2714"/>
      <c r="M6" s="2715"/>
      <c r="N6" s="2715"/>
      <c r="O6" s="2715"/>
      <c r="P6" s="3848"/>
      <c r="Q6" s="3849"/>
      <c r="R6" s="3852"/>
      <c r="S6" s="3853"/>
      <c r="T6" s="3854"/>
      <c r="U6" s="3855"/>
      <c r="V6" s="3856"/>
      <c r="W6" s="3856"/>
      <c r="X6" s="1354"/>
      <c r="Y6" s="3854"/>
      <c r="Z6" s="3855"/>
      <c r="AA6" s="3839"/>
      <c r="AB6" s="3856"/>
      <c r="AC6" s="3839"/>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61" t="s">
        <v>1680</v>
      </c>
      <c r="Q7" s="3863"/>
      <c r="R7" s="701" t="s">
        <v>14</v>
      </c>
      <c r="S7" s="702">
        <f t="shared" ref="S7:S15" si="0">F7</f>
        <v>0</v>
      </c>
      <c r="T7" s="701" t="s">
        <v>14</v>
      </c>
      <c r="U7" s="702">
        <f t="shared" ref="U7:U15" si="1">H7</f>
        <v>0</v>
      </c>
      <c r="V7" s="701" t="s">
        <v>14</v>
      </c>
      <c r="W7" s="702">
        <f t="shared" ref="W7:W15" si="2">J7</f>
        <v>0</v>
      </c>
      <c r="X7" s="703"/>
      <c r="Y7" s="3861" t="s">
        <v>1680</v>
      </c>
      <c r="Z7" s="38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61" t="s">
        <v>1683</v>
      </c>
      <c r="Q8" s="3862"/>
      <c r="R8" s="701" t="s">
        <v>14</v>
      </c>
      <c r="S8" s="702">
        <f t="shared" si="0"/>
        <v>100</v>
      </c>
      <c r="T8" s="701" t="s">
        <v>14</v>
      </c>
      <c r="U8" s="702">
        <f t="shared" si="1"/>
        <v>100</v>
      </c>
      <c r="V8" s="701" t="s">
        <v>14</v>
      </c>
      <c r="W8" s="702">
        <f t="shared" si="2"/>
        <v>100</v>
      </c>
      <c r="X8" s="703"/>
      <c r="Y8" s="3861" t="s">
        <v>1683</v>
      </c>
      <c r="Z8" s="38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6" t="s">
        <v>1686</v>
      </c>
      <c r="Q9" s="1342" t="str">
        <f t="shared" ref="Q9:Q15" si="6">B9</f>
        <v>用途</v>
      </c>
      <c r="R9" s="701" t="s">
        <v>14</v>
      </c>
      <c r="S9" s="702">
        <f t="shared" si="0"/>
        <v>100</v>
      </c>
      <c r="T9" s="701" t="s">
        <v>14</v>
      </c>
      <c r="U9" s="702">
        <f t="shared" si="1"/>
        <v>100</v>
      </c>
      <c r="V9" s="701" t="s">
        <v>14</v>
      </c>
      <c r="W9" s="702">
        <f t="shared" si="2"/>
        <v>100</v>
      </c>
      <c r="X9" s="703"/>
      <c r="Y9" s="368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6"/>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6"/>
      <c r="Q11" s="1342" t="str">
        <f t="shared" si="6"/>
        <v>容积率</v>
      </c>
      <c r="R11" s="701" t="s">
        <v>14</v>
      </c>
      <c r="S11" s="702" t="e">
        <f t="shared" si="0"/>
        <v>#N/A</v>
      </c>
      <c r="T11" s="701" t="s">
        <v>14</v>
      </c>
      <c r="U11" s="702" t="e">
        <f t="shared" si="1"/>
        <v>#N/A</v>
      </c>
      <c r="V11" s="701" t="s">
        <v>14</v>
      </c>
      <c r="W11" s="702" t="e">
        <f t="shared" si="2"/>
        <v>#N/A</v>
      </c>
      <c r="X11" s="703"/>
      <c r="Y11" s="368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6"/>
      <c r="Q12" s="1342">
        <f t="shared" si="6"/>
        <v>111</v>
      </c>
      <c r="R12" s="701" t="s">
        <v>14</v>
      </c>
      <c r="S12" s="702">
        <f t="shared" si="0"/>
        <v>100</v>
      </c>
      <c r="T12" s="701" t="s">
        <v>14</v>
      </c>
      <c r="U12" s="702">
        <f t="shared" si="1"/>
        <v>100</v>
      </c>
      <c r="V12" s="701" t="s">
        <v>14</v>
      </c>
      <c r="W12" s="702">
        <f t="shared" si="2"/>
        <v>100</v>
      </c>
      <c r="X12" s="703"/>
      <c r="Y12" s="368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6"/>
      <c r="Q13" s="1342">
        <f t="shared" si="6"/>
        <v>111</v>
      </c>
      <c r="R13" s="701" t="s">
        <v>14</v>
      </c>
      <c r="S13" s="702">
        <f t="shared" si="0"/>
        <v>100</v>
      </c>
      <c r="T13" s="701" t="s">
        <v>14</v>
      </c>
      <c r="U13" s="702">
        <f t="shared" si="1"/>
        <v>100</v>
      </c>
      <c r="V13" s="701" t="s">
        <v>14</v>
      </c>
      <c r="W13" s="702">
        <f t="shared" si="2"/>
        <v>100</v>
      </c>
      <c r="X13" s="703"/>
      <c r="Y13" s="368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6"/>
      <c r="Q14" s="1342">
        <f t="shared" si="6"/>
        <v>111</v>
      </c>
      <c r="R14" s="701" t="s">
        <v>14</v>
      </c>
      <c r="S14" s="702">
        <f t="shared" si="0"/>
        <v>100</v>
      </c>
      <c r="T14" s="701" t="s">
        <v>14</v>
      </c>
      <c r="U14" s="702">
        <f t="shared" si="1"/>
        <v>100</v>
      </c>
      <c r="V14" s="701" t="s">
        <v>14</v>
      </c>
      <c r="W14" s="702">
        <f t="shared" si="2"/>
        <v>100</v>
      </c>
      <c r="X14" s="703"/>
      <c r="Y14" s="368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34" t="s">
        <v>1691</v>
      </c>
      <c r="Q15" s="1351" t="str">
        <f t="shared" si="6"/>
        <v>商业繁华度</v>
      </c>
      <c r="R15" s="705" t="s">
        <v>14</v>
      </c>
      <c r="S15" s="706">
        <f t="shared" si="0"/>
        <v>100</v>
      </c>
      <c r="T15" s="705" t="s">
        <v>14</v>
      </c>
      <c r="U15" s="706">
        <f t="shared" si="1"/>
        <v>100</v>
      </c>
      <c r="V15" s="705" t="s">
        <v>14</v>
      </c>
      <c r="W15" s="706">
        <f t="shared" si="2"/>
        <v>100</v>
      </c>
      <c r="X15" s="1354"/>
      <c r="Y15" s="382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835"/>
      <c r="Q16" s="1351"/>
      <c r="R16" s="705"/>
      <c r="S16" s="706"/>
      <c r="T16" s="705"/>
      <c r="U16" s="706"/>
      <c r="V16" s="705"/>
      <c r="W16" s="706"/>
      <c r="X16" s="1354"/>
      <c r="Y16" s="382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35"/>
      <c r="Q17" s="1351" t="str">
        <f>B17</f>
        <v>交通便捷度</v>
      </c>
      <c r="R17" s="705" t="s">
        <v>14</v>
      </c>
      <c r="S17" s="706">
        <f>F17</f>
        <v>100</v>
      </c>
      <c r="T17" s="705" t="s">
        <v>14</v>
      </c>
      <c r="U17" s="706">
        <f>H17</f>
        <v>100</v>
      </c>
      <c r="V17" s="705" t="s">
        <v>14</v>
      </c>
      <c r="W17" s="706">
        <f>J17</f>
        <v>100</v>
      </c>
      <c r="X17" s="1354"/>
      <c r="Y17" s="382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835"/>
      <c r="Q18" s="1351"/>
      <c r="R18" s="705"/>
      <c r="S18" s="706"/>
      <c r="T18" s="705"/>
      <c r="U18" s="706"/>
      <c r="V18" s="705"/>
      <c r="W18" s="706"/>
      <c r="X18" s="1354"/>
      <c r="Y18" s="382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35"/>
      <c r="Q19" s="1351" t="str">
        <f>B19</f>
        <v>公共配套设施</v>
      </c>
      <c r="R19" s="705" t="s">
        <v>14</v>
      </c>
      <c r="S19" s="706">
        <f>F19</f>
        <v>100</v>
      </c>
      <c r="T19" s="705" t="s">
        <v>14</v>
      </c>
      <c r="U19" s="706">
        <f>H19</f>
        <v>100</v>
      </c>
      <c r="V19" s="705" t="s">
        <v>14</v>
      </c>
      <c r="W19" s="706">
        <f>J19</f>
        <v>100</v>
      </c>
      <c r="X19" s="1354"/>
      <c r="Y19" s="382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835"/>
      <c r="Q20" s="1351"/>
      <c r="R20" s="705"/>
      <c r="S20" s="706"/>
      <c r="T20" s="705"/>
      <c r="U20" s="706"/>
      <c r="V20" s="705"/>
      <c r="W20" s="706"/>
      <c r="X20" s="1354"/>
      <c r="Y20" s="3828"/>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35"/>
      <c r="Q21" s="1351" t="str">
        <f>B21</f>
        <v>基础设施水平</v>
      </c>
      <c r="R21" s="705" t="s">
        <v>14</v>
      </c>
      <c r="S21" s="706">
        <f>F21</f>
        <v>100</v>
      </c>
      <c r="T21" s="705" t="s">
        <v>14</v>
      </c>
      <c r="U21" s="706">
        <f>H21</f>
        <v>100</v>
      </c>
      <c r="V21" s="705" t="s">
        <v>14</v>
      </c>
      <c r="W21" s="706">
        <f>J21</f>
        <v>100</v>
      </c>
      <c r="X21" s="1354"/>
      <c r="Y21" s="382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835"/>
      <c r="Q22" s="1351"/>
      <c r="R22" s="705"/>
      <c r="S22" s="706"/>
      <c r="T22" s="705"/>
      <c r="U22" s="706"/>
      <c r="V22" s="705"/>
      <c r="W22" s="706"/>
      <c r="X22" s="1354"/>
      <c r="Y22" s="382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35"/>
      <c r="Q23" s="1351" t="str">
        <f>B23</f>
        <v>自然及人文环境</v>
      </c>
      <c r="R23" s="705" t="s">
        <v>14</v>
      </c>
      <c r="S23" s="706">
        <f>F23</f>
        <v>100</v>
      </c>
      <c r="T23" s="705" t="s">
        <v>14</v>
      </c>
      <c r="U23" s="706">
        <f>H23</f>
        <v>100</v>
      </c>
      <c r="V23" s="705" t="s">
        <v>14</v>
      </c>
      <c r="W23" s="706">
        <f>J23</f>
        <v>100</v>
      </c>
      <c r="X23" s="1354"/>
      <c r="Y23" s="382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835"/>
      <c r="Q24" s="1351"/>
      <c r="R24" s="705"/>
      <c r="S24" s="706"/>
      <c r="T24" s="705"/>
      <c r="U24" s="706"/>
      <c r="V24" s="705"/>
      <c r="W24" s="706"/>
      <c r="X24" s="1354"/>
      <c r="Y24" s="382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35"/>
      <c r="Q25" s="1351" t="str">
        <f t="shared" ref="Q25:Q46" si="11">B25</f>
        <v>临街状况</v>
      </c>
      <c r="R25" s="705" t="s">
        <v>14</v>
      </c>
      <c r="S25" s="706">
        <f>F25</f>
        <v>100</v>
      </c>
      <c r="T25" s="705" t="s">
        <v>14</v>
      </c>
      <c r="U25" s="706">
        <f>H25</f>
        <v>100</v>
      </c>
      <c r="V25" s="705" t="s">
        <v>14</v>
      </c>
      <c r="W25" s="706">
        <f>J25</f>
        <v>100</v>
      </c>
      <c r="X25" s="1354"/>
      <c r="Y25" s="382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35"/>
      <c r="Q26" s="1351" t="str">
        <f t="shared" si="11"/>
        <v>平面位置/可视性</v>
      </c>
      <c r="R26" s="705" t="s">
        <v>14</v>
      </c>
      <c r="S26" s="706">
        <f>F26</f>
        <v>100</v>
      </c>
      <c r="T26" s="705" t="s">
        <v>14</v>
      </c>
      <c r="U26" s="706">
        <f>H26</f>
        <v>100</v>
      </c>
      <c r="V26" s="705" t="s">
        <v>14</v>
      </c>
      <c r="W26" s="706">
        <f>J26</f>
        <v>100</v>
      </c>
      <c r="X26" s="1354"/>
      <c r="Y26" s="382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35"/>
      <c r="Q27" s="1342" t="str">
        <f t="shared" si="11"/>
        <v>人流量</v>
      </c>
      <c r="R27" s="701" t="s">
        <v>14</v>
      </c>
      <c r="S27" s="702">
        <f>F27</f>
        <v>100</v>
      </c>
      <c r="T27" s="701" t="s">
        <v>14</v>
      </c>
      <c r="U27" s="702">
        <f>H27</f>
        <v>100</v>
      </c>
      <c r="V27" s="701" t="s">
        <v>14</v>
      </c>
      <c r="W27" s="702">
        <f>J27</f>
        <v>100</v>
      </c>
      <c r="X27" s="703"/>
      <c r="Y27" s="382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3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82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35"/>
      <c r="Q29" s="1351">
        <f t="shared" si="11"/>
        <v>111</v>
      </c>
      <c r="R29" s="705" t="s">
        <v>14</v>
      </c>
      <c r="S29" s="706">
        <f t="shared" si="12"/>
        <v>100</v>
      </c>
      <c r="T29" s="705" t="s">
        <v>14</v>
      </c>
      <c r="U29" s="706">
        <f t="shared" si="13"/>
        <v>100</v>
      </c>
      <c r="V29" s="705" t="s">
        <v>14</v>
      </c>
      <c r="W29" s="706">
        <f t="shared" si="14"/>
        <v>100</v>
      </c>
      <c r="X29" s="1354"/>
      <c r="Y29" s="382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35"/>
      <c r="Q30" s="1351">
        <f t="shared" si="11"/>
        <v>111</v>
      </c>
      <c r="R30" s="705" t="s">
        <v>14</v>
      </c>
      <c r="S30" s="706">
        <f t="shared" si="12"/>
        <v>100</v>
      </c>
      <c r="T30" s="705" t="s">
        <v>14</v>
      </c>
      <c r="U30" s="706">
        <f t="shared" si="13"/>
        <v>100</v>
      </c>
      <c r="V30" s="705" t="s">
        <v>14</v>
      </c>
      <c r="W30" s="706">
        <f t="shared" si="14"/>
        <v>100</v>
      </c>
      <c r="X30" s="1354"/>
      <c r="Y30" s="382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35"/>
      <c r="Q31" s="1351">
        <f t="shared" si="11"/>
        <v>111</v>
      </c>
      <c r="R31" s="705" t="s">
        <v>14</v>
      </c>
      <c r="S31" s="706">
        <f t="shared" si="12"/>
        <v>100</v>
      </c>
      <c r="T31" s="705" t="s">
        <v>14</v>
      </c>
      <c r="U31" s="706">
        <f t="shared" si="13"/>
        <v>100</v>
      </c>
      <c r="V31" s="705" t="s">
        <v>14</v>
      </c>
      <c r="W31" s="706">
        <f t="shared" si="14"/>
        <v>100</v>
      </c>
      <c r="X31" s="1354"/>
      <c r="Y31" s="382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829" t="s">
        <v>1696</v>
      </c>
      <c r="Q32" s="1351" t="str">
        <f t="shared" si="11"/>
        <v>商业类型</v>
      </c>
      <c r="R32" s="705" t="s">
        <v>14</v>
      </c>
      <c r="S32" s="706">
        <f t="shared" si="12"/>
        <v>100</v>
      </c>
      <c r="T32" s="705" t="s">
        <v>14</v>
      </c>
      <c r="U32" s="706">
        <f t="shared" si="13"/>
        <v>100</v>
      </c>
      <c r="V32" s="705" t="s">
        <v>14</v>
      </c>
      <c r="W32" s="706">
        <f t="shared" si="14"/>
        <v>100</v>
      </c>
      <c r="X32" s="1354"/>
      <c r="Y32" s="383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30"/>
      <c r="Q33" s="707" t="str">
        <f t="shared" si="11"/>
        <v>项目建筑规模</v>
      </c>
      <c r="R33" s="708" t="s">
        <v>14</v>
      </c>
      <c r="S33" s="709" t="e">
        <f t="shared" si="12"/>
        <v>#N/A</v>
      </c>
      <c r="T33" s="708" t="s">
        <v>14</v>
      </c>
      <c r="U33" s="709" t="e">
        <f t="shared" si="13"/>
        <v>#N/A</v>
      </c>
      <c r="V33" s="708" t="s">
        <v>14</v>
      </c>
      <c r="W33" s="709" t="e">
        <f t="shared" si="14"/>
        <v>#N/A</v>
      </c>
      <c r="X33" s="710"/>
      <c r="Y33" s="383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830"/>
      <c r="Q34" s="1351" t="str">
        <f t="shared" si="11"/>
        <v>建筑结构</v>
      </c>
      <c r="R34" s="705" t="s">
        <v>14</v>
      </c>
      <c r="S34" s="706">
        <f t="shared" si="12"/>
        <v>100</v>
      </c>
      <c r="T34" s="705" t="s">
        <v>14</v>
      </c>
      <c r="U34" s="706">
        <f t="shared" si="13"/>
        <v>100</v>
      </c>
      <c r="V34" s="705" t="s">
        <v>14</v>
      </c>
      <c r="W34" s="706">
        <f t="shared" si="14"/>
        <v>100</v>
      </c>
      <c r="X34" s="1354"/>
      <c r="Y34" s="383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830"/>
      <c r="Q35" s="1351" t="str">
        <f t="shared" si="11"/>
        <v>公共部分装修</v>
      </c>
      <c r="R35" s="705" t="s">
        <v>14</v>
      </c>
      <c r="S35" s="706">
        <f t="shared" si="12"/>
        <v>100</v>
      </c>
      <c r="T35" s="705" t="s">
        <v>14</v>
      </c>
      <c r="U35" s="706">
        <f t="shared" si="13"/>
        <v>100</v>
      </c>
      <c r="V35" s="705" t="s">
        <v>14</v>
      </c>
      <c r="W35" s="706">
        <f t="shared" si="14"/>
        <v>100</v>
      </c>
      <c r="X35" s="1354"/>
      <c r="Y35" s="383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30"/>
      <c r="Q36" s="1351" t="str">
        <f t="shared" si="11"/>
        <v>成新度</v>
      </c>
      <c r="R36" s="705" t="s">
        <v>14</v>
      </c>
      <c r="S36" s="706" t="e">
        <f t="shared" si="12"/>
        <v>#N/A</v>
      </c>
      <c r="T36" s="705" t="s">
        <v>14</v>
      </c>
      <c r="U36" s="706" t="e">
        <f t="shared" si="13"/>
        <v>#N/A</v>
      </c>
      <c r="V36" s="705" t="s">
        <v>14</v>
      </c>
      <c r="W36" s="706" t="e">
        <f t="shared" si="14"/>
        <v>#N/A</v>
      </c>
      <c r="X36" s="1354"/>
      <c r="Y36" s="383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830"/>
      <c r="Q37" s="1342" t="str">
        <f t="shared" si="11"/>
        <v>市政基础设施</v>
      </c>
      <c r="R37" s="701" t="s">
        <v>14</v>
      </c>
      <c r="S37" s="702">
        <f t="shared" si="12"/>
        <v>100</v>
      </c>
      <c r="T37" s="701" t="s">
        <v>14</v>
      </c>
      <c r="U37" s="702">
        <f t="shared" si="13"/>
        <v>100</v>
      </c>
      <c r="V37" s="701" t="s">
        <v>14</v>
      </c>
      <c r="W37" s="702">
        <f t="shared" si="14"/>
        <v>100</v>
      </c>
      <c r="X37" s="703"/>
      <c r="Y37" s="383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830" t="s">
        <v>1696</v>
      </c>
      <c r="Q38" s="1351" t="str">
        <f t="shared" si="11"/>
        <v>业态</v>
      </c>
      <c r="R38" s="705" t="s">
        <v>14</v>
      </c>
      <c r="S38" s="706">
        <f t="shared" si="12"/>
        <v>100</v>
      </c>
      <c r="T38" s="705" t="s">
        <v>14</v>
      </c>
      <c r="U38" s="706">
        <f t="shared" si="13"/>
        <v>100</v>
      </c>
      <c r="V38" s="705" t="s">
        <v>14</v>
      </c>
      <c r="W38" s="706">
        <f t="shared" si="14"/>
        <v>100</v>
      </c>
      <c r="X38" s="1354"/>
      <c r="Y38" s="383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830"/>
      <c r="Q39" s="1351" t="str">
        <f t="shared" si="11"/>
        <v>层高</v>
      </c>
      <c r="R39" s="705" t="s">
        <v>14</v>
      </c>
      <c r="S39" s="706">
        <f t="shared" si="12"/>
        <v>100</v>
      </c>
      <c r="T39" s="705" t="s">
        <v>14</v>
      </c>
      <c r="U39" s="706">
        <f t="shared" si="13"/>
        <v>100</v>
      </c>
      <c r="V39" s="705" t="s">
        <v>14</v>
      </c>
      <c r="W39" s="706">
        <f t="shared" si="14"/>
        <v>100</v>
      </c>
      <c r="X39" s="1354"/>
      <c r="Y39" s="383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30"/>
      <c r="Q40" s="1351" t="str">
        <f t="shared" si="11"/>
        <v>单套建筑面积</v>
      </c>
      <c r="R40" s="705" t="s">
        <v>14</v>
      </c>
      <c r="S40" s="706">
        <f t="shared" si="12"/>
        <v>100</v>
      </c>
      <c r="T40" s="705" t="s">
        <v>14</v>
      </c>
      <c r="U40" s="706">
        <f t="shared" si="13"/>
        <v>100</v>
      </c>
      <c r="V40" s="705" t="s">
        <v>14</v>
      </c>
      <c r="W40" s="706">
        <f t="shared" si="14"/>
        <v>100</v>
      </c>
      <c r="X40" s="1354"/>
      <c r="Y40" s="383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30"/>
      <c r="Q41" s="707" t="str">
        <f t="shared" si="11"/>
        <v>进深比</v>
      </c>
      <c r="R41" s="708" t="s">
        <v>14</v>
      </c>
      <c r="S41" s="709">
        <f t="shared" si="12"/>
        <v>100</v>
      </c>
      <c r="T41" s="708" t="s">
        <v>14</v>
      </c>
      <c r="U41" s="709">
        <f t="shared" si="13"/>
        <v>100</v>
      </c>
      <c r="V41" s="708" t="s">
        <v>14</v>
      </c>
      <c r="W41" s="709">
        <f t="shared" si="14"/>
        <v>100</v>
      </c>
      <c r="X41" s="710"/>
      <c r="Y41" s="383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830"/>
      <c r="Q42" s="1351" t="str">
        <f t="shared" si="11"/>
        <v>内部装修</v>
      </c>
      <c r="R42" s="705" t="s">
        <v>14</v>
      </c>
      <c r="S42" s="706">
        <f t="shared" si="12"/>
        <v>100</v>
      </c>
      <c r="T42" s="705" t="s">
        <v>14</v>
      </c>
      <c r="U42" s="706">
        <f t="shared" si="13"/>
        <v>100</v>
      </c>
      <c r="V42" s="705" t="s">
        <v>14</v>
      </c>
      <c r="W42" s="706">
        <f t="shared" si="14"/>
        <v>100</v>
      </c>
      <c r="X42" s="1354"/>
      <c r="Y42" s="383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830"/>
      <c r="Q43" s="1351" t="str">
        <f t="shared" si="11"/>
        <v>内部装修维护情况</v>
      </c>
      <c r="R43" s="705" t="s">
        <v>14</v>
      </c>
      <c r="S43" s="706">
        <f t="shared" si="12"/>
        <v>100</v>
      </c>
      <c r="T43" s="705" t="s">
        <v>14</v>
      </c>
      <c r="U43" s="706">
        <f t="shared" si="13"/>
        <v>100</v>
      </c>
      <c r="V43" s="705" t="s">
        <v>14</v>
      </c>
      <c r="W43" s="706">
        <f t="shared" si="14"/>
        <v>100</v>
      </c>
      <c r="X43" s="1354"/>
      <c r="Y43" s="383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30"/>
      <c r="Q44" s="1342">
        <f t="shared" si="11"/>
        <v>111</v>
      </c>
      <c r="R44" s="701" t="s">
        <v>14</v>
      </c>
      <c r="S44" s="702">
        <f t="shared" si="12"/>
        <v>100</v>
      </c>
      <c r="T44" s="701" t="s">
        <v>14</v>
      </c>
      <c r="U44" s="702">
        <f t="shared" si="13"/>
        <v>100</v>
      </c>
      <c r="V44" s="701" t="s">
        <v>14</v>
      </c>
      <c r="W44" s="702">
        <f t="shared" si="14"/>
        <v>100</v>
      </c>
      <c r="X44" s="703"/>
      <c r="Y44" s="3832"/>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30"/>
      <c r="Q45" s="1351">
        <f t="shared" si="11"/>
        <v>111</v>
      </c>
      <c r="R45" s="705" t="s">
        <v>14</v>
      </c>
      <c r="S45" s="706">
        <f t="shared" si="12"/>
        <v>100</v>
      </c>
      <c r="T45" s="705" t="s">
        <v>14</v>
      </c>
      <c r="U45" s="706">
        <f t="shared" si="13"/>
        <v>100</v>
      </c>
      <c r="V45" s="705" t="s">
        <v>14</v>
      </c>
      <c r="W45" s="706">
        <f t="shared" si="14"/>
        <v>100</v>
      </c>
      <c r="X45" s="1354"/>
      <c r="Y45" s="383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31"/>
      <c r="Q46" s="1351">
        <f t="shared" si="11"/>
        <v>111</v>
      </c>
      <c r="R46" s="705" t="s">
        <v>14</v>
      </c>
      <c r="S46" s="706">
        <f t="shared" si="12"/>
        <v>100</v>
      </c>
      <c r="T46" s="705" t="s">
        <v>14</v>
      </c>
      <c r="U46" s="706">
        <f t="shared" si="13"/>
        <v>100</v>
      </c>
      <c r="V46" s="705" t="s">
        <v>14</v>
      </c>
      <c r="W46" s="706">
        <f t="shared" si="14"/>
        <v>100</v>
      </c>
      <c r="X46" s="1354"/>
      <c r="Y46" s="3833"/>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825" t="str">
        <f>A47</f>
        <v>成交单价（元/平方米）</v>
      </c>
      <c r="Q47" s="3825"/>
      <c r="R47" s="3856">
        <f>E47</f>
        <v>0</v>
      </c>
      <c r="S47" s="3856"/>
      <c r="T47" s="3856">
        <f>G47</f>
        <v>0</v>
      </c>
      <c r="U47" s="3856"/>
      <c r="V47" s="3856">
        <f>I47</f>
        <v>0</v>
      </c>
      <c r="W47" s="3856"/>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825" t="str">
        <f>A48</f>
        <v>比较价值（元/平方米）</v>
      </c>
      <c r="Q48" s="3825"/>
      <c r="R48" s="3826" t="e">
        <f>IF(F1="售价",ROUND(PRODUCT(R47,AA7:AA46),0),ROUND(PRODUCT(R47,AA7:AA46),1))</f>
        <v>#DIV/0!</v>
      </c>
      <c r="S48" s="3826"/>
      <c r="T48" s="3826" t="e">
        <f>IF(F1="售价",ROUND(PRODUCT(T47,AB7:AB46),0),ROUND(PRODUCT(T47,AB7:AB46),1))</f>
        <v>#DIV/0!</v>
      </c>
      <c r="U48" s="3826"/>
      <c r="V48" s="3826" t="e">
        <f>IF(F1="售价",ROUND(PRODUCT(V47,AC7:AC46),0),ROUND(PRODUCT(V47,AC7:AC46),1))</f>
        <v>#DIV/0!</v>
      </c>
      <c r="W48" s="3826"/>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822" t="str">
        <f>A49</f>
        <v>估价对象XX用房的比较价值（楼面单价，元/平方米）</v>
      </c>
      <c r="Q49" s="3823"/>
      <c r="R49" s="3824" t="e">
        <f>IF(F1="售价",ROUND(IF(D48="简单平均",AVERAGE(R48:V48),R48*F48+T48*H48+V48*J48),0),ROUND(IF(D48="简单平均",AVERAGE(R48:V48),R48*F48+T48*H48+V48*J48),1))</f>
        <v>#DIV/0!</v>
      </c>
      <c r="S49" s="3824"/>
      <c r="T49" s="3824"/>
      <c r="U49" s="3824"/>
      <c r="V49" s="3824"/>
      <c r="W49" s="382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70468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840" t="s">
        <v>1770</v>
      </c>
      <c r="D4" s="3841"/>
      <c r="E4" s="3842" t="s">
        <v>1771</v>
      </c>
      <c r="F4" s="3843"/>
      <c r="G4" s="3840" t="s">
        <v>1772</v>
      </c>
      <c r="H4" s="3841"/>
      <c r="I4" s="3840" t="s">
        <v>1773</v>
      </c>
      <c r="J4" s="3841"/>
      <c r="K4" s="559" t="s">
        <v>1774</v>
      </c>
      <c r="L4" s="2714"/>
      <c r="M4" s="2715"/>
      <c r="N4" s="2715"/>
      <c r="O4" s="2715"/>
      <c r="P4" s="3874" t="s">
        <v>1775</v>
      </c>
      <c r="Q4" s="3875"/>
      <c r="R4" s="3878" t="s">
        <v>1771</v>
      </c>
      <c r="S4" s="3879"/>
      <c r="T4" s="3878" t="s">
        <v>1772</v>
      </c>
      <c r="U4" s="3879"/>
      <c r="V4" s="3880" t="s">
        <v>1773</v>
      </c>
      <c r="W4" s="3880"/>
      <c r="X4" s="1957"/>
      <c r="Y4" s="3878" t="s">
        <v>1775</v>
      </c>
      <c r="Z4" s="3879"/>
      <c r="AA4" s="3882" t="s">
        <v>1771</v>
      </c>
      <c r="AB4" s="3882" t="s">
        <v>1772</v>
      </c>
      <c r="AC4" s="3871" t="s">
        <v>1773</v>
      </c>
    </row>
    <row r="5" spans="1:29" ht="15">
      <c r="A5" s="358"/>
      <c r="B5" s="359"/>
      <c r="C5" s="3859" t="s">
        <v>1673</v>
      </c>
      <c r="D5" s="3860"/>
      <c r="E5" s="3866" t="s">
        <v>1674</v>
      </c>
      <c r="F5" s="3867"/>
      <c r="G5" s="3859" t="s">
        <v>1675</v>
      </c>
      <c r="H5" s="3860"/>
      <c r="I5" s="3859" t="s">
        <v>1676</v>
      </c>
      <c r="J5" s="3860"/>
      <c r="K5" s="559"/>
      <c r="L5" s="2714"/>
      <c r="M5" s="2715"/>
      <c r="N5" s="2715"/>
      <c r="O5" s="2715"/>
      <c r="P5" s="3876"/>
      <c r="Q5" s="3847"/>
      <c r="R5" s="3852"/>
      <c r="S5" s="3853"/>
      <c r="T5" s="3852"/>
      <c r="U5" s="3853"/>
      <c r="V5" s="3856"/>
      <c r="W5" s="3856"/>
      <c r="X5" s="1354"/>
      <c r="Y5" s="3852"/>
      <c r="Z5" s="3853"/>
      <c r="AA5" s="3838"/>
      <c r="AB5" s="3838"/>
      <c r="AC5" s="3872"/>
    </row>
    <row r="6" spans="1:29" ht="15.75" thickBot="1">
      <c r="A6" s="360"/>
      <c r="B6" s="361"/>
      <c r="C6" s="3857" t="s">
        <v>1677</v>
      </c>
      <c r="D6" s="3858"/>
      <c r="E6" s="3864" t="s">
        <v>1677</v>
      </c>
      <c r="F6" s="3865"/>
      <c r="G6" s="3857" t="s">
        <v>1677</v>
      </c>
      <c r="H6" s="3858"/>
      <c r="I6" s="3857" t="s">
        <v>1677</v>
      </c>
      <c r="J6" s="3858"/>
      <c r="K6" s="559" t="s">
        <v>1678</v>
      </c>
      <c r="L6" s="2714"/>
      <c r="M6" s="2715"/>
      <c r="N6" s="2715"/>
      <c r="O6" s="2715"/>
      <c r="P6" s="3877"/>
      <c r="Q6" s="3849"/>
      <c r="R6" s="3852"/>
      <c r="S6" s="3853"/>
      <c r="T6" s="3854"/>
      <c r="U6" s="3855"/>
      <c r="V6" s="3856"/>
      <c r="W6" s="3856"/>
      <c r="X6" s="1354"/>
      <c r="Y6" s="3854"/>
      <c r="Z6" s="3855"/>
      <c r="AA6" s="3839"/>
      <c r="AB6" s="3839"/>
      <c r="AC6" s="3873"/>
    </row>
    <row r="7" spans="1:29" s="108" customFormat="1" ht="15.75" thickBot="1">
      <c r="A7" s="362" t="s">
        <v>1679</v>
      </c>
      <c r="B7" s="363"/>
      <c r="C7" s="364">
        <f>'数据-取费表'!B2</f>
        <v>45399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81" t="s">
        <v>1680</v>
      </c>
      <c r="Q7" s="3863"/>
      <c r="R7" s="701" t="s">
        <v>14</v>
      </c>
      <c r="S7" s="702">
        <f t="shared" ref="S7:S15" si="0">F7</f>
        <v>0</v>
      </c>
      <c r="T7" s="701" t="s">
        <v>14</v>
      </c>
      <c r="U7" s="702">
        <f t="shared" ref="U7:U15" si="1">H7</f>
        <v>0</v>
      </c>
      <c r="V7" s="701" t="s">
        <v>14</v>
      </c>
      <c r="W7" s="702">
        <f t="shared" ref="W7:W15" si="2">J7</f>
        <v>0</v>
      </c>
      <c r="X7" s="703"/>
      <c r="Y7" s="3861" t="s">
        <v>1680</v>
      </c>
      <c r="Z7" s="386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81" t="s">
        <v>1683</v>
      </c>
      <c r="Q8" s="3862"/>
      <c r="R8" s="701" t="s">
        <v>14</v>
      </c>
      <c r="S8" s="702">
        <f t="shared" si="0"/>
        <v>100</v>
      </c>
      <c r="T8" s="701" t="s">
        <v>14</v>
      </c>
      <c r="U8" s="702">
        <f t="shared" si="1"/>
        <v>100</v>
      </c>
      <c r="V8" s="701" t="s">
        <v>14</v>
      </c>
      <c r="W8" s="702">
        <f t="shared" si="2"/>
        <v>100</v>
      </c>
      <c r="X8" s="703"/>
      <c r="Y8" s="3861" t="s">
        <v>1683</v>
      </c>
      <c r="Z8" s="386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36" t="s">
        <v>1686</v>
      </c>
      <c r="Q9" s="1342" t="str">
        <f t="shared" ref="Q9:Q15" si="6">B9</f>
        <v>用途</v>
      </c>
      <c r="R9" s="701" t="s">
        <v>14</v>
      </c>
      <c r="S9" s="702">
        <f t="shared" si="0"/>
        <v>100</v>
      </c>
      <c r="T9" s="701" t="s">
        <v>14</v>
      </c>
      <c r="U9" s="702">
        <f t="shared" si="1"/>
        <v>100</v>
      </c>
      <c r="V9" s="701" t="s">
        <v>14</v>
      </c>
      <c r="W9" s="702">
        <f t="shared" si="2"/>
        <v>100</v>
      </c>
      <c r="X9" s="703"/>
      <c r="Y9" s="368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36"/>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6"/>
      <c r="Q11" s="1342" t="str">
        <f t="shared" si="6"/>
        <v>容积率</v>
      </c>
      <c r="R11" s="701" t="s">
        <v>14</v>
      </c>
      <c r="S11" s="702">
        <f t="shared" si="0"/>
        <v>100</v>
      </c>
      <c r="T11" s="701" t="s">
        <v>14</v>
      </c>
      <c r="U11" s="702">
        <f t="shared" si="1"/>
        <v>100</v>
      </c>
      <c r="V11" s="701" t="s">
        <v>14</v>
      </c>
      <c r="W11" s="702">
        <f t="shared" si="2"/>
        <v>100</v>
      </c>
      <c r="X11" s="703"/>
      <c r="Y11" s="368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6"/>
      <c r="Q12" s="1342">
        <f t="shared" si="6"/>
        <v>111</v>
      </c>
      <c r="R12" s="701" t="s">
        <v>14</v>
      </c>
      <c r="S12" s="702">
        <f t="shared" si="0"/>
        <v>100</v>
      </c>
      <c r="T12" s="701" t="s">
        <v>14</v>
      </c>
      <c r="U12" s="702">
        <f t="shared" si="1"/>
        <v>100</v>
      </c>
      <c r="V12" s="701" t="s">
        <v>14</v>
      </c>
      <c r="W12" s="702">
        <f t="shared" si="2"/>
        <v>100</v>
      </c>
      <c r="X12" s="703"/>
      <c r="Y12" s="368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6"/>
      <c r="Q13" s="1342">
        <f t="shared" si="6"/>
        <v>111</v>
      </c>
      <c r="R13" s="701" t="s">
        <v>14</v>
      </c>
      <c r="S13" s="702">
        <f t="shared" si="0"/>
        <v>100</v>
      </c>
      <c r="T13" s="701" t="s">
        <v>14</v>
      </c>
      <c r="U13" s="702">
        <f t="shared" si="1"/>
        <v>100</v>
      </c>
      <c r="V13" s="701" t="s">
        <v>14</v>
      </c>
      <c r="W13" s="702">
        <f t="shared" si="2"/>
        <v>100</v>
      </c>
      <c r="X13" s="703"/>
      <c r="Y13" s="368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6"/>
      <c r="Q14" s="1342">
        <f t="shared" si="6"/>
        <v>111</v>
      </c>
      <c r="R14" s="701" t="s">
        <v>14</v>
      </c>
      <c r="S14" s="702">
        <f t="shared" si="0"/>
        <v>100</v>
      </c>
      <c r="T14" s="701" t="s">
        <v>14</v>
      </c>
      <c r="U14" s="702">
        <f t="shared" si="1"/>
        <v>100</v>
      </c>
      <c r="V14" s="701" t="s">
        <v>14</v>
      </c>
      <c r="W14" s="702">
        <f t="shared" si="2"/>
        <v>100</v>
      </c>
      <c r="X14" s="703"/>
      <c r="Y14" s="368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34" t="s">
        <v>1691</v>
      </c>
      <c r="Q15" s="1351" t="str">
        <f t="shared" si="6"/>
        <v>办公集聚程度</v>
      </c>
      <c r="R15" s="705" t="s">
        <v>14</v>
      </c>
      <c r="S15" s="706">
        <f t="shared" si="0"/>
        <v>100</v>
      </c>
      <c r="T15" s="705" t="s">
        <v>14</v>
      </c>
      <c r="U15" s="706">
        <f t="shared" si="1"/>
        <v>100</v>
      </c>
      <c r="V15" s="705" t="s">
        <v>14</v>
      </c>
      <c r="W15" s="706">
        <f t="shared" si="2"/>
        <v>100</v>
      </c>
      <c r="X15" s="1354"/>
      <c r="Y15" s="382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835"/>
      <c r="Q16" s="1351"/>
      <c r="R16" s="705"/>
      <c r="S16" s="706"/>
      <c r="T16" s="705"/>
      <c r="U16" s="706"/>
      <c r="V16" s="705"/>
      <c r="W16" s="706"/>
      <c r="X16" s="1354"/>
      <c r="Y16" s="382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35"/>
      <c r="Q17" s="1351" t="str">
        <f>B17</f>
        <v>交通便捷度</v>
      </c>
      <c r="R17" s="705" t="s">
        <v>14</v>
      </c>
      <c r="S17" s="706">
        <f>F17</f>
        <v>100</v>
      </c>
      <c r="T17" s="705" t="s">
        <v>14</v>
      </c>
      <c r="U17" s="706">
        <f>H17</f>
        <v>100</v>
      </c>
      <c r="V17" s="705" t="s">
        <v>14</v>
      </c>
      <c r="W17" s="706">
        <f>J17</f>
        <v>100</v>
      </c>
      <c r="X17" s="1354"/>
      <c r="Y17" s="382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835"/>
      <c r="Q18" s="1351"/>
      <c r="R18" s="705"/>
      <c r="S18" s="706"/>
      <c r="T18" s="705"/>
      <c r="U18" s="706"/>
      <c r="V18" s="705"/>
      <c r="W18" s="706"/>
      <c r="X18" s="1354"/>
      <c r="Y18" s="382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35"/>
      <c r="Q19" s="1351" t="str">
        <f>B19</f>
        <v>公共配套设施</v>
      </c>
      <c r="R19" s="705" t="s">
        <v>14</v>
      </c>
      <c r="S19" s="706">
        <f>F19</f>
        <v>100</v>
      </c>
      <c r="T19" s="705" t="s">
        <v>14</v>
      </c>
      <c r="U19" s="706">
        <f>H19</f>
        <v>100</v>
      </c>
      <c r="V19" s="705" t="s">
        <v>14</v>
      </c>
      <c r="W19" s="706">
        <f>J19</f>
        <v>100</v>
      </c>
      <c r="X19" s="1354"/>
      <c r="Y19" s="382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835"/>
      <c r="Q20" s="1351"/>
      <c r="R20" s="705"/>
      <c r="S20" s="706"/>
      <c r="T20" s="705"/>
      <c r="U20" s="706"/>
      <c r="V20" s="705"/>
      <c r="W20" s="706"/>
      <c r="X20" s="1354"/>
      <c r="Y20" s="382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35"/>
      <c r="Q21" s="1351" t="str">
        <f>B21</f>
        <v>基础设施水平</v>
      </c>
      <c r="R21" s="705" t="s">
        <v>14</v>
      </c>
      <c r="S21" s="706">
        <f>F21</f>
        <v>100</v>
      </c>
      <c r="T21" s="705" t="s">
        <v>14</v>
      </c>
      <c r="U21" s="706">
        <f>H21</f>
        <v>100</v>
      </c>
      <c r="V21" s="705" t="s">
        <v>14</v>
      </c>
      <c r="W21" s="706">
        <f>J21</f>
        <v>100</v>
      </c>
      <c r="X21" s="1354"/>
      <c r="Y21" s="382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835"/>
      <c r="Q22" s="1351"/>
      <c r="R22" s="705"/>
      <c r="S22" s="706"/>
      <c r="T22" s="705"/>
      <c r="U22" s="706"/>
      <c r="V22" s="705"/>
      <c r="W22" s="706"/>
      <c r="X22" s="1354"/>
      <c r="Y22" s="382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35"/>
      <c r="Q23" s="1351" t="str">
        <f>B23</f>
        <v>环境质量</v>
      </c>
      <c r="R23" s="705" t="s">
        <v>14</v>
      </c>
      <c r="S23" s="706">
        <f>F23</f>
        <v>100</v>
      </c>
      <c r="T23" s="705" t="s">
        <v>14</v>
      </c>
      <c r="U23" s="706">
        <f>H23</f>
        <v>100</v>
      </c>
      <c r="V23" s="705" t="s">
        <v>14</v>
      </c>
      <c r="W23" s="706">
        <f>J23</f>
        <v>100</v>
      </c>
      <c r="X23" s="1354"/>
      <c r="Y23" s="382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835"/>
      <c r="Q24" s="1351"/>
      <c r="R24" s="705"/>
      <c r="S24" s="706"/>
      <c r="T24" s="705"/>
      <c r="U24" s="706"/>
      <c r="V24" s="705"/>
      <c r="W24" s="706"/>
      <c r="X24" s="1354"/>
      <c r="Y24" s="382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35"/>
      <c r="Q25" s="1351" t="str">
        <f>B25</f>
        <v>毗邻道路的类型与等级</v>
      </c>
      <c r="R25" s="705" t="s">
        <v>14</v>
      </c>
      <c r="S25" s="706">
        <f>F25</f>
        <v>100</v>
      </c>
      <c r="T25" s="705" t="s">
        <v>14</v>
      </c>
      <c r="U25" s="706">
        <f>H25</f>
        <v>100</v>
      </c>
      <c r="V25" s="705" t="s">
        <v>14</v>
      </c>
      <c r="W25" s="706">
        <f>J25</f>
        <v>100</v>
      </c>
      <c r="X25" s="1354"/>
      <c r="Y25" s="382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835"/>
      <c r="Q26" s="1351"/>
      <c r="R26" s="705"/>
      <c r="S26" s="706"/>
      <c r="T26" s="705"/>
      <c r="U26" s="706"/>
      <c r="V26" s="705"/>
      <c r="W26" s="706"/>
      <c r="X26" s="1354"/>
      <c r="Y26" s="382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35"/>
      <c r="Q27" s="1351" t="str">
        <f t="shared" ref="Q27:Q47" si="11">B27</f>
        <v>楼层</v>
      </c>
      <c r="R27" s="705" t="s">
        <v>14</v>
      </c>
      <c r="S27" s="706">
        <f>F27</f>
        <v>100</v>
      </c>
      <c r="T27" s="705" t="s">
        <v>14</v>
      </c>
      <c r="U27" s="706">
        <f>H27</f>
        <v>100</v>
      </c>
      <c r="V27" s="705" t="s">
        <v>14</v>
      </c>
      <c r="W27" s="706">
        <f>J27</f>
        <v>100</v>
      </c>
      <c r="X27" s="1354"/>
      <c r="Y27" s="382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35"/>
      <c r="Q28" s="1342" t="str">
        <f t="shared" si="11"/>
        <v>朝向</v>
      </c>
      <c r="R28" s="701" t="s">
        <v>14</v>
      </c>
      <c r="S28" s="702">
        <f>F28</f>
        <v>100</v>
      </c>
      <c r="T28" s="701" t="s">
        <v>14</v>
      </c>
      <c r="U28" s="702">
        <f>H28</f>
        <v>100</v>
      </c>
      <c r="V28" s="701" t="s">
        <v>14</v>
      </c>
      <c r="W28" s="702">
        <f>J28</f>
        <v>100</v>
      </c>
      <c r="X28" s="703"/>
      <c r="Y28" s="382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35"/>
      <c r="Q29" s="1351">
        <f t="shared" si="11"/>
        <v>111</v>
      </c>
      <c r="R29" s="705" t="s">
        <v>14</v>
      </c>
      <c r="S29" s="706">
        <f t="shared" ref="S29:S47" si="12">F29</f>
        <v>100</v>
      </c>
      <c r="T29" s="705" t="s">
        <v>14</v>
      </c>
      <c r="U29" s="706">
        <f t="shared" ref="U29:U47" si="13">H29</f>
        <v>100</v>
      </c>
      <c r="V29" s="705" t="s">
        <v>14</v>
      </c>
      <c r="W29" s="706">
        <f t="shared" ref="W29:W47" si="14">J29</f>
        <v>100</v>
      </c>
      <c r="X29" s="1354"/>
      <c r="Y29" s="382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35"/>
      <c r="Q30" s="1351">
        <f t="shared" si="11"/>
        <v>111</v>
      </c>
      <c r="R30" s="705" t="s">
        <v>14</v>
      </c>
      <c r="S30" s="706">
        <f t="shared" si="12"/>
        <v>100</v>
      </c>
      <c r="T30" s="705" t="s">
        <v>14</v>
      </c>
      <c r="U30" s="706">
        <f t="shared" si="13"/>
        <v>100</v>
      </c>
      <c r="V30" s="705" t="s">
        <v>14</v>
      </c>
      <c r="W30" s="706">
        <f t="shared" si="14"/>
        <v>100</v>
      </c>
      <c r="X30" s="1354"/>
      <c r="Y30" s="382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35"/>
      <c r="Q31" s="1351">
        <f t="shared" si="11"/>
        <v>111</v>
      </c>
      <c r="R31" s="705" t="s">
        <v>14</v>
      </c>
      <c r="S31" s="706">
        <f t="shared" si="12"/>
        <v>100</v>
      </c>
      <c r="T31" s="705" t="s">
        <v>14</v>
      </c>
      <c r="U31" s="706">
        <f t="shared" si="13"/>
        <v>100</v>
      </c>
      <c r="V31" s="705" t="s">
        <v>14</v>
      </c>
      <c r="W31" s="706">
        <f t="shared" si="14"/>
        <v>100</v>
      </c>
      <c r="X31" s="1354"/>
      <c r="Y31" s="382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35"/>
      <c r="Q32" s="1351">
        <f t="shared" si="11"/>
        <v>111</v>
      </c>
      <c r="R32" s="705" t="s">
        <v>14</v>
      </c>
      <c r="S32" s="706">
        <f t="shared" si="12"/>
        <v>100</v>
      </c>
      <c r="T32" s="705" t="s">
        <v>14</v>
      </c>
      <c r="U32" s="706">
        <f t="shared" si="13"/>
        <v>100</v>
      </c>
      <c r="V32" s="705" t="s">
        <v>14</v>
      </c>
      <c r="W32" s="706">
        <f t="shared" si="14"/>
        <v>100</v>
      </c>
      <c r="X32" s="1354"/>
      <c r="Y32" s="382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29" t="s">
        <v>1696</v>
      </c>
      <c r="Q33" s="1351" t="str">
        <f t="shared" si="11"/>
        <v>建筑类型</v>
      </c>
      <c r="R33" s="705" t="s">
        <v>14</v>
      </c>
      <c r="S33" s="706">
        <f t="shared" si="12"/>
        <v>100</v>
      </c>
      <c r="T33" s="705" t="s">
        <v>14</v>
      </c>
      <c r="U33" s="706">
        <f t="shared" si="13"/>
        <v>100</v>
      </c>
      <c r="V33" s="705" t="s">
        <v>14</v>
      </c>
      <c r="W33" s="706">
        <f t="shared" si="14"/>
        <v>100</v>
      </c>
      <c r="X33" s="1354"/>
      <c r="Y33" s="383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30"/>
      <c r="Q34" s="707" t="str">
        <f t="shared" si="11"/>
        <v>项目建筑规模</v>
      </c>
      <c r="R34" s="708" t="s">
        <v>14</v>
      </c>
      <c r="S34" s="709" t="e">
        <f t="shared" si="12"/>
        <v>#N/A</v>
      </c>
      <c r="T34" s="708" t="s">
        <v>14</v>
      </c>
      <c r="U34" s="709" t="e">
        <f t="shared" si="13"/>
        <v>#N/A</v>
      </c>
      <c r="V34" s="708" t="s">
        <v>14</v>
      </c>
      <c r="W34" s="709" t="e">
        <f t="shared" si="14"/>
        <v>#N/A</v>
      </c>
      <c r="X34" s="710"/>
      <c r="Y34" s="383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30"/>
      <c r="Q35" s="1351" t="str">
        <f t="shared" si="11"/>
        <v>建筑结构</v>
      </c>
      <c r="R35" s="705" t="s">
        <v>14</v>
      </c>
      <c r="S35" s="706">
        <f t="shared" si="12"/>
        <v>100</v>
      </c>
      <c r="T35" s="705" t="s">
        <v>14</v>
      </c>
      <c r="U35" s="706">
        <f t="shared" si="13"/>
        <v>100</v>
      </c>
      <c r="V35" s="705" t="s">
        <v>14</v>
      </c>
      <c r="W35" s="706">
        <f t="shared" si="14"/>
        <v>100</v>
      </c>
      <c r="X35" s="1354"/>
      <c r="Y35" s="383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30"/>
      <c r="Q36" s="1351" t="str">
        <f t="shared" si="11"/>
        <v>公共部分装修</v>
      </c>
      <c r="R36" s="705" t="s">
        <v>14</v>
      </c>
      <c r="S36" s="706">
        <f t="shared" si="12"/>
        <v>100</v>
      </c>
      <c r="T36" s="705" t="s">
        <v>14</v>
      </c>
      <c r="U36" s="706">
        <f t="shared" si="13"/>
        <v>100</v>
      </c>
      <c r="V36" s="705" t="s">
        <v>14</v>
      </c>
      <c r="W36" s="706">
        <f t="shared" si="14"/>
        <v>100</v>
      </c>
      <c r="X36" s="1354"/>
      <c r="Y36" s="383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30"/>
      <c r="Q37" s="1351" t="str">
        <f t="shared" si="11"/>
        <v>成新度</v>
      </c>
      <c r="R37" s="705" t="s">
        <v>14</v>
      </c>
      <c r="S37" s="706" t="e">
        <f t="shared" si="12"/>
        <v>#N/A</v>
      </c>
      <c r="T37" s="705" t="s">
        <v>14</v>
      </c>
      <c r="U37" s="706" t="e">
        <f t="shared" si="13"/>
        <v>#N/A</v>
      </c>
      <c r="V37" s="705" t="s">
        <v>14</v>
      </c>
      <c r="W37" s="706" t="e">
        <f t="shared" si="14"/>
        <v>#N/A</v>
      </c>
      <c r="X37" s="1354"/>
      <c r="Y37" s="383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30"/>
      <c r="Q38" s="1342" t="str">
        <f t="shared" si="11"/>
        <v>写字楼等级</v>
      </c>
      <c r="R38" s="701" t="s">
        <v>14</v>
      </c>
      <c r="S38" s="702">
        <f t="shared" si="12"/>
        <v>100</v>
      </c>
      <c r="T38" s="701" t="s">
        <v>14</v>
      </c>
      <c r="U38" s="702">
        <f t="shared" si="13"/>
        <v>100</v>
      </c>
      <c r="V38" s="701" t="s">
        <v>14</v>
      </c>
      <c r="W38" s="702">
        <f t="shared" si="14"/>
        <v>100</v>
      </c>
      <c r="X38" s="703"/>
      <c r="Y38" s="383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30" t="s">
        <v>1696</v>
      </c>
      <c r="Q39" s="1351" t="str">
        <f t="shared" si="11"/>
        <v>物业管理</v>
      </c>
      <c r="R39" s="705" t="s">
        <v>14</v>
      </c>
      <c r="S39" s="706">
        <f t="shared" si="12"/>
        <v>100</v>
      </c>
      <c r="T39" s="705" t="s">
        <v>14</v>
      </c>
      <c r="U39" s="706">
        <f t="shared" si="13"/>
        <v>100</v>
      </c>
      <c r="V39" s="705" t="s">
        <v>14</v>
      </c>
      <c r="W39" s="706">
        <f t="shared" si="14"/>
        <v>100</v>
      </c>
      <c r="X39" s="1354"/>
      <c r="Y39" s="383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30"/>
      <c r="Q40" s="1351" t="str">
        <f t="shared" si="11"/>
        <v>市政基础设施</v>
      </c>
      <c r="R40" s="705" t="s">
        <v>14</v>
      </c>
      <c r="S40" s="706">
        <f t="shared" si="12"/>
        <v>100</v>
      </c>
      <c r="T40" s="705" t="s">
        <v>14</v>
      </c>
      <c r="U40" s="706">
        <f t="shared" si="13"/>
        <v>100</v>
      </c>
      <c r="V40" s="705" t="s">
        <v>14</v>
      </c>
      <c r="W40" s="706">
        <f t="shared" si="14"/>
        <v>100</v>
      </c>
      <c r="X40" s="1354"/>
      <c r="Y40" s="383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30"/>
      <c r="Q41" s="1351" t="str">
        <f t="shared" si="11"/>
        <v>层高</v>
      </c>
      <c r="R41" s="705" t="s">
        <v>14</v>
      </c>
      <c r="S41" s="706">
        <f t="shared" si="12"/>
        <v>100</v>
      </c>
      <c r="T41" s="705" t="s">
        <v>14</v>
      </c>
      <c r="U41" s="706">
        <f t="shared" si="13"/>
        <v>100</v>
      </c>
      <c r="V41" s="705" t="s">
        <v>14</v>
      </c>
      <c r="W41" s="706">
        <f t="shared" si="14"/>
        <v>100</v>
      </c>
      <c r="X41" s="1354"/>
      <c r="Y41" s="383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30"/>
      <c r="Q42" s="707" t="str">
        <f t="shared" si="11"/>
        <v>单套建筑面积</v>
      </c>
      <c r="R42" s="708" t="s">
        <v>14</v>
      </c>
      <c r="S42" s="709">
        <f t="shared" si="12"/>
        <v>100</v>
      </c>
      <c r="T42" s="708" t="s">
        <v>14</v>
      </c>
      <c r="U42" s="709">
        <f t="shared" si="13"/>
        <v>100</v>
      </c>
      <c r="V42" s="708" t="s">
        <v>14</v>
      </c>
      <c r="W42" s="709">
        <f t="shared" si="14"/>
        <v>100</v>
      </c>
      <c r="X42" s="710"/>
      <c r="Y42" s="383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30"/>
      <c r="Q43" s="1351" t="str">
        <f t="shared" si="11"/>
        <v>内部装修</v>
      </c>
      <c r="R43" s="705" t="s">
        <v>14</v>
      </c>
      <c r="S43" s="706">
        <f t="shared" si="12"/>
        <v>100</v>
      </c>
      <c r="T43" s="705" t="s">
        <v>14</v>
      </c>
      <c r="U43" s="706">
        <f t="shared" si="13"/>
        <v>100</v>
      </c>
      <c r="V43" s="705" t="s">
        <v>14</v>
      </c>
      <c r="W43" s="706">
        <f t="shared" si="14"/>
        <v>100</v>
      </c>
      <c r="X43" s="1354"/>
      <c r="Y43" s="383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830"/>
      <c r="Q44" s="1351" t="str">
        <f t="shared" si="11"/>
        <v>内部装修维护情况</v>
      </c>
      <c r="R44" s="705" t="s">
        <v>14</v>
      </c>
      <c r="S44" s="706">
        <f t="shared" si="12"/>
        <v>100</v>
      </c>
      <c r="T44" s="705" t="s">
        <v>14</v>
      </c>
      <c r="U44" s="706">
        <f t="shared" si="13"/>
        <v>100</v>
      </c>
      <c r="V44" s="705" t="s">
        <v>14</v>
      </c>
      <c r="W44" s="706">
        <f t="shared" si="14"/>
        <v>100</v>
      </c>
      <c r="X44" s="1354"/>
      <c r="Y44" s="383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30"/>
      <c r="Q45" s="1342">
        <f t="shared" si="11"/>
        <v>111</v>
      </c>
      <c r="R45" s="701" t="s">
        <v>14</v>
      </c>
      <c r="S45" s="702">
        <f t="shared" si="12"/>
        <v>100</v>
      </c>
      <c r="T45" s="701" t="s">
        <v>14</v>
      </c>
      <c r="U45" s="702">
        <f t="shared" si="13"/>
        <v>100</v>
      </c>
      <c r="V45" s="701" t="s">
        <v>14</v>
      </c>
      <c r="W45" s="702">
        <f t="shared" si="14"/>
        <v>100</v>
      </c>
      <c r="X45" s="703"/>
      <c r="Y45" s="3832"/>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30"/>
      <c r="Q46" s="1351">
        <f t="shared" si="11"/>
        <v>111</v>
      </c>
      <c r="R46" s="705" t="s">
        <v>14</v>
      </c>
      <c r="S46" s="706">
        <f t="shared" si="12"/>
        <v>100</v>
      </c>
      <c r="T46" s="705" t="s">
        <v>14</v>
      </c>
      <c r="U46" s="706">
        <f t="shared" si="13"/>
        <v>100</v>
      </c>
      <c r="V46" s="705" t="s">
        <v>14</v>
      </c>
      <c r="W46" s="706">
        <f t="shared" si="14"/>
        <v>100</v>
      </c>
      <c r="X46" s="1354"/>
      <c r="Y46" s="383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31"/>
      <c r="Q47" s="1351">
        <f t="shared" si="11"/>
        <v>111</v>
      </c>
      <c r="R47" s="705" t="s">
        <v>14</v>
      </c>
      <c r="S47" s="706">
        <f t="shared" si="12"/>
        <v>100</v>
      </c>
      <c r="T47" s="705" t="s">
        <v>14</v>
      </c>
      <c r="U47" s="706">
        <f t="shared" si="13"/>
        <v>100</v>
      </c>
      <c r="V47" s="705" t="s">
        <v>14</v>
      </c>
      <c r="W47" s="706">
        <f t="shared" si="14"/>
        <v>100</v>
      </c>
      <c r="X47" s="1354"/>
      <c r="Y47" s="383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836" t="str">
        <f>A48</f>
        <v>成交单价（元/平方米）</v>
      </c>
      <c r="Q48" s="3825"/>
      <c r="R48" s="3826">
        <f>E48</f>
        <v>0</v>
      </c>
      <c r="S48" s="3826"/>
      <c r="T48" s="3826">
        <f>G48</f>
        <v>0</v>
      </c>
      <c r="U48" s="3826"/>
      <c r="V48" s="3826">
        <f>I48</f>
        <v>0</v>
      </c>
      <c r="W48" s="3826"/>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836" t="str">
        <f>A49</f>
        <v>比较价值（元/平方米）</v>
      </c>
      <c r="Q49" s="3825"/>
      <c r="R49" s="3826" t="e">
        <f>IF(F1="售价",ROUND(PRODUCT(R48,AA7:AA47),0),ROUND(PRODUCT(R48,AA7:AA47),1))</f>
        <v>#DIV/0!</v>
      </c>
      <c r="S49" s="3826"/>
      <c r="T49" s="3826" t="e">
        <f>IF(F1="售价",ROUND(PRODUCT(T48,AB7:AB47),0),ROUND(PRODUCT(T48,AB7:AB47),1))</f>
        <v>#DIV/0!</v>
      </c>
      <c r="U49" s="3826"/>
      <c r="V49" s="3826" t="e">
        <f>IF(F1="售价",ROUND(PRODUCT(V48,AC7:AC47),0),ROUND(PRODUCT(V48,AC7:AC47),1))</f>
        <v>#DIV/0!</v>
      </c>
      <c r="W49" s="3826"/>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868" t="str">
        <f>A50</f>
        <v>估价对象XX用房的比较价值（楼面单价，元/平方米）</v>
      </c>
      <c r="Q50" s="3869"/>
      <c r="R50" s="3870" t="e">
        <f>IF(F1="售价",ROUND(IF(D49="简单平均",AVERAGE(R49:V49),R49*F49+T49*H49+V49*J49),0),ROUND(IF(D49="简单平均",AVERAGE(R49:V49),R49*F49+T49*H49+V49*J49),1))</f>
        <v>#DIV/0!</v>
      </c>
      <c r="S50" s="3870"/>
      <c r="T50" s="3870"/>
      <c r="U50" s="3870"/>
      <c r="V50" s="3870"/>
      <c r="W50" s="387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70468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40" t="s">
        <v>1770</v>
      </c>
      <c r="D4" s="3841"/>
      <c r="E4" s="3842" t="s">
        <v>1771</v>
      </c>
      <c r="F4" s="3843"/>
      <c r="G4" s="3840" t="s">
        <v>1772</v>
      </c>
      <c r="H4" s="3841"/>
      <c r="I4" s="3840" t="s">
        <v>1773</v>
      </c>
      <c r="J4" s="3841"/>
      <c r="K4" s="559" t="s">
        <v>1774</v>
      </c>
      <c r="L4" s="913"/>
      <c r="M4" s="914"/>
      <c r="N4" s="914"/>
      <c r="O4" s="914"/>
      <c r="P4" s="3844" t="s">
        <v>1775</v>
      </c>
      <c r="Q4" s="3845"/>
      <c r="R4" s="3850" t="s">
        <v>1771</v>
      </c>
      <c r="S4" s="3851"/>
      <c r="T4" s="3850" t="s">
        <v>1772</v>
      </c>
      <c r="U4" s="3851"/>
      <c r="V4" s="3856" t="s">
        <v>1773</v>
      </c>
      <c r="W4" s="3856"/>
      <c r="X4" s="1354"/>
      <c r="Y4" s="3850" t="s">
        <v>1775</v>
      </c>
      <c r="Z4" s="3851"/>
      <c r="AA4" s="3837" t="s">
        <v>1771</v>
      </c>
      <c r="AB4" s="3838" t="s">
        <v>1772</v>
      </c>
      <c r="AC4" s="3837" t="s">
        <v>1773</v>
      </c>
    </row>
    <row r="5" spans="1:29" ht="15">
      <c r="A5" s="358"/>
      <c r="B5" s="359"/>
      <c r="C5" s="3859" t="s">
        <v>1673</v>
      </c>
      <c r="D5" s="3860"/>
      <c r="E5" s="3866" t="s">
        <v>1674</v>
      </c>
      <c r="F5" s="3867"/>
      <c r="G5" s="3859" t="s">
        <v>1675</v>
      </c>
      <c r="H5" s="3860"/>
      <c r="I5" s="3859" t="s">
        <v>1676</v>
      </c>
      <c r="J5" s="3860"/>
      <c r="K5" s="559"/>
      <c r="L5" s="913"/>
      <c r="M5" s="914"/>
      <c r="N5" s="914"/>
      <c r="O5" s="914"/>
      <c r="P5" s="3846"/>
      <c r="Q5" s="3847"/>
      <c r="R5" s="3852"/>
      <c r="S5" s="3853"/>
      <c r="T5" s="3852"/>
      <c r="U5" s="3853"/>
      <c r="V5" s="3856"/>
      <c r="W5" s="3856"/>
      <c r="X5" s="1354"/>
      <c r="Y5" s="3852"/>
      <c r="Z5" s="3853"/>
      <c r="AA5" s="3838"/>
      <c r="AB5" s="3838"/>
      <c r="AC5" s="3838"/>
    </row>
    <row r="6" spans="1:29" ht="15.75" thickBot="1">
      <c r="A6" s="360"/>
      <c r="B6" s="361"/>
      <c r="C6" s="3857" t="s">
        <v>1677</v>
      </c>
      <c r="D6" s="3858"/>
      <c r="E6" s="3864" t="s">
        <v>1677</v>
      </c>
      <c r="F6" s="3865"/>
      <c r="G6" s="3857" t="s">
        <v>1677</v>
      </c>
      <c r="H6" s="3858"/>
      <c r="I6" s="3857" t="s">
        <v>1677</v>
      </c>
      <c r="J6" s="3858"/>
      <c r="K6" s="559" t="s">
        <v>1678</v>
      </c>
      <c r="L6" s="913"/>
      <c r="M6" s="914"/>
      <c r="N6" s="914"/>
      <c r="O6" s="914"/>
      <c r="P6" s="3848"/>
      <c r="Q6" s="3849"/>
      <c r="R6" s="3852"/>
      <c r="S6" s="3853"/>
      <c r="T6" s="3854"/>
      <c r="U6" s="3855"/>
      <c r="V6" s="3856"/>
      <c r="W6" s="3856"/>
      <c r="X6" s="1354"/>
      <c r="Y6" s="3854"/>
      <c r="Z6" s="3855"/>
      <c r="AA6" s="3839"/>
      <c r="AB6" s="3839"/>
      <c r="AC6" s="3839"/>
    </row>
    <row r="7" spans="1:29" s="108" customFormat="1" ht="15.7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861" t="s">
        <v>1680</v>
      </c>
      <c r="Q7" s="3863"/>
      <c r="R7" s="701" t="s">
        <v>14</v>
      </c>
      <c r="S7" s="702">
        <f t="shared" ref="S7:S15" si="0">F7</f>
        <v>0</v>
      </c>
      <c r="T7" s="701" t="s">
        <v>14</v>
      </c>
      <c r="U7" s="702">
        <f t="shared" ref="U7:U15" si="1">H7</f>
        <v>0</v>
      </c>
      <c r="V7" s="701" t="s">
        <v>14</v>
      </c>
      <c r="W7" s="702">
        <f t="shared" ref="W7:W15" si="2">J7</f>
        <v>0</v>
      </c>
      <c r="X7" s="703"/>
      <c r="Y7" s="3861" t="s">
        <v>1680</v>
      </c>
      <c r="Z7" s="38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1" t="s">
        <v>1683</v>
      </c>
      <c r="Q8" s="3862"/>
      <c r="R8" s="701" t="s">
        <v>14</v>
      </c>
      <c r="S8" s="702">
        <f t="shared" si="0"/>
        <v>100</v>
      </c>
      <c r="T8" s="701" t="s">
        <v>14</v>
      </c>
      <c r="U8" s="702">
        <f t="shared" si="1"/>
        <v>100</v>
      </c>
      <c r="V8" s="701" t="s">
        <v>14</v>
      </c>
      <c r="W8" s="702">
        <f t="shared" si="2"/>
        <v>100</v>
      </c>
      <c r="X8" s="703"/>
      <c r="Y8" s="3861" t="s">
        <v>1683</v>
      </c>
      <c r="Z8" s="38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5" t="s">
        <v>1686</v>
      </c>
      <c r="Q9" s="1342" t="str">
        <f t="shared" ref="Q9:Q15" si="6">B9</f>
        <v>用途</v>
      </c>
      <c r="R9" s="701" t="s">
        <v>14</v>
      </c>
      <c r="S9" s="702">
        <f t="shared" si="0"/>
        <v>100</v>
      </c>
      <c r="T9" s="701" t="s">
        <v>14</v>
      </c>
      <c r="U9" s="702">
        <f t="shared" si="1"/>
        <v>100</v>
      </c>
      <c r="V9" s="701" t="s">
        <v>14</v>
      </c>
      <c r="W9" s="702">
        <f t="shared" si="2"/>
        <v>100</v>
      </c>
      <c r="X9" s="703"/>
      <c r="Y9" s="368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25"/>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5"/>
      <c r="Q11" s="1342" t="str">
        <f t="shared" si="6"/>
        <v>容积率</v>
      </c>
      <c r="R11" s="701" t="s">
        <v>14</v>
      </c>
      <c r="S11" s="702">
        <f t="shared" si="0"/>
        <v>100</v>
      </c>
      <c r="T11" s="701" t="s">
        <v>14</v>
      </c>
      <c r="U11" s="702">
        <f t="shared" si="1"/>
        <v>100</v>
      </c>
      <c r="V11" s="701" t="s">
        <v>14</v>
      </c>
      <c r="W11" s="702">
        <f t="shared" si="2"/>
        <v>100</v>
      </c>
      <c r="X11" s="703"/>
      <c r="Y11" s="368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5"/>
      <c r="Q12" s="1342">
        <f t="shared" si="6"/>
        <v>111</v>
      </c>
      <c r="R12" s="701" t="s">
        <v>14</v>
      </c>
      <c r="S12" s="702">
        <f t="shared" si="0"/>
        <v>100</v>
      </c>
      <c r="T12" s="701" t="s">
        <v>14</v>
      </c>
      <c r="U12" s="702">
        <f t="shared" si="1"/>
        <v>100</v>
      </c>
      <c r="V12" s="701" t="s">
        <v>14</v>
      </c>
      <c r="W12" s="702">
        <f t="shared" si="2"/>
        <v>100</v>
      </c>
      <c r="X12" s="703"/>
      <c r="Y12" s="368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5"/>
      <c r="Q13" s="1342">
        <f t="shared" si="6"/>
        <v>111</v>
      </c>
      <c r="R13" s="701" t="s">
        <v>14</v>
      </c>
      <c r="S13" s="702">
        <f t="shared" si="0"/>
        <v>100</v>
      </c>
      <c r="T13" s="701" t="s">
        <v>14</v>
      </c>
      <c r="U13" s="702">
        <f t="shared" si="1"/>
        <v>100</v>
      </c>
      <c r="V13" s="701" t="s">
        <v>14</v>
      </c>
      <c r="W13" s="702">
        <f t="shared" si="2"/>
        <v>100</v>
      </c>
      <c r="X13" s="703"/>
      <c r="Y13" s="368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5"/>
      <c r="Q14" s="1342">
        <f t="shared" si="6"/>
        <v>111</v>
      </c>
      <c r="R14" s="701" t="s">
        <v>14</v>
      </c>
      <c r="S14" s="702">
        <f t="shared" si="0"/>
        <v>100</v>
      </c>
      <c r="T14" s="701" t="s">
        <v>14</v>
      </c>
      <c r="U14" s="702">
        <f t="shared" si="1"/>
        <v>100</v>
      </c>
      <c r="V14" s="701" t="s">
        <v>14</v>
      </c>
      <c r="W14" s="702">
        <f t="shared" si="2"/>
        <v>100</v>
      </c>
      <c r="X14" s="703"/>
      <c r="Y14" s="368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7" t="s">
        <v>1691</v>
      </c>
      <c r="Q15" s="1351" t="str">
        <f t="shared" si="6"/>
        <v>产业集聚程度</v>
      </c>
      <c r="R15" s="705" t="s">
        <v>14</v>
      </c>
      <c r="S15" s="706">
        <f t="shared" si="0"/>
        <v>100</v>
      </c>
      <c r="T15" s="705" t="s">
        <v>14</v>
      </c>
      <c r="U15" s="706">
        <f t="shared" si="1"/>
        <v>100</v>
      </c>
      <c r="V15" s="705" t="s">
        <v>14</v>
      </c>
      <c r="W15" s="706">
        <f t="shared" si="2"/>
        <v>100</v>
      </c>
      <c r="X15" s="1354"/>
      <c r="Y15" s="382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828"/>
      <c r="Q16" s="1351"/>
      <c r="R16" s="705"/>
      <c r="S16" s="706"/>
      <c r="T16" s="705"/>
      <c r="U16" s="706"/>
      <c r="V16" s="705"/>
      <c r="W16" s="706"/>
      <c r="X16" s="1354"/>
      <c r="Y16" s="382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8"/>
      <c r="Q17" s="1351" t="str">
        <f>B17</f>
        <v>交通便捷度</v>
      </c>
      <c r="R17" s="705" t="s">
        <v>14</v>
      </c>
      <c r="S17" s="706">
        <f>F17</f>
        <v>100</v>
      </c>
      <c r="T17" s="705" t="s">
        <v>14</v>
      </c>
      <c r="U17" s="706">
        <f>H17</f>
        <v>100</v>
      </c>
      <c r="V17" s="705" t="s">
        <v>14</v>
      </c>
      <c r="W17" s="706">
        <f>J17</f>
        <v>100</v>
      </c>
      <c r="X17" s="1354"/>
      <c r="Y17" s="382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828"/>
      <c r="Q18" s="1351"/>
      <c r="R18" s="705"/>
      <c r="S18" s="706"/>
      <c r="T18" s="705"/>
      <c r="U18" s="706"/>
      <c r="V18" s="705"/>
      <c r="W18" s="706"/>
      <c r="X18" s="1354"/>
      <c r="Y18" s="382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8"/>
      <c r="Q19" s="1351" t="str">
        <f>B19</f>
        <v>公共配套设施</v>
      </c>
      <c r="R19" s="705" t="s">
        <v>14</v>
      </c>
      <c r="S19" s="706">
        <f>F19</f>
        <v>100</v>
      </c>
      <c r="T19" s="705" t="s">
        <v>14</v>
      </c>
      <c r="U19" s="706">
        <f>H19</f>
        <v>100</v>
      </c>
      <c r="V19" s="705" t="s">
        <v>14</v>
      </c>
      <c r="W19" s="706">
        <f>J19</f>
        <v>100</v>
      </c>
      <c r="X19" s="1354"/>
      <c r="Y19" s="382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828"/>
      <c r="Q20" s="1351"/>
      <c r="R20" s="705"/>
      <c r="S20" s="706"/>
      <c r="T20" s="705"/>
      <c r="U20" s="706"/>
      <c r="V20" s="705"/>
      <c r="W20" s="706"/>
      <c r="X20" s="1354"/>
      <c r="Y20" s="382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8"/>
      <c r="Q21" s="1351" t="str">
        <f>B21</f>
        <v>基础设施水平</v>
      </c>
      <c r="R21" s="705" t="s">
        <v>14</v>
      </c>
      <c r="S21" s="706">
        <f>F21</f>
        <v>100</v>
      </c>
      <c r="T21" s="705" t="s">
        <v>14</v>
      </c>
      <c r="U21" s="706">
        <f>H21</f>
        <v>100</v>
      </c>
      <c r="V21" s="705" t="s">
        <v>14</v>
      </c>
      <c r="W21" s="706">
        <f>J21</f>
        <v>100</v>
      </c>
      <c r="X21" s="1354"/>
      <c r="Y21" s="382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828"/>
      <c r="Q22" s="1351"/>
      <c r="R22" s="705"/>
      <c r="S22" s="706"/>
      <c r="T22" s="705"/>
      <c r="U22" s="706"/>
      <c r="V22" s="705"/>
      <c r="W22" s="706"/>
      <c r="X22" s="1354"/>
      <c r="Y22" s="382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8"/>
      <c r="Q23" s="1351" t="str">
        <f>B23</f>
        <v>环境质量</v>
      </c>
      <c r="R23" s="705" t="s">
        <v>14</v>
      </c>
      <c r="S23" s="706">
        <f>F23</f>
        <v>100</v>
      </c>
      <c r="T23" s="705" t="s">
        <v>14</v>
      </c>
      <c r="U23" s="706">
        <f>H23</f>
        <v>100</v>
      </c>
      <c r="V23" s="705" t="s">
        <v>14</v>
      </c>
      <c r="W23" s="706">
        <f>J23</f>
        <v>100</v>
      </c>
      <c r="X23" s="1354"/>
      <c r="Y23" s="382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828"/>
      <c r="Q24" s="1351"/>
      <c r="R24" s="705"/>
      <c r="S24" s="706"/>
      <c r="T24" s="705"/>
      <c r="U24" s="706"/>
      <c r="V24" s="705"/>
      <c r="W24" s="706"/>
      <c r="X24" s="1354"/>
      <c r="Y24" s="382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8"/>
      <c r="Q25" s="1351">
        <f>B25</f>
        <v>111</v>
      </c>
      <c r="R25" s="705" t="s">
        <v>14</v>
      </c>
      <c r="S25" s="706">
        <f>F25</f>
        <v>100</v>
      </c>
      <c r="T25" s="705" t="s">
        <v>14</v>
      </c>
      <c r="U25" s="706">
        <f>H25</f>
        <v>100</v>
      </c>
      <c r="V25" s="705" t="s">
        <v>14</v>
      </c>
      <c r="W25" s="706">
        <f>J25</f>
        <v>100</v>
      </c>
      <c r="X25" s="1354"/>
      <c r="Y25" s="382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8"/>
      <c r="Q26" s="1351">
        <f t="shared" ref="Q26:Q40" si="11">B26</f>
        <v>111</v>
      </c>
      <c r="R26" s="705" t="s">
        <v>14</v>
      </c>
      <c r="S26" s="706">
        <f>F26</f>
        <v>100</v>
      </c>
      <c r="T26" s="705" t="s">
        <v>14</v>
      </c>
      <c r="U26" s="706">
        <f>H26</f>
        <v>100</v>
      </c>
      <c r="V26" s="705" t="s">
        <v>14</v>
      </c>
      <c r="W26" s="706">
        <f>J26</f>
        <v>100</v>
      </c>
      <c r="X26" s="1354"/>
      <c r="Y26" s="382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8"/>
      <c r="Q27" s="1342">
        <f t="shared" si="11"/>
        <v>111</v>
      </c>
      <c r="R27" s="701" t="s">
        <v>14</v>
      </c>
      <c r="S27" s="702">
        <f>F27</f>
        <v>100</v>
      </c>
      <c r="T27" s="701" t="s">
        <v>14</v>
      </c>
      <c r="U27" s="702">
        <f>H27</f>
        <v>100</v>
      </c>
      <c r="V27" s="701" t="s">
        <v>14</v>
      </c>
      <c r="W27" s="702">
        <f>J27</f>
        <v>100</v>
      </c>
      <c r="X27" s="703"/>
      <c r="Y27" s="382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8"/>
      <c r="Q28" s="1351">
        <f t="shared" si="11"/>
        <v>111</v>
      </c>
      <c r="R28" s="705" t="s">
        <v>14</v>
      </c>
      <c r="S28" s="706">
        <f t="shared" ref="S28:S40" si="12">F28</f>
        <v>100</v>
      </c>
      <c r="T28" s="705" t="s">
        <v>14</v>
      </c>
      <c r="U28" s="706">
        <f t="shared" ref="U28:U40" si="13">H28</f>
        <v>100</v>
      </c>
      <c r="V28" s="705" t="s">
        <v>14</v>
      </c>
      <c r="W28" s="706">
        <f t="shared" ref="W28:W40" si="14">J28</f>
        <v>100</v>
      </c>
      <c r="X28" s="1354"/>
      <c r="Y28" s="382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3" t="s">
        <v>1696</v>
      </c>
      <c r="Q29" s="1351" t="str">
        <f t="shared" si="11"/>
        <v>建筑类型</v>
      </c>
      <c r="R29" s="705" t="s">
        <v>14</v>
      </c>
      <c r="S29" s="706">
        <f t="shared" si="12"/>
        <v>100</v>
      </c>
      <c r="T29" s="705" t="s">
        <v>14</v>
      </c>
      <c r="U29" s="706">
        <f t="shared" si="13"/>
        <v>100</v>
      </c>
      <c r="V29" s="705" t="s">
        <v>14</v>
      </c>
      <c r="W29" s="706">
        <f t="shared" si="14"/>
        <v>100</v>
      </c>
      <c r="X29" s="1354"/>
      <c r="Y29" s="383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2"/>
      <c r="Q30" s="707" t="str">
        <f t="shared" si="11"/>
        <v>项目建筑规模</v>
      </c>
      <c r="R30" s="708" t="s">
        <v>14</v>
      </c>
      <c r="S30" s="709" t="e">
        <f t="shared" si="12"/>
        <v>#N/A</v>
      </c>
      <c r="T30" s="708" t="s">
        <v>14</v>
      </c>
      <c r="U30" s="709" t="e">
        <f t="shared" si="13"/>
        <v>#N/A</v>
      </c>
      <c r="V30" s="708" t="s">
        <v>14</v>
      </c>
      <c r="W30" s="709" t="e">
        <f t="shared" si="14"/>
        <v>#N/A</v>
      </c>
      <c r="X30" s="710"/>
      <c r="Y30" s="383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2"/>
      <c r="Q31" s="1351" t="str">
        <f t="shared" si="11"/>
        <v>建筑结构</v>
      </c>
      <c r="R31" s="705" t="s">
        <v>14</v>
      </c>
      <c r="S31" s="706">
        <f t="shared" si="12"/>
        <v>100</v>
      </c>
      <c r="T31" s="705" t="s">
        <v>14</v>
      </c>
      <c r="U31" s="706">
        <f t="shared" si="13"/>
        <v>100</v>
      </c>
      <c r="V31" s="705" t="s">
        <v>14</v>
      </c>
      <c r="W31" s="706">
        <f t="shared" si="14"/>
        <v>100</v>
      </c>
      <c r="X31" s="1354"/>
      <c r="Y31" s="383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2"/>
      <c r="Q32" s="1351" t="str">
        <f t="shared" si="11"/>
        <v>公共部分装修</v>
      </c>
      <c r="R32" s="705" t="s">
        <v>14</v>
      </c>
      <c r="S32" s="706">
        <f t="shared" si="12"/>
        <v>100</v>
      </c>
      <c r="T32" s="705" t="s">
        <v>14</v>
      </c>
      <c r="U32" s="706">
        <f t="shared" si="13"/>
        <v>100</v>
      </c>
      <c r="V32" s="705" t="s">
        <v>14</v>
      </c>
      <c r="W32" s="706">
        <f t="shared" si="14"/>
        <v>100</v>
      </c>
      <c r="X32" s="1354"/>
      <c r="Y32" s="383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2"/>
      <c r="Q33" s="1351" t="str">
        <f t="shared" si="11"/>
        <v>成新度</v>
      </c>
      <c r="R33" s="705" t="s">
        <v>14</v>
      </c>
      <c r="S33" s="706" t="e">
        <f t="shared" si="12"/>
        <v>#N/A</v>
      </c>
      <c r="T33" s="705" t="s">
        <v>14</v>
      </c>
      <c r="U33" s="706" t="e">
        <f t="shared" si="13"/>
        <v>#N/A</v>
      </c>
      <c r="V33" s="705" t="s">
        <v>14</v>
      </c>
      <c r="W33" s="706" t="e">
        <f t="shared" si="14"/>
        <v>#N/A</v>
      </c>
      <c r="X33" s="1354"/>
      <c r="Y33" s="383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2"/>
      <c r="Q34" s="1342" t="str">
        <f t="shared" si="11"/>
        <v>物业管理</v>
      </c>
      <c r="R34" s="701" t="s">
        <v>14</v>
      </c>
      <c r="S34" s="702">
        <f t="shared" si="12"/>
        <v>100</v>
      </c>
      <c r="T34" s="701" t="s">
        <v>14</v>
      </c>
      <c r="U34" s="702">
        <f t="shared" si="13"/>
        <v>100</v>
      </c>
      <c r="V34" s="701" t="s">
        <v>14</v>
      </c>
      <c r="W34" s="702">
        <f t="shared" si="14"/>
        <v>100</v>
      </c>
      <c r="X34" s="703"/>
      <c r="Y34" s="38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2" t="s">
        <v>1696</v>
      </c>
      <c r="Q35" s="1351" t="str">
        <f t="shared" si="11"/>
        <v>市政基础设施</v>
      </c>
      <c r="R35" s="705" t="s">
        <v>14</v>
      </c>
      <c r="S35" s="706">
        <f t="shared" si="12"/>
        <v>100</v>
      </c>
      <c r="T35" s="705" t="s">
        <v>14</v>
      </c>
      <c r="U35" s="706">
        <f t="shared" si="13"/>
        <v>100</v>
      </c>
      <c r="V35" s="705" t="s">
        <v>14</v>
      </c>
      <c r="W35" s="706">
        <f t="shared" si="14"/>
        <v>100</v>
      </c>
      <c r="X35" s="1354"/>
      <c r="Y35" s="383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2"/>
      <c r="Q36" s="1351" t="str">
        <f t="shared" si="11"/>
        <v>内部装修</v>
      </c>
      <c r="R36" s="705" t="s">
        <v>14</v>
      </c>
      <c r="S36" s="706">
        <f t="shared" si="12"/>
        <v>100</v>
      </c>
      <c r="T36" s="705" t="s">
        <v>14</v>
      </c>
      <c r="U36" s="706">
        <f t="shared" si="13"/>
        <v>100</v>
      </c>
      <c r="V36" s="705" t="s">
        <v>14</v>
      </c>
      <c r="W36" s="706">
        <f t="shared" si="14"/>
        <v>100</v>
      </c>
      <c r="X36" s="1354"/>
      <c r="Y36" s="383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2"/>
      <c r="Q37" s="1351" t="str">
        <f t="shared" si="11"/>
        <v>内部装修状况</v>
      </c>
      <c r="R37" s="705" t="s">
        <v>14</v>
      </c>
      <c r="S37" s="706">
        <f t="shared" si="12"/>
        <v>100</v>
      </c>
      <c r="T37" s="705" t="s">
        <v>14</v>
      </c>
      <c r="U37" s="706">
        <f t="shared" si="13"/>
        <v>100</v>
      </c>
      <c r="V37" s="705" t="s">
        <v>14</v>
      </c>
      <c r="W37" s="706">
        <f t="shared" si="14"/>
        <v>100</v>
      </c>
      <c r="X37" s="1354"/>
      <c r="Y37" s="383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2"/>
      <c r="Q38" s="707">
        <f t="shared" si="11"/>
        <v>111</v>
      </c>
      <c r="R38" s="708" t="s">
        <v>14</v>
      </c>
      <c r="S38" s="709">
        <f t="shared" si="12"/>
        <v>100</v>
      </c>
      <c r="T38" s="708" t="s">
        <v>14</v>
      </c>
      <c r="U38" s="709">
        <f t="shared" si="13"/>
        <v>100</v>
      </c>
      <c r="V38" s="708" t="s">
        <v>14</v>
      </c>
      <c r="W38" s="709">
        <f t="shared" si="14"/>
        <v>100</v>
      </c>
      <c r="X38" s="710"/>
      <c r="Y38" s="3832"/>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2"/>
      <c r="Q39" s="1351">
        <f t="shared" si="11"/>
        <v>111</v>
      </c>
      <c r="R39" s="705" t="s">
        <v>14</v>
      </c>
      <c r="S39" s="706">
        <f t="shared" si="12"/>
        <v>100</v>
      </c>
      <c r="T39" s="705" t="s">
        <v>14</v>
      </c>
      <c r="U39" s="706">
        <f t="shared" si="13"/>
        <v>100</v>
      </c>
      <c r="V39" s="705" t="s">
        <v>14</v>
      </c>
      <c r="W39" s="706">
        <f t="shared" si="14"/>
        <v>100</v>
      </c>
      <c r="X39" s="1354"/>
      <c r="Y39" s="383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3"/>
      <c r="Q40" s="1351">
        <f t="shared" si="11"/>
        <v>111</v>
      </c>
      <c r="R40" s="705" t="s">
        <v>14</v>
      </c>
      <c r="S40" s="706">
        <f t="shared" si="12"/>
        <v>100</v>
      </c>
      <c r="T40" s="705" t="s">
        <v>14</v>
      </c>
      <c r="U40" s="706">
        <f t="shared" si="13"/>
        <v>100</v>
      </c>
      <c r="V40" s="705" t="s">
        <v>14</v>
      </c>
      <c r="W40" s="706">
        <f t="shared" si="14"/>
        <v>100</v>
      </c>
      <c r="X40" s="1354"/>
      <c r="Y40" s="383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825" t="str">
        <f>A41</f>
        <v>成交单价（元/平方米）</v>
      </c>
      <c r="Q41" s="3825"/>
      <c r="R41" s="3826">
        <f>E41</f>
        <v>0</v>
      </c>
      <c r="S41" s="3826"/>
      <c r="T41" s="3826">
        <f>G41</f>
        <v>0</v>
      </c>
      <c r="U41" s="3826"/>
      <c r="V41" s="3826">
        <f>I41</f>
        <v>0</v>
      </c>
      <c r="W41" s="3826"/>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825" t="str">
        <f>A42</f>
        <v>比较价值（元/平方米）</v>
      </c>
      <c r="Q42" s="3825"/>
      <c r="R42" s="3826" t="e">
        <f>IF(F1="售价",ROUND(PRODUCT(R41,AA7:AA40),0),ROUND(PRODUCT(R41,AA7:AA40),1))</f>
        <v>#DIV/0!</v>
      </c>
      <c r="S42" s="3826"/>
      <c r="T42" s="3826" t="e">
        <f>IF(F1="售价",ROUND(PRODUCT(T41,AB7:AB40),0),ROUND(PRODUCT(T41,AB7:AB40),1))</f>
        <v>#DIV/0!</v>
      </c>
      <c r="U42" s="3826"/>
      <c r="V42" s="3826" t="e">
        <f>IF(F1="售价",ROUND(PRODUCT(V41,AC7:AC40),0),ROUND(PRODUCT(V41,AC7:AC40),1))</f>
        <v>#DIV/0!</v>
      </c>
      <c r="W42" s="3826"/>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822" t="str">
        <f>A43</f>
        <v>估价对象XX用房的比较价值（楼面单价，元/平方米）</v>
      </c>
      <c r="Q43" s="3823"/>
      <c r="R43" s="3824" t="e">
        <f>IF(F1="售价",ROUND(IF(D42="简单平均",AVERAGE(R42:V42),R42*F42+T42*H42+V42*J42),0),ROUND(IF(D42="简单平均",AVERAGE(R42:V42),R42*F42+T42*H42+V42*J42),1))</f>
        <v>#DIV/0!</v>
      </c>
      <c r="S43" s="3824"/>
      <c r="T43" s="3824"/>
      <c r="U43" s="3824"/>
      <c r="V43" s="3824"/>
      <c r="W43" s="382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840" t="s">
        <v>1770</v>
      </c>
      <c r="D4" s="3841"/>
      <c r="E4" s="3842" t="s">
        <v>1771</v>
      </c>
      <c r="F4" s="3843"/>
      <c r="G4" s="3840" t="s">
        <v>1772</v>
      </c>
      <c r="H4" s="3841"/>
      <c r="I4" s="3840" t="s">
        <v>1773</v>
      </c>
      <c r="J4" s="3841"/>
      <c r="K4" s="559" t="s">
        <v>1774</v>
      </c>
      <c r="L4" s="2714"/>
      <c r="M4" s="2715"/>
      <c r="N4" s="2715"/>
      <c r="O4" s="2715"/>
      <c r="P4" s="3844" t="s">
        <v>1775</v>
      </c>
      <c r="Q4" s="3845"/>
      <c r="R4" s="3850" t="s">
        <v>1771</v>
      </c>
      <c r="S4" s="3851"/>
      <c r="T4" s="3850" t="s">
        <v>1772</v>
      </c>
      <c r="U4" s="3851"/>
      <c r="V4" s="3856" t="s">
        <v>1773</v>
      </c>
      <c r="W4" s="3856"/>
      <c r="X4" s="1354"/>
      <c r="Y4" s="3850" t="s">
        <v>1775</v>
      </c>
      <c r="Z4" s="3851"/>
      <c r="AA4" s="3837" t="s">
        <v>1771</v>
      </c>
      <c r="AB4" s="3838" t="s">
        <v>1772</v>
      </c>
      <c r="AC4" s="3837" t="s">
        <v>1773</v>
      </c>
    </row>
    <row r="5" spans="1:29" ht="15">
      <c r="A5" s="358"/>
      <c r="B5" s="359"/>
      <c r="C5" s="3859" t="s">
        <v>1673</v>
      </c>
      <c r="D5" s="3860"/>
      <c r="E5" s="3866" t="s">
        <v>1674</v>
      </c>
      <c r="F5" s="3867"/>
      <c r="G5" s="3859" t="s">
        <v>1675</v>
      </c>
      <c r="H5" s="3860"/>
      <c r="I5" s="3859" t="s">
        <v>1676</v>
      </c>
      <c r="J5" s="3860"/>
      <c r="K5" s="559"/>
      <c r="L5" s="2714"/>
      <c r="M5" s="2715"/>
      <c r="N5" s="2715"/>
      <c r="O5" s="2715"/>
      <c r="P5" s="3846"/>
      <c r="Q5" s="3847"/>
      <c r="R5" s="3852"/>
      <c r="S5" s="3853"/>
      <c r="T5" s="3852"/>
      <c r="U5" s="3853"/>
      <c r="V5" s="3856"/>
      <c r="W5" s="3856"/>
      <c r="X5" s="1354"/>
      <c r="Y5" s="3852"/>
      <c r="Z5" s="3853"/>
      <c r="AA5" s="3838"/>
      <c r="AB5" s="3838"/>
      <c r="AC5" s="3838"/>
    </row>
    <row r="6" spans="1:29" ht="15.75" thickBot="1">
      <c r="A6" s="360"/>
      <c r="B6" s="361"/>
      <c r="C6" s="3857" t="s">
        <v>1677</v>
      </c>
      <c r="D6" s="3858"/>
      <c r="E6" s="3864" t="s">
        <v>1677</v>
      </c>
      <c r="F6" s="3865"/>
      <c r="G6" s="3857" t="s">
        <v>1677</v>
      </c>
      <c r="H6" s="3858"/>
      <c r="I6" s="3857" t="s">
        <v>1677</v>
      </c>
      <c r="J6" s="3858"/>
      <c r="K6" s="559" t="s">
        <v>1678</v>
      </c>
      <c r="L6" s="2714"/>
      <c r="M6" s="2715"/>
      <c r="N6" s="2715"/>
      <c r="O6" s="2715"/>
      <c r="P6" s="3848"/>
      <c r="Q6" s="3849"/>
      <c r="R6" s="3852"/>
      <c r="S6" s="3853"/>
      <c r="T6" s="3854"/>
      <c r="U6" s="3855"/>
      <c r="V6" s="3856"/>
      <c r="W6" s="3856"/>
      <c r="X6" s="1354"/>
      <c r="Y6" s="3854"/>
      <c r="Z6" s="3855"/>
      <c r="AA6" s="3839"/>
      <c r="AB6" s="3839"/>
      <c r="AC6" s="3839"/>
    </row>
    <row r="7" spans="1:29" s="108" customFormat="1" ht="15.7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61" t="s">
        <v>1680</v>
      </c>
      <c r="Q7" s="3863"/>
      <c r="R7" s="701" t="s">
        <v>14</v>
      </c>
      <c r="S7" s="702">
        <f t="shared" ref="S7:S14" si="0">F7</f>
        <v>0</v>
      </c>
      <c r="T7" s="701" t="s">
        <v>14</v>
      </c>
      <c r="U7" s="702">
        <f t="shared" ref="U7:U14" si="1">H7</f>
        <v>0</v>
      </c>
      <c r="V7" s="701" t="s">
        <v>14</v>
      </c>
      <c r="W7" s="702">
        <f t="shared" ref="W7:W14" si="2">J7</f>
        <v>0</v>
      </c>
      <c r="X7" s="703"/>
      <c r="Y7" s="3861" t="s">
        <v>1680</v>
      </c>
      <c r="Z7" s="38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61" t="s">
        <v>1683</v>
      </c>
      <c r="Q8" s="3862"/>
      <c r="R8" s="701" t="s">
        <v>14</v>
      </c>
      <c r="S8" s="702">
        <f t="shared" si="0"/>
        <v>100</v>
      </c>
      <c r="T8" s="701" t="s">
        <v>14</v>
      </c>
      <c r="U8" s="702">
        <f t="shared" si="1"/>
        <v>100</v>
      </c>
      <c r="V8" s="701" t="s">
        <v>14</v>
      </c>
      <c r="W8" s="702">
        <f t="shared" si="2"/>
        <v>100</v>
      </c>
      <c r="X8" s="703"/>
      <c r="Y8" s="3861" t="s">
        <v>1683</v>
      </c>
      <c r="Z8" s="38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25" t="s">
        <v>1686</v>
      </c>
      <c r="Q9" s="1342" t="str">
        <f t="shared" ref="Q9:Q14" si="6">B9</f>
        <v>用途</v>
      </c>
      <c r="R9" s="701" t="s">
        <v>14</v>
      </c>
      <c r="S9" s="702">
        <f t="shared" si="0"/>
        <v>100</v>
      </c>
      <c r="T9" s="701" t="s">
        <v>14</v>
      </c>
      <c r="U9" s="702">
        <f t="shared" si="1"/>
        <v>100</v>
      </c>
      <c r="V9" s="701" t="s">
        <v>14</v>
      </c>
      <c r="W9" s="702">
        <f t="shared" si="2"/>
        <v>100</v>
      </c>
      <c r="X9" s="703"/>
      <c r="Y9" s="368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25"/>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25"/>
      <c r="Q11" s="1342">
        <f t="shared" si="6"/>
        <v>111</v>
      </c>
      <c r="R11" s="701" t="s">
        <v>14</v>
      </c>
      <c r="S11" s="702">
        <f t="shared" si="0"/>
        <v>100</v>
      </c>
      <c r="T11" s="701" t="s">
        <v>14</v>
      </c>
      <c r="U11" s="702">
        <f t="shared" si="1"/>
        <v>100</v>
      </c>
      <c r="V11" s="701" t="s">
        <v>14</v>
      </c>
      <c r="W11" s="702">
        <f t="shared" si="2"/>
        <v>100</v>
      </c>
      <c r="X11" s="703"/>
      <c r="Y11" s="368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25"/>
      <c r="Q12" s="1342">
        <f t="shared" si="6"/>
        <v>111</v>
      </c>
      <c r="R12" s="701" t="s">
        <v>14</v>
      </c>
      <c r="S12" s="702">
        <f t="shared" si="0"/>
        <v>100</v>
      </c>
      <c r="T12" s="701" t="s">
        <v>14</v>
      </c>
      <c r="U12" s="702">
        <f t="shared" si="1"/>
        <v>100</v>
      </c>
      <c r="V12" s="701" t="s">
        <v>14</v>
      </c>
      <c r="W12" s="702">
        <f t="shared" si="2"/>
        <v>100</v>
      </c>
      <c r="X12" s="703"/>
      <c r="Y12" s="368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25"/>
      <c r="Q13" s="1342">
        <f t="shared" si="6"/>
        <v>111</v>
      </c>
      <c r="R13" s="701" t="s">
        <v>14</v>
      </c>
      <c r="S13" s="702">
        <f t="shared" si="0"/>
        <v>100</v>
      </c>
      <c r="T13" s="701" t="s">
        <v>14</v>
      </c>
      <c r="U13" s="702">
        <f t="shared" si="1"/>
        <v>100</v>
      </c>
      <c r="V13" s="701" t="s">
        <v>14</v>
      </c>
      <c r="W13" s="702">
        <f t="shared" si="2"/>
        <v>100</v>
      </c>
      <c r="X13" s="703"/>
      <c r="Y13" s="368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27" t="s">
        <v>1691</v>
      </c>
      <c r="Q14" s="1351" t="str">
        <f t="shared" si="6"/>
        <v>交通便捷度</v>
      </c>
      <c r="R14" s="705" t="s">
        <v>14</v>
      </c>
      <c r="S14" s="706">
        <f t="shared" si="0"/>
        <v>100</v>
      </c>
      <c r="T14" s="705" t="s">
        <v>14</v>
      </c>
      <c r="U14" s="706">
        <f t="shared" si="1"/>
        <v>100</v>
      </c>
      <c r="V14" s="705" t="s">
        <v>14</v>
      </c>
      <c r="W14" s="706">
        <f t="shared" si="2"/>
        <v>100</v>
      </c>
      <c r="X14" s="1354"/>
      <c r="Y14" s="382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828"/>
      <c r="Q15" s="1351"/>
      <c r="R15" s="705"/>
      <c r="S15" s="706"/>
      <c r="T15" s="705"/>
      <c r="U15" s="706"/>
      <c r="V15" s="705"/>
      <c r="W15" s="706"/>
      <c r="X15" s="1354"/>
      <c r="Y15" s="382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28"/>
      <c r="Q16" s="1351" t="str">
        <f>B16</f>
        <v>公共配套设施</v>
      </c>
      <c r="R16" s="705" t="s">
        <v>14</v>
      </c>
      <c r="S16" s="706">
        <f>F16</f>
        <v>100</v>
      </c>
      <c r="T16" s="705" t="s">
        <v>14</v>
      </c>
      <c r="U16" s="706">
        <f>H16</f>
        <v>100</v>
      </c>
      <c r="V16" s="705" t="s">
        <v>14</v>
      </c>
      <c r="W16" s="706">
        <f>J16</f>
        <v>100</v>
      </c>
      <c r="X16" s="1354"/>
      <c r="Y16" s="382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828"/>
      <c r="Q17" s="1351"/>
      <c r="R17" s="705"/>
      <c r="S17" s="706"/>
      <c r="T17" s="705"/>
      <c r="U17" s="706"/>
      <c r="V17" s="705"/>
      <c r="W17" s="706"/>
      <c r="X17" s="1354"/>
      <c r="Y17" s="382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28"/>
      <c r="Q18" s="1351" t="str">
        <f>B18</f>
        <v>基础设施水平</v>
      </c>
      <c r="R18" s="705" t="s">
        <v>14</v>
      </c>
      <c r="S18" s="706">
        <f>F18</f>
        <v>100</v>
      </c>
      <c r="T18" s="705" t="s">
        <v>14</v>
      </c>
      <c r="U18" s="706">
        <f>H18</f>
        <v>100</v>
      </c>
      <c r="V18" s="705" t="s">
        <v>14</v>
      </c>
      <c r="W18" s="706">
        <f>J18</f>
        <v>100</v>
      </c>
      <c r="X18" s="1354"/>
      <c r="Y18" s="382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828"/>
      <c r="Q19" s="1351"/>
      <c r="R19" s="705"/>
      <c r="S19" s="706"/>
      <c r="T19" s="705"/>
      <c r="U19" s="706"/>
      <c r="V19" s="705"/>
      <c r="W19" s="706"/>
      <c r="X19" s="1354"/>
      <c r="Y19" s="382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28"/>
      <c r="Q20" s="1351" t="str">
        <f>B20</f>
        <v>自然及人文环境</v>
      </c>
      <c r="R20" s="705" t="s">
        <v>14</v>
      </c>
      <c r="S20" s="706">
        <f>F20</f>
        <v>100</v>
      </c>
      <c r="T20" s="705" t="s">
        <v>14</v>
      </c>
      <c r="U20" s="706">
        <f>H20</f>
        <v>100</v>
      </c>
      <c r="V20" s="705" t="s">
        <v>14</v>
      </c>
      <c r="W20" s="706">
        <f>J20</f>
        <v>100</v>
      </c>
      <c r="X20" s="1354"/>
      <c r="Y20" s="382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828"/>
      <c r="Q21" s="1351"/>
      <c r="R21" s="705"/>
      <c r="S21" s="706"/>
      <c r="T21" s="705"/>
      <c r="U21" s="706"/>
      <c r="V21" s="705"/>
      <c r="W21" s="706"/>
      <c r="X21" s="1354"/>
      <c r="Y21" s="382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28"/>
      <c r="Q22" s="1351" t="str">
        <f>B22</f>
        <v>楼层</v>
      </c>
      <c r="R22" s="705" t="s">
        <v>14</v>
      </c>
      <c r="S22" s="706">
        <f>F22</f>
        <v>100</v>
      </c>
      <c r="T22" s="705" t="s">
        <v>14</v>
      </c>
      <c r="U22" s="706">
        <f>H22</f>
        <v>100</v>
      </c>
      <c r="V22" s="705" t="s">
        <v>14</v>
      </c>
      <c r="W22" s="706">
        <f>J22</f>
        <v>100</v>
      </c>
      <c r="X22" s="1354"/>
      <c r="Y22" s="382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28"/>
      <c r="Q23" s="1351">
        <f>B23</f>
        <v>111</v>
      </c>
      <c r="R23" s="705" t="s">
        <v>14</v>
      </c>
      <c r="S23" s="706">
        <f>F23</f>
        <v>100</v>
      </c>
      <c r="T23" s="705" t="s">
        <v>14</v>
      </c>
      <c r="U23" s="706">
        <f>H23</f>
        <v>100</v>
      </c>
      <c r="V23" s="705" t="s">
        <v>14</v>
      </c>
      <c r="W23" s="706">
        <f>J23</f>
        <v>100</v>
      </c>
      <c r="X23" s="1354"/>
      <c r="Y23" s="382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28"/>
      <c r="Q24" s="1351">
        <f t="shared" ref="Q24:Q36" si="11">B24</f>
        <v>111</v>
      </c>
      <c r="R24" s="705" t="s">
        <v>14</v>
      </c>
      <c r="S24" s="706">
        <f>F24</f>
        <v>100</v>
      </c>
      <c r="T24" s="705" t="s">
        <v>14</v>
      </c>
      <c r="U24" s="706">
        <f>H24</f>
        <v>100</v>
      </c>
      <c r="V24" s="705" t="s">
        <v>14</v>
      </c>
      <c r="W24" s="706">
        <f>J24</f>
        <v>100</v>
      </c>
      <c r="X24" s="1354"/>
      <c r="Y24" s="382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28"/>
      <c r="Q25" s="1342">
        <f t="shared" si="11"/>
        <v>111</v>
      </c>
      <c r="R25" s="701" t="s">
        <v>14</v>
      </c>
      <c r="S25" s="702">
        <f>F25</f>
        <v>100</v>
      </c>
      <c r="T25" s="701" t="s">
        <v>14</v>
      </c>
      <c r="U25" s="702">
        <f>H25</f>
        <v>100</v>
      </c>
      <c r="V25" s="701" t="s">
        <v>14</v>
      </c>
      <c r="W25" s="702">
        <f>J25</f>
        <v>100</v>
      </c>
      <c r="X25" s="703"/>
      <c r="Y25" s="382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8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83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32"/>
      <c r="Q27" s="707" t="str">
        <f t="shared" si="11"/>
        <v>项目停车位配比</v>
      </c>
      <c r="R27" s="708" t="s">
        <v>14</v>
      </c>
      <c r="S27" s="709">
        <f t="shared" si="12"/>
        <v>100</v>
      </c>
      <c r="T27" s="708" t="s">
        <v>14</v>
      </c>
      <c r="U27" s="709">
        <f t="shared" si="13"/>
        <v>100</v>
      </c>
      <c r="V27" s="708" t="s">
        <v>14</v>
      </c>
      <c r="W27" s="709">
        <f t="shared" si="14"/>
        <v>100</v>
      </c>
      <c r="X27" s="710"/>
      <c r="Y27" s="383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32"/>
      <c r="Q28" s="1351" t="str">
        <f t="shared" si="11"/>
        <v>公共部分装修</v>
      </c>
      <c r="R28" s="705" t="s">
        <v>14</v>
      </c>
      <c r="S28" s="706">
        <f t="shared" si="12"/>
        <v>100</v>
      </c>
      <c r="T28" s="705" t="s">
        <v>14</v>
      </c>
      <c r="U28" s="706">
        <f t="shared" si="13"/>
        <v>100</v>
      </c>
      <c r="V28" s="705" t="s">
        <v>14</v>
      </c>
      <c r="W28" s="706">
        <f t="shared" si="14"/>
        <v>100</v>
      </c>
      <c r="X28" s="1354"/>
      <c r="Y28" s="383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32"/>
      <c r="Q29" s="1351" t="str">
        <f t="shared" si="11"/>
        <v>成新率</v>
      </c>
      <c r="R29" s="705" t="s">
        <v>14</v>
      </c>
      <c r="S29" s="706" t="e">
        <f t="shared" si="12"/>
        <v>#N/A</v>
      </c>
      <c r="T29" s="705" t="s">
        <v>14</v>
      </c>
      <c r="U29" s="706" t="e">
        <f t="shared" si="13"/>
        <v>#N/A</v>
      </c>
      <c r="V29" s="705" t="s">
        <v>14</v>
      </c>
      <c r="W29" s="706" t="e">
        <f t="shared" si="14"/>
        <v>#N/A</v>
      </c>
      <c r="X29" s="1354"/>
      <c r="Y29" s="383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32"/>
      <c r="Q30" s="1351" t="str">
        <f t="shared" si="11"/>
        <v>物业等级</v>
      </c>
      <c r="R30" s="705" t="s">
        <v>14</v>
      </c>
      <c r="S30" s="706">
        <f t="shared" si="12"/>
        <v>100</v>
      </c>
      <c r="T30" s="705" t="s">
        <v>14</v>
      </c>
      <c r="U30" s="706">
        <f t="shared" si="13"/>
        <v>100</v>
      </c>
      <c r="V30" s="705" t="s">
        <v>14</v>
      </c>
      <c r="W30" s="706">
        <f t="shared" si="14"/>
        <v>100</v>
      </c>
      <c r="X30" s="1354"/>
      <c r="Y30" s="383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32"/>
      <c r="Q31" s="1342" t="str">
        <f t="shared" si="11"/>
        <v>停车位面积</v>
      </c>
      <c r="R31" s="701" t="s">
        <v>14</v>
      </c>
      <c r="S31" s="702" t="e">
        <f t="shared" si="12"/>
        <v>#N/A</v>
      </c>
      <c r="T31" s="701" t="s">
        <v>14</v>
      </c>
      <c r="U31" s="702" t="e">
        <f t="shared" si="13"/>
        <v>#N/A</v>
      </c>
      <c r="V31" s="701" t="s">
        <v>14</v>
      </c>
      <c r="W31" s="702" t="e">
        <f t="shared" si="14"/>
        <v>#N/A</v>
      </c>
      <c r="X31" s="703"/>
      <c r="Y31" s="38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32" t="s">
        <v>1696</v>
      </c>
      <c r="Q32" s="1351" t="str">
        <f t="shared" si="11"/>
        <v>车位类型</v>
      </c>
      <c r="R32" s="705" t="s">
        <v>14</v>
      </c>
      <c r="S32" s="706">
        <f t="shared" si="12"/>
        <v>100</v>
      </c>
      <c r="T32" s="705" t="s">
        <v>14</v>
      </c>
      <c r="U32" s="706">
        <f t="shared" si="13"/>
        <v>100</v>
      </c>
      <c r="V32" s="705" t="s">
        <v>14</v>
      </c>
      <c r="W32" s="706">
        <f t="shared" si="14"/>
        <v>100</v>
      </c>
      <c r="X32" s="1354"/>
      <c r="Y32" s="383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32"/>
      <c r="Q33" s="1351" t="str">
        <f t="shared" si="11"/>
        <v>是否直接入户</v>
      </c>
      <c r="R33" s="705" t="s">
        <v>14</v>
      </c>
      <c r="S33" s="706">
        <f t="shared" si="12"/>
        <v>100</v>
      </c>
      <c r="T33" s="705" t="s">
        <v>14</v>
      </c>
      <c r="U33" s="706">
        <f t="shared" si="13"/>
        <v>100</v>
      </c>
      <c r="V33" s="705" t="s">
        <v>14</v>
      </c>
      <c r="W33" s="706">
        <f t="shared" si="14"/>
        <v>100</v>
      </c>
      <c r="X33" s="1354"/>
      <c r="Y33" s="383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32"/>
      <c r="Q34" s="1351">
        <f t="shared" si="11"/>
        <v>111</v>
      </c>
      <c r="R34" s="705" t="s">
        <v>14</v>
      </c>
      <c r="S34" s="706">
        <f t="shared" si="12"/>
        <v>100</v>
      </c>
      <c r="T34" s="705" t="s">
        <v>14</v>
      </c>
      <c r="U34" s="706">
        <f t="shared" si="13"/>
        <v>100</v>
      </c>
      <c r="V34" s="705" t="s">
        <v>14</v>
      </c>
      <c r="W34" s="706">
        <f t="shared" si="14"/>
        <v>100</v>
      </c>
      <c r="X34" s="1354"/>
      <c r="Y34" s="383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32"/>
      <c r="Q35" s="707">
        <f t="shared" si="11"/>
        <v>111</v>
      </c>
      <c r="R35" s="708" t="s">
        <v>14</v>
      </c>
      <c r="S35" s="709">
        <f t="shared" si="12"/>
        <v>100</v>
      </c>
      <c r="T35" s="708" t="s">
        <v>14</v>
      </c>
      <c r="U35" s="709">
        <f t="shared" si="13"/>
        <v>100</v>
      </c>
      <c r="V35" s="708" t="s">
        <v>14</v>
      </c>
      <c r="W35" s="709">
        <f t="shared" si="14"/>
        <v>100</v>
      </c>
      <c r="X35" s="710"/>
      <c r="Y35" s="383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32"/>
      <c r="Q36" s="1351">
        <f t="shared" si="11"/>
        <v>111</v>
      </c>
      <c r="R36" s="705" t="s">
        <v>14</v>
      </c>
      <c r="S36" s="706">
        <f t="shared" si="12"/>
        <v>100</v>
      </c>
      <c r="T36" s="705" t="s">
        <v>14</v>
      </c>
      <c r="U36" s="706">
        <f t="shared" si="13"/>
        <v>100</v>
      </c>
      <c r="V36" s="705" t="s">
        <v>14</v>
      </c>
      <c r="W36" s="706">
        <f t="shared" si="14"/>
        <v>100</v>
      </c>
      <c r="X36" s="1354"/>
      <c r="Y36" s="3832"/>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8"/>
      <c r="L37" s="2723"/>
      <c r="M37" s="2724"/>
      <c r="N37" s="2715"/>
      <c r="O37" s="2724"/>
      <c r="P37" s="3825" t="str">
        <f>A37</f>
        <v>成交单价</v>
      </c>
      <c r="Q37" s="3825"/>
      <c r="R37" s="3826">
        <f>E37</f>
        <v>0</v>
      </c>
      <c r="S37" s="3826"/>
      <c r="T37" s="3826">
        <f>G37</f>
        <v>0</v>
      </c>
      <c r="U37" s="3826"/>
      <c r="V37" s="3826">
        <f>I37</f>
        <v>0</v>
      </c>
      <c r="W37" s="3826"/>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825" t="str">
        <f>A38</f>
        <v>比较价值（元/平方米）</v>
      </c>
      <c r="Q38" s="3825"/>
      <c r="R38" s="3826" t="e">
        <f>IF(F1="售价",ROUND(PRODUCT(R37,AA7:AA36),0),ROUND(PRODUCT(R37,AA7:AA36),1))</f>
        <v>#DIV/0!</v>
      </c>
      <c r="S38" s="3826"/>
      <c r="T38" s="3826" t="e">
        <f>IF(F1="售价",ROUND(PRODUCT(T37,AB7:AB36),0),ROUND(PRODUCT(T37,AB7:AB36),1))</f>
        <v>#DIV/0!</v>
      </c>
      <c r="U38" s="3826"/>
      <c r="V38" s="3826" t="e">
        <f>IF(F1="售价",ROUND(PRODUCT(V37,AC7:AC36),0),ROUND(PRODUCT(V37,AC7:AC36),1))</f>
        <v>#DIV/0!</v>
      </c>
      <c r="W38" s="3826"/>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822" t="str">
        <f>A39</f>
        <v>估价对象XX用房的比较价值（楼面单价，元/平方米）</v>
      </c>
      <c r="Q39" s="3823"/>
      <c r="R39" s="3884" t="e">
        <f>IF(F1="售价",ROUND(IF(D38="简单平均",AVERAGE(R38:W38),R38*F38+T38*H38+V38*J38),0),ROUND(IF(D38="简单平均",AVERAGE(R38:V38),R38*F38+T38*H38+V38*J38),1))</f>
        <v>#DIV/0!</v>
      </c>
      <c r="S39" s="3884"/>
      <c r="T39" s="3884"/>
      <c r="U39" s="3884"/>
      <c r="V39" s="3884"/>
      <c r="W39" s="388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840" t="s">
        <v>1770</v>
      </c>
      <c r="D4" s="3841"/>
      <c r="E4" s="3842" t="s">
        <v>1771</v>
      </c>
      <c r="F4" s="3843"/>
      <c r="G4" s="3840" t="s">
        <v>1772</v>
      </c>
      <c r="H4" s="3841"/>
      <c r="I4" s="3840" t="s">
        <v>1773</v>
      </c>
      <c r="J4" s="3841"/>
      <c r="K4" s="559" t="s">
        <v>1774</v>
      </c>
      <c r="L4" s="2714"/>
      <c r="M4" s="2715"/>
      <c r="N4" s="2715"/>
      <c r="O4" s="2715"/>
      <c r="P4" s="3844" t="s">
        <v>1775</v>
      </c>
      <c r="Q4" s="3845"/>
      <c r="R4" s="3850" t="s">
        <v>1771</v>
      </c>
      <c r="S4" s="3851"/>
      <c r="T4" s="3850" t="s">
        <v>1772</v>
      </c>
      <c r="U4" s="3851"/>
      <c r="V4" s="3856" t="s">
        <v>1773</v>
      </c>
      <c r="W4" s="3856"/>
      <c r="X4" s="1354"/>
      <c r="Y4" s="3850" t="s">
        <v>1775</v>
      </c>
      <c r="Z4" s="3851"/>
      <c r="AA4" s="3837" t="s">
        <v>1771</v>
      </c>
      <c r="AB4" s="3838" t="s">
        <v>1772</v>
      </c>
      <c r="AC4" s="3837" t="s">
        <v>1773</v>
      </c>
    </row>
    <row r="5" spans="1:29" ht="15">
      <c r="A5" s="358"/>
      <c r="B5" s="359"/>
      <c r="C5" s="3859" t="s">
        <v>1673</v>
      </c>
      <c r="D5" s="3860"/>
      <c r="E5" s="3866" t="s">
        <v>1674</v>
      </c>
      <c r="F5" s="3867"/>
      <c r="G5" s="3859" t="s">
        <v>1675</v>
      </c>
      <c r="H5" s="3860"/>
      <c r="I5" s="3859" t="s">
        <v>1676</v>
      </c>
      <c r="J5" s="3860"/>
      <c r="K5" s="559"/>
      <c r="L5" s="2714"/>
      <c r="M5" s="2715"/>
      <c r="N5" s="2715"/>
      <c r="O5" s="2715"/>
      <c r="P5" s="3846"/>
      <c r="Q5" s="3847"/>
      <c r="R5" s="3852"/>
      <c r="S5" s="3853"/>
      <c r="T5" s="3852"/>
      <c r="U5" s="3853"/>
      <c r="V5" s="3856"/>
      <c r="W5" s="3856"/>
      <c r="X5" s="1354"/>
      <c r="Y5" s="3852"/>
      <c r="Z5" s="3853"/>
      <c r="AA5" s="3838"/>
      <c r="AB5" s="3838"/>
      <c r="AC5" s="3838"/>
    </row>
    <row r="6" spans="1:29" ht="15.75" thickBot="1">
      <c r="A6" s="360"/>
      <c r="B6" s="361"/>
      <c r="C6" s="3857" t="s">
        <v>1677</v>
      </c>
      <c r="D6" s="3858"/>
      <c r="E6" s="3864" t="s">
        <v>1677</v>
      </c>
      <c r="F6" s="3865"/>
      <c r="G6" s="3857" t="s">
        <v>1677</v>
      </c>
      <c r="H6" s="3858"/>
      <c r="I6" s="3857" t="s">
        <v>1677</v>
      </c>
      <c r="J6" s="3858"/>
      <c r="K6" s="559" t="s">
        <v>1678</v>
      </c>
      <c r="L6" s="2714"/>
      <c r="M6" s="2715"/>
      <c r="N6" s="2715"/>
      <c r="O6" s="2715"/>
      <c r="P6" s="3848"/>
      <c r="Q6" s="3849"/>
      <c r="R6" s="3852"/>
      <c r="S6" s="3853"/>
      <c r="T6" s="3854"/>
      <c r="U6" s="3855"/>
      <c r="V6" s="3856"/>
      <c r="W6" s="3856"/>
      <c r="X6" s="1354"/>
      <c r="Y6" s="3854"/>
      <c r="Z6" s="3855"/>
      <c r="AA6" s="3839"/>
      <c r="AB6" s="3839"/>
      <c r="AC6" s="3839"/>
    </row>
    <row r="7" spans="1:29" s="108" customFormat="1" ht="15.75" thickBot="1">
      <c r="A7" s="362" t="s">
        <v>1679</v>
      </c>
      <c r="B7" s="363"/>
      <c r="C7" s="364">
        <f>'数据-取费表'!B2</f>
        <v>45399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61" t="s">
        <v>1680</v>
      </c>
      <c r="Q7" s="3863"/>
      <c r="R7" s="701" t="s">
        <v>14</v>
      </c>
      <c r="S7" s="702">
        <f t="shared" ref="S7:S14" si="0">F7</f>
        <v>0</v>
      </c>
      <c r="T7" s="701" t="s">
        <v>14</v>
      </c>
      <c r="U7" s="702">
        <f t="shared" ref="U7:U14" si="1">H7</f>
        <v>0</v>
      </c>
      <c r="V7" s="701" t="s">
        <v>14</v>
      </c>
      <c r="W7" s="702">
        <f t="shared" ref="W7:W14" si="2">J7</f>
        <v>0</v>
      </c>
      <c r="X7" s="703"/>
      <c r="Y7" s="3861" t="s">
        <v>1680</v>
      </c>
      <c r="Z7" s="38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61" t="s">
        <v>1683</v>
      </c>
      <c r="Q8" s="3862"/>
      <c r="R8" s="701" t="s">
        <v>14</v>
      </c>
      <c r="S8" s="702">
        <f t="shared" si="0"/>
        <v>100</v>
      </c>
      <c r="T8" s="701" t="s">
        <v>14</v>
      </c>
      <c r="U8" s="702">
        <f t="shared" si="1"/>
        <v>100</v>
      </c>
      <c r="V8" s="701" t="s">
        <v>14</v>
      </c>
      <c r="W8" s="702">
        <f t="shared" si="2"/>
        <v>100</v>
      </c>
      <c r="X8" s="703"/>
      <c r="Y8" s="3861" t="s">
        <v>1683</v>
      </c>
      <c r="Z8" s="38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25" t="s">
        <v>1686</v>
      </c>
      <c r="Q9" s="1342" t="str">
        <f t="shared" ref="Q9:Q14" si="6">B9</f>
        <v>用途</v>
      </c>
      <c r="R9" s="701" t="s">
        <v>14</v>
      </c>
      <c r="S9" s="702">
        <f t="shared" si="0"/>
        <v>100</v>
      </c>
      <c r="T9" s="701" t="s">
        <v>14</v>
      </c>
      <c r="U9" s="702">
        <f t="shared" si="1"/>
        <v>100</v>
      </c>
      <c r="V9" s="701" t="s">
        <v>14</v>
      </c>
      <c r="W9" s="702">
        <f t="shared" si="2"/>
        <v>100</v>
      </c>
      <c r="X9" s="703"/>
      <c r="Y9" s="368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25"/>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25"/>
      <c r="Q11" s="1342">
        <f t="shared" si="6"/>
        <v>111</v>
      </c>
      <c r="R11" s="701" t="s">
        <v>14</v>
      </c>
      <c r="S11" s="702">
        <f t="shared" si="0"/>
        <v>100</v>
      </c>
      <c r="T11" s="701" t="s">
        <v>14</v>
      </c>
      <c r="U11" s="702">
        <f t="shared" si="1"/>
        <v>100</v>
      </c>
      <c r="V11" s="701" t="s">
        <v>14</v>
      </c>
      <c r="W11" s="702">
        <f t="shared" si="2"/>
        <v>100</v>
      </c>
      <c r="X11" s="703"/>
      <c r="Y11" s="368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25"/>
      <c r="Q12" s="1342">
        <f t="shared" si="6"/>
        <v>111</v>
      </c>
      <c r="R12" s="701" t="s">
        <v>14</v>
      </c>
      <c r="S12" s="702">
        <f t="shared" si="0"/>
        <v>100</v>
      </c>
      <c r="T12" s="701" t="s">
        <v>14</v>
      </c>
      <c r="U12" s="702">
        <f t="shared" si="1"/>
        <v>100</v>
      </c>
      <c r="V12" s="701" t="s">
        <v>14</v>
      </c>
      <c r="W12" s="702">
        <f t="shared" si="2"/>
        <v>100</v>
      </c>
      <c r="X12" s="703"/>
      <c r="Y12" s="368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25"/>
      <c r="Q13" s="1342">
        <f t="shared" si="6"/>
        <v>111</v>
      </c>
      <c r="R13" s="701" t="s">
        <v>14</v>
      </c>
      <c r="S13" s="702">
        <f t="shared" si="0"/>
        <v>100</v>
      </c>
      <c r="T13" s="701" t="s">
        <v>14</v>
      </c>
      <c r="U13" s="702">
        <f t="shared" si="1"/>
        <v>100</v>
      </c>
      <c r="V13" s="701" t="s">
        <v>14</v>
      </c>
      <c r="W13" s="702">
        <f t="shared" si="2"/>
        <v>100</v>
      </c>
      <c r="X13" s="703"/>
      <c r="Y13" s="368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27" t="s">
        <v>1691</v>
      </c>
      <c r="Q14" s="1351" t="str">
        <f t="shared" si="6"/>
        <v>交通便捷度</v>
      </c>
      <c r="R14" s="705" t="s">
        <v>14</v>
      </c>
      <c r="S14" s="706">
        <f t="shared" si="0"/>
        <v>100</v>
      </c>
      <c r="T14" s="705" t="s">
        <v>14</v>
      </c>
      <c r="U14" s="706">
        <f t="shared" si="1"/>
        <v>100</v>
      </c>
      <c r="V14" s="705" t="s">
        <v>14</v>
      </c>
      <c r="W14" s="706">
        <f t="shared" si="2"/>
        <v>100</v>
      </c>
      <c r="X14" s="1354"/>
      <c r="Y14" s="382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828"/>
      <c r="Q15" s="1351"/>
      <c r="R15" s="705"/>
      <c r="S15" s="706"/>
      <c r="T15" s="705"/>
      <c r="U15" s="706"/>
      <c r="V15" s="705"/>
      <c r="W15" s="706"/>
      <c r="X15" s="1354"/>
      <c r="Y15" s="382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28"/>
      <c r="Q16" s="1351" t="str">
        <f>B16</f>
        <v>公共配套设施</v>
      </c>
      <c r="R16" s="705" t="s">
        <v>14</v>
      </c>
      <c r="S16" s="706">
        <f>F16</f>
        <v>100</v>
      </c>
      <c r="T16" s="705" t="s">
        <v>14</v>
      </c>
      <c r="U16" s="706">
        <f>H16</f>
        <v>100</v>
      </c>
      <c r="V16" s="705" t="s">
        <v>14</v>
      </c>
      <c r="W16" s="706">
        <f>J16</f>
        <v>100</v>
      </c>
      <c r="X16" s="1354"/>
      <c r="Y16" s="382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828"/>
      <c r="Q17" s="1351"/>
      <c r="R17" s="705"/>
      <c r="S17" s="706"/>
      <c r="T17" s="705"/>
      <c r="U17" s="706"/>
      <c r="V17" s="705"/>
      <c r="W17" s="706"/>
      <c r="X17" s="1354"/>
      <c r="Y17" s="3828"/>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28"/>
      <c r="Q18" s="1351" t="str">
        <f>B18</f>
        <v>基础设施水平</v>
      </c>
      <c r="R18" s="705" t="s">
        <v>14</v>
      </c>
      <c r="S18" s="706">
        <f>F18</f>
        <v>100</v>
      </c>
      <c r="T18" s="705" t="s">
        <v>14</v>
      </c>
      <c r="U18" s="706">
        <f>H18</f>
        <v>100</v>
      </c>
      <c r="V18" s="705" t="s">
        <v>14</v>
      </c>
      <c r="W18" s="706">
        <f>J18</f>
        <v>100</v>
      </c>
      <c r="X18" s="1354"/>
      <c r="Y18" s="382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828"/>
      <c r="Q19" s="1351"/>
      <c r="R19" s="705"/>
      <c r="S19" s="706"/>
      <c r="T19" s="705"/>
      <c r="U19" s="706"/>
      <c r="V19" s="705"/>
      <c r="W19" s="706"/>
      <c r="X19" s="1354"/>
      <c r="Y19" s="382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28"/>
      <c r="Q20" s="1351" t="str">
        <f>B20</f>
        <v>自然及人文环境</v>
      </c>
      <c r="R20" s="705" t="s">
        <v>14</v>
      </c>
      <c r="S20" s="706">
        <f>F20</f>
        <v>100</v>
      </c>
      <c r="T20" s="705" t="s">
        <v>14</v>
      </c>
      <c r="U20" s="706">
        <f>H20</f>
        <v>100</v>
      </c>
      <c r="V20" s="705" t="s">
        <v>14</v>
      </c>
      <c r="W20" s="706">
        <f>J20</f>
        <v>100</v>
      </c>
      <c r="X20" s="1354"/>
      <c r="Y20" s="382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828"/>
      <c r="Q21" s="1351"/>
      <c r="R21" s="705"/>
      <c r="S21" s="706"/>
      <c r="T21" s="705"/>
      <c r="U21" s="706"/>
      <c r="V21" s="705"/>
      <c r="W21" s="706"/>
      <c r="X21" s="1354"/>
      <c r="Y21" s="382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28"/>
      <c r="Q22" s="1351" t="str">
        <f>B22</f>
        <v>楼层</v>
      </c>
      <c r="R22" s="705" t="s">
        <v>14</v>
      </c>
      <c r="S22" s="706">
        <f>F22</f>
        <v>100</v>
      </c>
      <c r="T22" s="705" t="s">
        <v>14</v>
      </c>
      <c r="U22" s="706">
        <f>H22</f>
        <v>100</v>
      </c>
      <c r="V22" s="705" t="s">
        <v>14</v>
      </c>
      <c r="W22" s="706">
        <f>J22</f>
        <v>100</v>
      </c>
      <c r="X22" s="1354"/>
      <c r="Y22" s="382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28"/>
      <c r="Q23" s="1351">
        <f>B23</f>
        <v>111</v>
      </c>
      <c r="R23" s="705" t="s">
        <v>14</v>
      </c>
      <c r="S23" s="706">
        <f>F23</f>
        <v>100</v>
      </c>
      <c r="T23" s="705" t="s">
        <v>14</v>
      </c>
      <c r="U23" s="706">
        <f>H23</f>
        <v>100</v>
      </c>
      <c r="V23" s="705" t="s">
        <v>14</v>
      </c>
      <c r="W23" s="706">
        <f>J23</f>
        <v>100</v>
      </c>
      <c r="X23" s="1354"/>
      <c r="Y23" s="382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28"/>
      <c r="Q24" s="1351">
        <f t="shared" ref="Q24:Q34" si="11">B24</f>
        <v>111</v>
      </c>
      <c r="R24" s="705" t="s">
        <v>14</v>
      </c>
      <c r="S24" s="706">
        <f>F24</f>
        <v>100</v>
      </c>
      <c r="T24" s="705" t="s">
        <v>14</v>
      </c>
      <c r="U24" s="706">
        <f>H24</f>
        <v>100</v>
      </c>
      <c r="V24" s="705" t="s">
        <v>14</v>
      </c>
      <c r="W24" s="706">
        <f>J24</f>
        <v>100</v>
      </c>
      <c r="X24" s="1354"/>
      <c r="Y24" s="382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28"/>
      <c r="Q25" s="1342">
        <f t="shared" si="11"/>
        <v>111</v>
      </c>
      <c r="R25" s="701" t="s">
        <v>14</v>
      </c>
      <c r="S25" s="702">
        <f>F25</f>
        <v>100</v>
      </c>
      <c r="T25" s="701" t="s">
        <v>14</v>
      </c>
      <c r="U25" s="702">
        <f>H25</f>
        <v>100</v>
      </c>
      <c r="V25" s="701" t="s">
        <v>14</v>
      </c>
      <c r="W25" s="702">
        <f>J25</f>
        <v>100</v>
      </c>
      <c r="X25" s="703"/>
      <c r="Y25" s="382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8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83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32"/>
      <c r="Q27" s="707" t="str">
        <f t="shared" si="11"/>
        <v>成新率</v>
      </c>
      <c r="R27" s="708" t="s">
        <v>14</v>
      </c>
      <c r="S27" s="709" t="e">
        <f t="shared" si="12"/>
        <v>#N/A</v>
      </c>
      <c r="T27" s="708" t="s">
        <v>14</v>
      </c>
      <c r="U27" s="709" t="e">
        <f t="shared" si="13"/>
        <v>#N/A</v>
      </c>
      <c r="V27" s="708" t="s">
        <v>14</v>
      </c>
      <c r="W27" s="709" t="e">
        <f t="shared" si="14"/>
        <v>#N/A</v>
      </c>
      <c r="X27" s="710"/>
      <c r="Y27" s="383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32"/>
      <c r="Q28" s="1351" t="str">
        <f t="shared" si="11"/>
        <v>物业等级</v>
      </c>
      <c r="R28" s="705" t="s">
        <v>14</v>
      </c>
      <c r="S28" s="706">
        <f t="shared" si="12"/>
        <v>100</v>
      </c>
      <c r="T28" s="705" t="s">
        <v>14</v>
      </c>
      <c r="U28" s="706">
        <f t="shared" si="13"/>
        <v>100</v>
      </c>
      <c r="V28" s="705" t="s">
        <v>14</v>
      </c>
      <c r="W28" s="706">
        <f t="shared" si="14"/>
        <v>100</v>
      </c>
      <c r="X28" s="1354"/>
      <c r="Y28" s="383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32"/>
      <c r="Q29" s="1351" t="str">
        <f t="shared" si="11"/>
        <v>有无电梯</v>
      </c>
      <c r="R29" s="705" t="s">
        <v>14</v>
      </c>
      <c r="S29" s="706">
        <f t="shared" si="12"/>
        <v>100</v>
      </c>
      <c r="T29" s="705" t="s">
        <v>14</v>
      </c>
      <c r="U29" s="706">
        <f t="shared" si="13"/>
        <v>100</v>
      </c>
      <c r="V29" s="705" t="s">
        <v>14</v>
      </c>
      <c r="W29" s="706">
        <f t="shared" si="14"/>
        <v>100</v>
      </c>
      <c r="X29" s="1354"/>
      <c r="Y29" s="383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32"/>
      <c r="Q30" s="1351" t="str">
        <f t="shared" si="11"/>
        <v>建筑面积</v>
      </c>
      <c r="R30" s="705" t="s">
        <v>14</v>
      </c>
      <c r="S30" s="706" t="e">
        <f t="shared" si="12"/>
        <v>#N/A</v>
      </c>
      <c r="T30" s="705" t="s">
        <v>14</v>
      </c>
      <c r="U30" s="706" t="e">
        <f t="shared" si="13"/>
        <v>#N/A</v>
      </c>
      <c r="V30" s="705" t="s">
        <v>14</v>
      </c>
      <c r="W30" s="706" t="e">
        <f t="shared" si="14"/>
        <v>#N/A</v>
      </c>
      <c r="X30" s="1354"/>
      <c r="Y30" s="383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32"/>
      <c r="Q31" s="1342" t="str">
        <f t="shared" si="11"/>
        <v>是否封闭</v>
      </c>
      <c r="R31" s="701" t="s">
        <v>14</v>
      </c>
      <c r="S31" s="702">
        <f t="shared" si="12"/>
        <v>100</v>
      </c>
      <c r="T31" s="701" t="s">
        <v>14</v>
      </c>
      <c r="U31" s="702">
        <f t="shared" si="13"/>
        <v>100</v>
      </c>
      <c r="V31" s="701" t="s">
        <v>14</v>
      </c>
      <c r="W31" s="702">
        <f t="shared" si="14"/>
        <v>100</v>
      </c>
      <c r="X31" s="703"/>
      <c r="Y31" s="383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32" t="s">
        <v>1696</v>
      </c>
      <c r="Q32" s="1351">
        <f t="shared" si="11"/>
        <v>111</v>
      </c>
      <c r="R32" s="705" t="s">
        <v>14</v>
      </c>
      <c r="S32" s="706">
        <f t="shared" si="12"/>
        <v>100</v>
      </c>
      <c r="T32" s="705" t="s">
        <v>14</v>
      </c>
      <c r="U32" s="706">
        <f t="shared" si="13"/>
        <v>100</v>
      </c>
      <c r="V32" s="705" t="s">
        <v>14</v>
      </c>
      <c r="W32" s="706">
        <f t="shared" si="14"/>
        <v>100</v>
      </c>
      <c r="X32" s="1354"/>
      <c r="Y32" s="383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32"/>
      <c r="Q33" s="1351">
        <f t="shared" si="11"/>
        <v>111</v>
      </c>
      <c r="R33" s="705" t="s">
        <v>14</v>
      </c>
      <c r="S33" s="706">
        <f t="shared" si="12"/>
        <v>100</v>
      </c>
      <c r="T33" s="705" t="s">
        <v>14</v>
      </c>
      <c r="U33" s="706">
        <f t="shared" si="13"/>
        <v>100</v>
      </c>
      <c r="V33" s="705" t="s">
        <v>14</v>
      </c>
      <c r="W33" s="706">
        <f t="shared" si="14"/>
        <v>100</v>
      </c>
      <c r="X33" s="1354"/>
      <c r="Y33" s="383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32"/>
      <c r="Q34" s="1351">
        <f t="shared" si="11"/>
        <v>111</v>
      </c>
      <c r="R34" s="705" t="s">
        <v>14</v>
      </c>
      <c r="S34" s="706">
        <f t="shared" si="12"/>
        <v>100</v>
      </c>
      <c r="T34" s="705" t="s">
        <v>14</v>
      </c>
      <c r="U34" s="706">
        <f t="shared" si="13"/>
        <v>100</v>
      </c>
      <c r="V34" s="705" t="s">
        <v>14</v>
      </c>
      <c r="W34" s="706">
        <f t="shared" si="14"/>
        <v>100</v>
      </c>
      <c r="X34" s="1354"/>
      <c r="Y34" s="383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825" t="str">
        <f>A35</f>
        <v>成交单价（元/平方米）</v>
      </c>
      <c r="Q35" s="3825"/>
      <c r="R35" s="3826">
        <f>E35</f>
        <v>0</v>
      </c>
      <c r="S35" s="3826"/>
      <c r="T35" s="3826">
        <f>G35</f>
        <v>0</v>
      </c>
      <c r="U35" s="3826"/>
      <c r="V35" s="3826">
        <f>I35</f>
        <v>0</v>
      </c>
      <c r="W35" s="3826"/>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825" t="str">
        <f>A36</f>
        <v>比较价值（元/平方米）</v>
      </c>
      <c r="Q36" s="3825"/>
      <c r="R36" s="3826" t="e">
        <f>IF(F1="售价",ROUND(PRODUCT(R35,AA7:AA34),0),ROUND(PRODUCT(R35,AA7:AA34),1))</f>
        <v>#DIV/0!</v>
      </c>
      <c r="S36" s="3826"/>
      <c r="T36" s="3826" t="e">
        <f>IF(F1="售价",ROUND(PRODUCT(T35,AB7:AB34),0),ROUND(PRODUCT(T35,AB7:AB34),1))</f>
        <v>#DIV/0!</v>
      </c>
      <c r="U36" s="3826"/>
      <c r="V36" s="3826" t="e">
        <f>IF(F1="售价",ROUND(PRODUCT(V35,AC7:AC34),0),ROUND(PRODUCT(V35,AC7:AC34),1))</f>
        <v>#DIV/0!</v>
      </c>
      <c r="W36" s="3826"/>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822" t="str">
        <f>A37</f>
        <v>估价对象XX用房的比较价值（楼面单价，元/平方米）</v>
      </c>
      <c r="Q37" s="3823"/>
      <c r="R37" s="3884" t="e">
        <f>IF(F1="售价",ROUND(IF(D36="简单平均",AVERAGE(R36:W36),R36*F36+T36*H36+V36*J36),0),ROUND(IF(D36="简单平均",AVERAGE(R36:V36),R36*F36+T36*H36+V36*J36),1))</f>
        <v>#DIV/0!</v>
      </c>
      <c r="S37" s="3884"/>
      <c r="T37" s="3884"/>
      <c r="U37" s="3884"/>
      <c r="V37" s="3884"/>
      <c r="W37" s="388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Y63"/>
  <sheetViews>
    <sheetView workbookViewId="0">
      <selection activeCell="G16" sqref="G16"/>
    </sheetView>
  </sheetViews>
  <sheetFormatPr defaultColWidth="8.375" defaultRowHeight="12.75"/>
  <cols>
    <col min="1" max="1" width="9.375" style="3526" customWidth="1"/>
    <col min="2" max="2" width="26.625" style="3523" customWidth="1"/>
    <col min="3" max="3" width="11.125" style="3523" customWidth="1"/>
    <col min="4" max="5" width="11.125" style="3525" customWidth="1"/>
    <col min="6" max="6" width="9.375" style="3523" customWidth="1"/>
    <col min="7" max="7" width="31.875" style="3523" customWidth="1"/>
    <col min="8" max="25" width="9" style="3524" customWidth="1"/>
    <col min="26" max="254" width="9" style="3523" customWidth="1"/>
    <col min="255" max="16384" width="8.375" style="3523"/>
  </cols>
  <sheetData>
    <row r="1" spans="1:25" s="3572" customFormat="1" ht="20.25">
      <c r="A1" s="196" t="s">
        <v>3685</v>
      </c>
      <c r="B1" s="197"/>
      <c r="C1" s="3581"/>
      <c r="D1" s="3581"/>
      <c r="E1" s="3581"/>
      <c r="F1" s="3581"/>
      <c r="G1" s="3580"/>
    </row>
    <row r="2" spans="1:25" s="3572" customFormat="1" ht="18" customHeight="1">
      <c r="A2" s="201" t="s">
        <v>3684</v>
      </c>
      <c r="B2" s="204">
        <f>C23</f>
        <v>17547</v>
      </c>
      <c r="C2" s="3573"/>
      <c r="D2" s="3573"/>
      <c r="E2" s="3573"/>
      <c r="F2" s="3573"/>
      <c r="G2" s="3573"/>
    </row>
    <row r="3" spans="1:25" s="3572" customFormat="1" ht="18" customHeight="1">
      <c r="A3" s="3579" t="s">
        <v>3683</v>
      </c>
      <c r="B3" s="204">
        <f>ROUND(B2*10000/'[1]数据-基础表'!I5,0)</f>
        <v>3697</v>
      </c>
      <c r="C3" s="3573"/>
      <c r="D3" s="3573"/>
      <c r="E3" s="3573"/>
      <c r="F3" s="3573"/>
      <c r="G3" s="3573"/>
    </row>
    <row r="4" spans="1:25" s="3572" customFormat="1" ht="18" customHeight="1">
      <c r="A4" s="3578" t="s">
        <v>3682</v>
      </c>
      <c r="B4" s="3577">
        <f>ROUND(B2*10000/D8,0)</f>
        <v>12581</v>
      </c>
      <c r="C4" s="3576"/>
      <c r="D4" s="3573"/>
      <c r="E4" s="3573"/>
      <c r="F4" s="3573"/>
      <c r="G4" s="3573"/>
    </row>
    <row r="5" spans="1:25" s="3572" customFormat="1" ht="18" customHeight="1" thickBot="1">
      <c r="A5" s="199"/>
      <c r="B5" s="3575">
        <f>ROUND(B2/(D8/666.67),0)</f>
        <v>839</v>
      </c>
      <c r="C5" s="3574" t="s">
        <v>3681</v>
      </c>
      <c r="D5" s="3573"/>
      <c r="E5" s="3573"/>
      <c r="F5" s="3573"/>
      <c r="G5" s="3573"/>
    </row>
    <row r="6" spans="1:25" s="3531" customFormat="1" ht="13.5" customHeight="1">
      <c r="A6" s="3571"/>
      <c r="B6" s="3570" t="s">
        <v>3680</v>
      </c>
      <c r="C6" s="3569" t="s">
        <v>3679</v>
      </c>
      <c r="D6" s="3569" t="s">
        <v>3678</v>
      </c>
      <c r="E6" s="3568" t="s">
        <v>3677</v>
      </c>
      <c r="F6" s="3568" t="s">
        <v>3676</v>
      </c>
      <c r="G6" s="3567" t="s">
        <v>3675</v>
      </c>
    </row>
    <row r="7" spans="1:25" s="3531" customFormat="1" ht="13.5" customHeight="1">
      <c r="A7" s="3541">
        <v>1</v>
      </c>
      <c r="B7" s="244" t="s">
        <v>3674</v>
      </c>
      <c r="C7" s="245">
        <f>C8+C9</f>
        <v>16386</v>
      </c>
      <c r="D7" s="245"/>
      <c r="E7" s="3564"/>
      <c r="F7" s="3564"/>
      <c r="G7" s="3566" t="s">
        <v>3673</v>
      </c>
    </row>
    <row r="8" spans="1:25" s="3531" customFormat="1" ht="13.5" customHeight="1">
      <c r="A8" s="3541" t="s">
        <v>3668</v>
      </c>
      <c r="B8" s="3565" t="s">
        <v>3672</v>
      </c>
      <c r="C8" s="3550">
        <f>ROUND(D8*E8/10000,0)</f>
        <v>16386</v>
      </c>
      <c r="D8" s="3556">
        <f>面积整理!F1</f>
        <v>13947.57</v>
      </c>
      <c r="E8" s="3549">
        <f>'土地比较法-住宅、综合'!C47</f>
        <v>11748</v>
      </c>
      <c r="F8" s="3564"/>
      <c r="G8" s="3563"/>
    </row>
    <row r="9" spans="1:25" s="3531" customFormat="1" ht="13.5" customHeight="1">
      <c r="A9" s="3541" t="s">
        <v>3661</v>
      </c>
      <c r="B9" s="3565" t="s">
        <v>3671</v>
      </c>
      <c r="C9" s="3550">
        <f>ROUND(D9*E9/10000,0)</f>
        <v>0</v>
      </c>
      <c r="D9" s="3550">
        <v>0</v>
      </c>
      <c r="E9" s="3549">
        <v>0</v>
      </c>
      <c r="F9" s="3564"/>
      <c r="G9" s="3563"/>
    </row>
    <row r="10" spans="1:25" s="3531" customFormat="1" ht="36">
      <c r="A10" s="3541">
        <v>2</v>
      </c>
      <c r="B10" s="244" t="s">
        <v>3670</v>
      </c>
      <c r="C10" s="245">
        <f>C11+C14+C15</f>
        <v>439</v>
      </c>
      <c r="D10" s="3540"/>
      <c r="E10" s="245"/>
      <c r="F10" s="246"/>
      <c r="G10" s="226" t="s">
        <v>3669</v>
      </c>
    </row>
    <row r="11" spans="1:25" s="3531" customFormat="1" ht="13.5" customHeight="1">
      <c r="A11" s="3541" t="s">
        <v>3668</v>
      </c>
      <c r="B11" s="3562" t="s">
        <v>3667</v>
      </c>
      <c r="C11" s="249">
        <f>C13</f>
        <v>439</v>
      </c>
      <c r="D11" s="3561"/>
      <c r="E11" s="249"/>
      <c r="F11" s="3555"/>
      <c r="G11" s="3560" t="s">
        <v>3666</v>
      </c>
    </row>
    <row r="12" spans="1:25" s="3531" customFormat="1" ht="13.5" customHeight="1">
      <c r="A12" s="3559" t="s">
        <v>3665</v>
      </c>
      <c r="B12" s="3558" t="s">
        <v>3664</v>
      </c>
      <c r="C12" s="3557">
        <f>ROUND(D12*E12/10000,0)</f>
        <v>0</v>
      </c>
      <c r="D12" s="3550">
        <f>'[3]数据-汇总表'!E5</f>
        <v>0</v>
      </c>
      <c r="E12" s="3550">
        <f>'[3]数据-取费表'!B27</f>
        <v>1</v>
      </c>
      <c r="F12" s="3555"/>
      <c r="G12" s="226"/>
    </row>
    <row r="13" spans="1:25" s="3531" customFormat="1" ht="13.5" customHeight="1">
      <c r="A13" s="3559" t="s">
        <v>3663</v>
      </c>
      <c r="B13" s="3558" t="s">
        <v>3662</v>
      </c>
      <c r="C13" s="3557">
        <f>ROUND(D13*E13/10000,0)</f>
        <v>439</v>
      </c>
      <c r="D13" s="3556">
        <f>D8</f>
        <v>13947.57</v>
      </c>
      <c r="E13" s="3550">
        <f>基准地价修正!G21</f>
        <v>315</v>
      </c>
      <c r="F13" s="3555"/>
      <c r="G13" s="226"/>
    </row>
    <row r="14" spans="1:25" s="3531" customFormat="1" ht="13.5" customHeight="1">
      <c r="A14" s="3541" t="s">
        <v>3661</v>
      </c>
      <c r="B14" s="3554" t="s">
        <v>3660</v>
      </c>
      <c r="C14" s="3551">
        <f>ROUND(D14*E14/10000,0)</f>
        <v>0</v>
      </c>
      <c r="D14" s="3550">
        <v>0</v>
      </c>
      <c r="E14" s="3549">
        <v>0</v>
      </c>
      <c r="F14" s="3553"/>
      <c r="G14" s="3552" t="s">
        <v>3659</v>
      </c>
    </row>
    <row r="15" spans="1:25" s="3531" customFormat="1" ht="13.5" customHeight="1">
      <c r="A15" s="3541" t="s">
        <v>3658</v>
      </c>
      <c r="B15" s="3554" t="s">
        <v>3657</v>
      </c>
      <c r="C15" s="3551">
        <f>ROUND(D15*E15/10000,0)</f>
        <v>0</v>
      </c>
      <c r="D15" s="3550">
        <v>0</v>
      </c>
      <c r="E15" s="3549">
        <v>0</v>
      </c>
      <c r="F15" s="3553"/>
      <c r="G15" s="3552" t="s">
        <v>3656</v>
      </c>
    </row>
    <row r="16" spans="1:25" s="3530" customFormat="1" ht="48">
      <c r="A16" s="3541">
        <v>3</v>
      </c>
      <c r="B16" s="244" t="s">
        <v>3655</v>
      </c>
      <c r="C16" s="3551">
        <f>ROUND(D16*E16/10000,0)</f>
        <v>0</v>
      </c>
      <c r="D16" s="3550">
        <v>0</v>
      </c>
      <c r="E16" s="3549">
        <v>0</v>
      </c>
      <c r="F16" s="246"/>
      <c r="G16" s="226" t="s">
        <v>3654</v>
      </c>
      <c r="H16" s="3531"/>
      <c r="I16" s="3531"/>
      <c r="J16" s="3531"/>
      <c r="K16" s="3531"/>
      <c r="L16" s="3531"/>
      <c r="M16" s="3531"/>
      <c r="N16" s="3531"/>
      <c r="O16" s="3531"/>
      <c r="P16" s="3531"/>
      <c r="Q16" s="3531"/>
      <c r="R16" s="3531"/>
      <c r="S16" s="3531"/>
      <c r="T16" s="3531"/>
      <c r="U16" s="3531"/>
      <c r="V16" s="3531"/>
      <c r="W16" s="3531"/>
      <c r="X16" s="3531"/>
      <c r="Y16" s="3531"/>
    </row>
    <row r="17" spans="1:25" s="3530" customFormat="1" ht="25.5">
      <c r="A17" s="3546">
        <v>4</v>
      </c>
      <c r="B17" s="244" t="s">
        <v>3653</v>
      </c>
      <c r="C17" s="3548">
        <f>ROUND(IF('[1]数据-取费表'!B19&lt;=1,((C7+C16)*'[1]数据-取费表'!B19+C10*'[1]数据-取费表'!B19/2)*F17,((C7+C16)*(POWER((1+F17),'[1]数据-取费表'!B19)-1)+C10*(POWER((1+F17),'[1]数据-取费表'!B19/2)-1))),0)</f>
        <v>722</v>
      </c>
      <c r="D17" s="3545"/>
      <c r="E17" s="3544"/>
      <c r="F17" s="237">
        <f>[3]存贷款利率!E3</f>
        <v>4.3499999999999997E-2</v>
      </c>
      <c r="G17" s="3538" t="str">
        <f>IF('[3]数据-取费表'!B19&lt;=1,"((１＋３)×土地开发期+２×(土地开发期÷２))×利率","((１＋３)×((1+利率)^土地开发期-1)+２×((1+利率)^(土地开发期÷２)-1)")</f>
        <v>((１＋３)×土地开发期+２×(土地开发期÷２))×利率</v>
      </c>
      <c r="H17" s="3547"/>
      <c r="I17" s="3531"/>
      <c r="J17" s="3531"/>
      <c r="K17" s="3531"/>
      <c r="L17" s="3531"/>
      <c r="M17" s="3531"/>
      <c r="N17" s="3531"/>
      <c r="O17" s="3531"/>
      <c r="P17" s="3531"/>
      <c r="Q17" s="3531"/>
      <c r="R17" s="3531"/>
      <c r="S17" s="3531"/>
      <c r="T17" s="3531"/>
      <c r="U17" s="3531"/>
      <c r="V17" s="3531"/>
      <c r="W17" s="3531"/>
      <c r="X17" s="3531"/>
      <c r="Y17" s="3531"/>
    </row>
    <row r="18" spans="1:25" s="3530" customFormat="1" ht="13.5" customHeight="1">
      <c r="A18" s="3546">
        <v>5</v>
      </c>
      <c r="B18" s="244" t="s">
        <v>3652</v>
      </c>
      <c r="C18" s="245">
        <f>ROUND((C7+C10+C16)*F18,0)</f>
        <v>0</v>
      </c>
      <c r="D18" s="3545"/>
      <c r="E18" s="3544"/>
      <c r="F18" s="3543">
        <v>0</v>
      </c>
      <c r="G18" s="3538" t="s">
        <v>3651</v>
      </c>
      <c r="H18" s="3531"/>
      <c r="I18" s="3531"/>
      <c r="J18" s="3531"/>
      <c r="K18" s="3531"/>
      <c r="L18" s="3531"/>
      <c r="M18" s="3531"/>
      <c r="N18" s="3531"/>
      <c r="O18" s="3531"/>
      <c r="P18" s="3531"/>
      <c r="Q18" s="3531"/>
      <c r="R18" s="3531"/>
      <c r="S18" s="3531"/>
      <c r="T18" s="3531"/>
      <c r="U18" s="3531"/>
      <c r="V18" s="3531"/>
      <c r="W18" s="3531"/>
      <c r="X18" s="3531"/>
      <c r="Y18" s="3531"/>
    </row>
    <row r="19" spans="1:25" s="3530" customFormat="1" ht="13.5" customHeight="1">
      <c r="A19" s="3541">
        <v>6</v>
      </c>
      <c r="B19" s="244" t="s">
        <v>3650</v>
      </c>
      <c r="C19" s="245">
        <f>C7+C10+C16+C17+C18</f>
        <v>17547</v>
      </c>
      <c r="D19" s="3540"/>
      <c r="E19" s="245"/>
      <c r="F19" s="246"/>
      <c r="G19" s="3538" t="s">
        <v>3649</v>
      </c>
      <c r="H19" s="3531"/>
      <c r="I19" s="3531"/>
      <c r="J19" s="3531"/>
      <c r="K19" s="3531"/>
      <c r="L19" s="3531"/>
      <c r="M19" s="3531"/>
      <c r="N19" s="3531"/>
      <c r="O19" s="3531"/>
      <c r="P19" s="3531"/>
      <c r="Q19" s="3531"/>
      <c r="R19" s="3531"/>
      <c r="S19" s="3531"/>
      <c r="T19" s="3531"/>
      <c r="U19" s="3531"/>
      <c r="V19" s="3531"/>
      <c r="W19" s="3531"/>
      <c r="X19" s="3531"/>
      <c r="Y19" s="3531"/>
    </row>
    <row r="20" spans="1:25" s="3530" customFormat="1">
      <c r="A20" s="3541">
        <v>7</v>
      </c>
      <c r="B20" s="244" t="s">
        <v>3648</v>
      </c>
      <c r="C20" s="245">
        <f>ROUND(C19*F20,0)</f>
        <v>0</v>
      </c>
      <c r="D20" s="3540"/>
      <c r="E20" s="245"/>
      <c r="F20" s="3542">
        <v>0</v>
      </c>
      <c r="G20" s="3538" t="s">
        <v>3647</v>
      </c>
      <c r="H20" s="3531"/>
      <c r="I20" s="3531"/>
      <c r="J20" s="3531"/>
      <c r="K20" s="3531"/>
      <c r="L20" s="3531"/>
      <c r="M20" s="3531"/>
      <c r="N20" s="3531"/>
      <c r="O20" s="3531"/>
      <c r="P20" s="3531"/>
      <c r="Q20" s="3531"/>
      <c r="R20" s="3531"/>
      <c r="S20" s="3531"/>
      <c r="T20" s="3531"/>
      <c r="U20" s="3531"/>
      <c r="V20" s="3531"/>
      <c r="W20" s="3531"/>
      <c r="X20" s="3531"/>
      <c r="Y20" s="3531"/>
    </row>
    <row r="21" spans="1:25" s="3530" customFormat="1">
      <c r="A21" s="3541">
        <v>8</v>
      </c>
      <c r="B21" s="244" t="s">
        <v>3646</v>
      </c>
      <c r="C21" s="245">
        <f>C19+C20</f>
        <v>17547</v>
      </c>
      <c r="D21" s="3540"/>
      <c r="E21" s="245"/>
      <c r="F21" s="246"/>
      <c r="G21" s="3538" t="s">
        <v>3645</v>
      </c>
      <c r="H21" s="3531"/>
      <c r="I21" s="3531"/>
      <c r="J21" s="3531"/>
      <c r="K21" s="3531"/>
      <c r="L21" s="3531"/>
      <c r="M21" s="3531"/>
      <c r="N21" s="3531"/>
      <c r="O21" s="3531"/>
      <c r="P21" s="3531"/>
      <c r="Q21" s="3531"/>
      <c r="R21" s="3531"/>
      <c r="S21" s="3531"/>
      <c r="T21" s="3531"/>
      <c r="U21" s="3531"/>
      <c r="V21" s="3531"/>
      <c r="W21" s="3531"/>
      <c r="X21" s="3531"/>
      <c r="Y21" s="3531"/>
    </row>
    <row r="22" spans="1:25" s="3530" customFormat="1" ht="13.5" customHeight="1">
      <c r="A22" s="3541">
        <v>9</v>
      </c>
      <c r="B22" s="244" t="s">
        <v>3644</v>
      </c>
      <c r="C22" s="245">
        <f>ROUND(C21*F22,0)</f>
        <v>17547</v>
      </c>
      <c r="D22" s="3540"/>
      <c r="E22" s="245"/>
      <c r="F22" s="3539">
        <v>1</v>
      </c>
      <c r="G22" s="3538" t="s">
        <v>3643</v>
      </c>
      <c r="H22" s="3531"/>
      <c r="I22" s="3531"/>
      <c r="J22" s="3531"/>
      <c r="K22" s="3531"/>
      <c r="L22" s="3531"/>
      <c r="M22" s="3531"/>
      <c r="N22" s="3531"/>
      <c r="O22" s="3531"/>
      <c r="P22" s="3531"/>
      <c r="Q22" s="3531"/>
      <c r="R22" s="3531"/>
      <c r="S22" s="3531"/>
      <c r="T22" s="3531"/>
      <c r="U22" s="3531"/>
      <c r="V22" s="3531"/>
      <c r="W22" s="3531"/>
      <c r="X22" s="3531"/>
      <c r="Y22" s="3531"/>
    </row>
    <row r="23" spans="1:25" s="3530" customFormat="1" ht="13.15" customHeight="1" thickBot="1">
      <c r="A23" s="3537">
        <v>10</v>
      </c>
      <c r="B23" s="3536" t="s">
        <v>3642</v>
      </c>
      <c r="C23" s="3534">
        <f>C22</f>
        <v>17547</v>
      </c>
      <c r="D23" s="3535"/>
      <c r="E23" s="3534"/>
      <c r="F23" s="3533"/>
      <c r="G23" s="3532"/>
      <c r="H23" s="3531"/>
      <c r="I23" s="3531"/>
      <c r="J23" s="3531"/>
      <c r="K23" s="3531"/>
      <c r="L23" s="3531"/>
      <c r="M23" s="3531"/>
      <c r="N23" s="3531"/>
      <c r="O23" s="3531"/>
      <c r="P23" s="3531"/>
      <c r="Q23" s="3531"/>
      <c r="R23" s="3531"/>
      <c r="S23" s="3531"/>
      <c r="T23" s="3531"/>
      <c r="U23" s="3531"/>
      <c r="V23" s="3531"/>
      <c r="W23" s="3531"/>
      <c r="X23" s="3531"/>
      <c r="Y23" s="3531"/>
    </row>
    <row r="24" spans="1:25" s="3527" customFormat="1">
      <c r="A24" s="3529"/>
      <c r="D24" s="3528"/>
      <c r="E24" s="3528"/>
    </row>
    <row r="25" spans="1:25" s="3527" customFormat="1">
      <c r="A25" s="3529"/>
      <c r="D25" s="3528"/>
      <c r="E25" s="3528"/>
    </row>
    <row r="26" spans="1:25" s="3527" customFormat="1">
      <c r="A26" s="3529"/>
      <c r="D26" s="3528"/>
      <c r="E26" s="3528"/>
    </row>
    <row r="27" spans="1:25" s="3527" customFormat="1">
      <c r="A27" s="3529"/>
      <c r="D27" s="3528"/>
      <c r="E27" s="3528"/>
    </row>
    <row r="28" spans="1:25" s="3527" customFormat="1">
      <c r="A28" s="3529"/>
      <c r="D28" s="3528"/>
      <c r="E28" s="3528"/>
    </row>
    <row r="29" spans="1:25" s="3527" customFormat="1">
      <c r="A29" s="3529"/>
      <c r="D29" s="3528"/>
      <c r="E29" s="3528"/>
    </row>
    <row r="30" spans="1:25" s="3527" customFormat="1">
      <c r="A30" s="3529"/>
      <c r="D30" s="3528"/>
      <c r="E30" s="3528"/>
    </row>
    <row r="31" spans="1:25" s="3527" customFormat="1">
      <c r="A31" s="3529"/>
      <c r="D31" s="3528"/>
      <c r="E31" s="3528"/>
    </row>
    <row r="32" spans="1:25" s="3527" customFormat="1">
      <c r="A32" s="3529"/>
      <c r="D32" s="3528"/>
      <c r="E32" s="3528"/>
    </row>
    <row r="33" spans="1:5" s="3527" customFormat="1">
      <c r="A33" s="3529"/>
      <c r="D33" s="3528"/>
      <c r="E33" s="3528"/>
    </row>
    <row r="34" spans="1:5" s="3527" customFormat="1">
      <c r="A34" s="3529"/>
      <c r="D34" s="3528"/>
      <c r="E34" s="3528"/>
    </row>
    <row r="35" spans="1:5" s="3527" customFormat="1">
      <c r="A35" s="3529"/>
      <c r="D35" s="3528"/>
      <c r="E35" s="3528"/>
    </row>
    <row r="36" spans="1:5" s="3527" customFormat="1">
      <c r="A36" s="3529"/>
      <c r="D36" s="3528"/>
      <c r="E36" s="3528"/>
    </row>
    <row r="37" spans="1:5" s="3527" customFormat="1">
      <c r="A37" s="3529"/>
      <c r="D37" s="3528"/>
      <c r="E37" s="3528"/>
    </row>
    <row r="38" spans="1:5" s="3527" customFormat="1">
      <c r="A38" s="3529"/>
      <c r="D38" s="3528"/>
      <c r="E38" s="3528"/>
    </row>
    <row r="39" spans="1:5" s="3527" customFormat="1">
      <c r="A39" s="3529"/>
      <c r="D39" s="3528"/>
      <c r="E39" s="3528"/>
    </row>
    <row r="40" spans="1:5" s="3527" customFormat="1">
      <c r="A40" s="3529"/>
      <c r="D40" s="3528"/>
      <c r="E40" s="3528"/>
    </row>
    <row r="41" spans="1:5" s="3527" customFormat="1">
      <c r="A41" s="3529"/>
      <c r="D41" s="3528"/>
      <c r="E41" s="3528"/>
    </row>
    <row r="42" spans="1:5" s="3527" customFormat="1">
      <c r="A42" s="3529"/>
      <c r="D42" s="3528"/>
      <c r="E42" s="3528"/>
    </row>
    <row r="43" spans="1:5" s="3527" customFormat="1">
      <c r="A43" s="3529"/>
      <c r="D43" s="3528"/>
      <c r="E43" s="3528"/>
    </row>
    <row r="44" spans="1:5" s="3527" customFormat="1">
      <c r="A44" s="3529"/>
      <c r="D44" s="3528"/>
      <c r="E44" s="3528"/>
    </row>
    <row r="45" spans="1:5" s="3527" customFormat="1">
      <c r="A45" s="3529"/>
      <c r="D45" s="3528"/>
      <c r="E45" s="3528"/>
    </row>
    <row r="46" spans="1:5" s="3527" customFormat="1">
      <c r="A46" s="3529"/>
      <c r="D46" s="3528"/>
      <c r="E46" s="3528"/>
    </row>
    <row r="47" spans="1:5" s="3527" customFormat="1">
      <c r="A47" s="3529"/>
      <c r="D47" s="3528"/>
      <c r="E47" s="3528"/>
    </row>
    <row r="48" spans="1:5" s="3527" customFormat="1">
      <c r="A48" s="3529"/>
      <c r="D48" s="3528"/>
      <c r="E48" s="3528"/>
    </row>
    <row r="49" spans="1:5" s="3527" customFormat="1">
      <c r="A49" s="3529"/>
      <c r="D49" s="3528"/>
      <c r="E49" s="3528"/>
    </row>
    <row r="50" spans="1:5" s="3527" customFormat="1">
      <c r="A50" s="3529"/>
      <c r="D50" s="3528"/>
      <c r="E50" s="3528"/>
    </row>
    <row r="51" spans="1:5" s="3527" customFormat="1">
      <c r="A51" s="3529"/>
      <c r="D51" s="3528"/>
      <c r="E51" s="3528"/>
    </row>
    <row r="52" spans="1:5" s="3527" customFormat="1">
      <c r="A52" s="3529"/>
      <c r="D52" s="3528"/>
      <c r="E52" s="3528"/>
    </row>
    <row r="53" spans="1:5" s="3527" customFormat="1">
      <c r="A53" s="3529"/>
      <c r="D53" s="3528"/>
      <c r="E53" s="3528"/>
    </row>
    <row r="54" spans="1:5" s="3527" customFormat="1">
      <c r="A54" s="3529"/>
      <c r="D54" s="3528"/>
      <c r="E54" s="3528"/>
    </row>
    <row r="55" spans="1:5" s="3527" customFormat="1">
      <c r="A55" s="3529"/>
      <c r="D55" s="3528"/>
      <c r="E55" s="3528"/>
    </row>
    <row r="56" spans="1:5" s="3527" customFormat="1">
      <c r="A56" s="3529"/>
      <c r="D56" s="3528"/>
      <c r="E56" s="3528"/>
    </row>
    <row r="57" spans="1:5" s="3527" customFormat="1">
      <c r="A57" s="3529"/>
      <c r="D57" s="3528"/>
      <c r="E57" s="3528"/>
    </row>
    <row r="58" spans="1:5" s="3527" customFormat="1">
      <c r="A58" s="3529"/>
      <c r="D58" s="3528"/>
      <c r="E58" s="3528"/>
    </row>
    <row r="59" spans="1:5" s="3527" customFormat="1">
      <c r="A59" s="3529"/>
      <c r="D59" s="3528"/>
      <c r="E59" s="3528"/>
    </row>
    <row r="60" spans="1:5" s="3527" customFormat="1">
      <c r="A60" s="3529"/>
      <c r="D60" s="3528"/>
      <c r="E60" s="3528"/>
    </row>
    <row r="61" spans="1:5" s="3527" customFormat="1">
      <c r="A61" s="3529"/>
      <c r="D61" s="3528"/>
      <c r="E61" s="3528"/>
    </row>
    <row r="62" spans="1:5" s="3527" customFormat="1">
      <c r="A62" s="3529"/>
      <c r="D62" s="3528"/>
      <c r="E62" s="3528"/>
    </row>
    <row r="63" spans="1:5" s="3527" customFormat="1">
      <c r="A63" s="3529"/>
      <c r="D63" s="3528"/>
      <c r="E63" s="3528"/>
    </row>
  </sheetData>
  <phoneticPr fontId="134" type="noConversion"/>
  <dataValidations count="1">
    <dataValidation type="list" allowBlank="1" showInputMessage="1" showErrorMessage="1" sqref="G7">
      <formula1>"土地开发补偿费,征收补偿安置费"</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0" zoomScaleNormal="60" zoomScaleSheetLayoutView="80" workbookViewId="0">
      <selection activeCell="J9" sqref="J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68832</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9768</v>
      </c>
      <c r="C3" s="203" t="s">
        <v>1869</v>
      </c>
      <c r="D3" s="1192"/>
      <c r="E3" s="908"/>
      <c r="F3" s="909"/>
      <c r="G3" s="908"/>
      <c r="H3" s="908"/>
      <c r="I3" s="908"/>
      <c r="J3" s="908"/>
      <c r="K3" s="910"/>
      <c r="L3" s="3485" t="s">
        <v>3534</v>
      </c>
      <c r="M3" s="2734"/>
      <c r="N3" s="2734"/>
      <c r="O3" s="2734"/>
      <c r="P3" s="699"/>
      <c r="Q3" s="699"/>
      <c r="R3" s="699"/>
      <c r="S3" s="699"/>
      <c r="T3" s="699"/>
      <c r="U3" s="699"/>
      <c r="V3" s="699"/>
      <c r="W3" s="699"/>
      <c r="X3" s="699"/>
      <c r="Y3" s="699"/>
      <c r="Z3" s="699"/>
      <c r="AA3" s="699"/>
      <c r="AB3" s="716"/>
      <c r="AC3" s="713"/>
    </row>
    <row r="4" spans="1:30" ht="15">
      <c r="A4" s="355" t="s">
        <v>1769</v>
      </c>
      <c r="B4" s="356"/>
      <c r="C4" s="3840" t="s">
        <v>1770</v>
      </c>
      <c r="D4" s="3841"/>
      <c r="E4" s="3842" t="s">
        <v>1771</v>
      </c>
      <c r="F4" s="3843"/>
      <c r="G4" s="3840" t="s">
        <v>1772</v>
      </c>
      <c r="H4" s="3841"/>
      <c r="I4" s="3840" t="s">
        <v>1773</v>
      </c>
      <c r="J4" s="3841"/>
      <c r="K4" s="559" t="s">
        <v>1774</v>
      </c>
      <c r="L4" s="3486" t="s">
        <v>3637</v>
      </c>
      <c r="M4" s="3515">
        <v>0</v>
      </c>
      <c r="N4" s="3516">
        <f t="shared" ref="N4:N45" si="0">1+M4</f>
        <v>1</v>
      </c>
      <c r="O4" s="3517">
        <f t="shared" ref="O4:O47" si="1">ROUND(100/N4,1)</f>
        <v>100</v>
      </c>
      <c r="P4" s="3844" t="s">
        <v>1775</v>
      </c>
      <c r="Q4" s="3845"/>
      <c r="R4" s="3850" t="s">
        <v>1771</v>
      </c>
      <c r="S4" s="3851"/>
      <c r="T4" s="3850" t="s">
        <v>1772</v>
      </c>
      <c r="U4" s="3851"/>
      <c r="V4" s="3856" t="s">
        <v>1773</v>
      </c>
      <c r="W4" s="3856"/>
      <c r="X4" s="1354"/>
      <c r="Y4" s="3850" t="s">
        <v>1775</v>
      </c>
      <c r="Z4" s="3851"/>
      <c r="AA4" s="3837" t="s">
        <v>1771</v>
      </c>
      <c r="AB4" s="3838" t="s">
        <v>1772</v>
      </c>
      <c r="AC4" s="3837" t="s">
        <v>1773</v>
      </c>
    </row>
    <row r="5" spans="1:30" ht="39" customHeight="1" thickBot="1">
      <c r="A5" s="358"/>
      <c r="B5" s="359"/>
      <c r="C5" s="3859" t="s">
        <v>1673</v>
      </c>
      <c r="D5" s="3860"/>
      <c r="E5" s="3866" t="str">
        <f>一级开发成本案例!D3</f>
        <v>丰台区万泉寺住宅小区一级开发项目A地块</v>
      </c>
      <c r="F5" s="3867"/>
      <c r="G5" s="3859" t="str">
        <f>一级开发成本案例!D9</f>
        <v>丰台区城乡一体化周庄子村旧村改造项目</v>
      </c>
      <c r="H5" s="3860"/>
      <c r="I5" s="3859" t="str">
        <f>一级开发成本案例!D14</f>
        <v>丰台区丽泽金融商务区南区</v>
      </c>
      <c r="J5" s="3860"/>
      <c r="K5" s="559"/>
      <c r="L5" s="3486" t="s">
        <v>3636</v>
      </c>
      <c r="M5" s="3518">
        <v>1.6999999999999999E-3</v>
      </c>
      <c r="N5" s="3516">
        <f t="shared" si="0"/>
        <v>1.0017</v>
      </c>
      <c r="O5" s="3517">
        <f t="shared" si="1"/>
        <v>99.8</v>
      </c>
      <c r="P5" s="3846"/>
      <c r="Q5" s="3847"/>
      <c r="R5" s="3852"/>
      <c r="S5" s="3853"/>
      <c r="T5" s="3852"/>
      <c r="U5" s="3853"/>
      <c r="V5" s="3856"/>
      <c r="W5" s="3856"/>
      <c r="X5" s="1354"/>
      <c r="Y5" s="3852"/>
      <c r="Z5" s="3853"/>
      <c r="AA5" s="3838"/>
      <c r="AB5" s="3838"/>
      <c r="AC5" s="3838"/>
    </row>
    <row r="6" spans="1:30" ht="15.75" hidden="1" thickBot="1">
      <c r="A6" s="360"/>
      <c r="B6" s="361"/>
      <c r="C6" s="3857" t="s">
        <v>1677</v>
      </c>
      <c r="D6" s="3858"/>
      <c r="E6" s="3864" t="s">
        <v>1677</v>
      </c>
      <c r="F6" s="3865"/>
      <c r="G6" s="3857" t="s">
        <v>1677</v>
      </c>
      <c r="H6" s="3858"/>
      <c r="I6" s="3857" t="s">
        <v>1677</v>
      </c>
      <c r="J6" s="3858"/>
      <c r="K6" s="559" t="s">
        <v>1678</v>
      </c>
      <c r="L6" s="3486" t="s">
        <v>3537</v>
      </c>
      <c r="M6" s="3515">
        <f>[1]地价!P8</f>
        <v>9.4999999999999998E-3</v>
      </c>
      <c r="N6" s="3516">
        <f t="shared" si="0"/>
        <v>1.0095000000000001</v>
      </c>
      <c r="O6" s="3517">
        <f t="shared" si="1"/>
        <v>99.1</v>
      </c>
      <c r="P6" s="3848"/>
      <c r="Q6" s="3849"/>
      <c r="R6" s="3852"/>
      <c r="S6" s="3853"/>
      <c r="T6" s="3854"/>
      <c r="U6" s="3855"/>
      <c r="V6" s="3856"/>
      <c r="W6" s="3856"/>
      <c r="X6" s="1354"/>
      <c r="Y6" s="3854"/>
      <c r="Z6" s="3855"/>
      <c r="AA6" s="3839"/>
      <c r="AB6" s="3839"/>
      <c r="AC6" s="3839"/>
    </row>
    <row r="7" spans="1:30" s="108" customFormat="1" ht="15.75" thickBot="1">
      <c r="A7" s="362" t="s">
        <v>1679</v>
      </c>
      <c r="B7" s="363"/>
      <c r="C7" s="364">
        <f>'数据-取费表'!B2</f>
        <v>45399</v>
      </c>
      <c r="D7" s="365">
        <v>100</v>
      </c>
      <c r="E7" s="366">
        <v>44256</v>
      </c>
      <c r="F7" s="367">
        <f>O22</f>
        <v>98.9</v>
      </c>
      <c r="G7" s="1973">
        <v>43466</v>
      </c>
      <c r="H7" s="365">
        <f>O30</f>
        <v>99.4</v>
      </c>
      <c r="I7" s="1973">
        <v>43132</v>
      </c>
      <c r="J7" s="365">
        <f>O42</f>
        <v>98.4</v>
      </c>
      <c r="K7" s="560"/>
      <c r="L7" s="3486" t="s">
        <v>3635</v>
      </c>
      <c r="M7" s="3518">
        <v>2.0999999999999999E-3</v>
      </c>
      <c r="N7" s="3516">
        <f t="shared" si="0"/>
        <v>1.0021</v>
      </c>
      <c r="O7" s="3517">
        <f t="shared" si="1"/>
        <v>99.8</v>
      </c>
      <c r="P7" s="3861" t="s">
        <v>1680</v>
      </c>
      <c r="Q7" s="3863"/>
      <c r="R7" s="701" t="s">
        <v>14</v>
      </c>
      <c r="S7" s="702">
        <f t="shared" ref="S7:S15" si="2">F7</f>
        <v>98.9</v>
      </c>
      <c r="T7" s="701" t="s">
        <v>14</v>
      </c>
      <c r="U7" s="702">
        <f t="shared" ref="U7:U15" si="3">H7</f>
        <v>99.4</v>
      </c>
      <c r="V7" s="701" t="s">
        <v>14</v>
      </c>
      <c r="W7" s="702">
        <f t="shared" ref="W7:W15" si="4">J7</f>
        <v>98.4</v>
      </c>
      <c r="X7" s="703"/>
      <c r="Y7" s="3861" t="s">
        <v>1680</v>
      </c>
      <c r="Z7" s="3862"/>
      <c r="AA7" s="704">
        <f>D7/F7</f>
        <v>1.0111223458038423</v>
      </c>
      <c r="AB7" s="704">
        <f>D7/H7</f>
        <v>1.0060362173038229</v>
      </c>
      <c r="AC7" s="704">
        <f>D7/J7</f>
        <v>1.0162601626016259</v>
      </c>
    </row>
    <row r="8" spans="1:30" s="108" customFormat="1" ht="15.75" thickBot="1">
      <c r="A8" s="362" t="s">
        <v>1681</v>
      </c>
      <c r="B8" s="363"/>
      <c r="C8" s="368" t="s">
        <v>1682</v>
      </c>
      <c r="D8" s="365">
        <v>100</v>
      </c>
      <c r="E8" s="368" t="s">
        <v>3552</v>
      </c>
      <c r="F8" s="367">
        <f>SUMIF(72:72,E8,73:73)-SUMIF(72:72,C8,73:73)+100</f>
        <v>100</v>
      </c>
      <c r="G8" s="368" t="s">
        <v>3552</v>
      </c>
      <c r="H8" s="365">
        <f>SUMIF(72:72,G8,73:73)-SUMIF(72:72,C8,73:73)+100</f>
        <v>100</v>
      </c>
      <c r="I8" s="368" t="s">
        <v>3552</v>
      </c>
      <c r="J8" s="365">
        <f>SUMIF(72:72,I8,73:73)-SUMIF(72:72,C8,73:73)+100</f>
        <v>100</v>
      </c>
      <c r="K8" s="560"/>
      <c r="L8" s="3486" t="s">
        <v>3634</v>
      </c>
      <c r="M8" s="3515">
        <v>9.5999999999999992E-3</v>
      </c>
      <c r="N8" s="3516">
        <f t="shared" si="0"/>
        <v>1.0096000000000001</v>
      </c>
      <c r="O8" s="3517">
        <f t="shared" si="1"/>
        <v>99</v>
      </c>
      <c r="P8" s="3861" t="s">
        <v>1683</v>
      </c>
      <c r="Q8" s="3862"/>
      <c r="R8" s="701" t="s">
        <v>14</v>
      </c>
      <c r="S8" s="702">
        <f t="shared" si="2"/>
        <v>100</v>
      </c>
      <c r="T8" s="701" t="s">
        <v>14</v>
      </c>
      <c r="U8" s="702">
        <f t="shared" si="3"/>
        <v>100</v>
      </c>
      <c r="V8" s="701" t="s">
        <v>14</v>
      </c>
      <c r="W8" s="702">
        <f t="shared" si="4"/>
        <v>100</v>
      </c>
      <c r="X8" s="703"/>
      <c r="Y8" s="3861" t="s">
        <v>1683</v>
      </c>
      <c r="Z8" s="3862"/>
      <c r="AA8" s="704">
        <f t="shared" ref="AA8:AA45" si="5">D8/F8</f>
        <v>1</v>
      </c>
      <c r="AB8" s="704">
        <f t="shared" ref="AB8:AB45" si="6">D8/H8</f>
        <v>1</v>
      </c>
      <c r="AC8" s="704">
        <f t="shared" ref="AC8:AC45" si="7">D8/J8</f>
        <v>1</v>
      </c>
    </row>
    <row r="9" spans="1:30" s="108" customFormat="1" ht="15" thickBo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3486" t="s">
        <v>3633</v>
      </c>
      <c r="M9" s="3518">
        <v>9.1999999999999998E-3</v>
      </c>
      <c r="N9" s="3516">
        <f t="shared" si="0"/>
        <v>1.0092000000000001</v>
      </c>
      <c r="O9" s="3517">
        <f t="shared" si="1"/>
        <v>99.1</v>
      </c>
      <c r="P9" s="3825" t="s">
        <v>1686</v>
      </c>
      <c r="Q9" s="1342" t="str">
        <f t="shared" ref="Q9:Q15" si="8">B9</f>
        <v>用途</v>
      </c>
      <c r="R9" s="701" t="s">
        <v>14</v>
      </c>
      <c r="S9" s="702">
        <f t="shared" si="2"/>
        <v>100</v>
      </c>
      <c r="T9" s="701" t="s">
        <v>14</v>
      </c>
      <c r="U9" s="702">
        <f t="shared" si="3"/>
        <v>100</v>
      </c>
      <c r="V9" s="701" t="s">
        <v>14</v>
      </c>
      <c r="W9" s="702">
        <f t="shared" si="4"/>
        <v>100</v>
      </c>
      <c r="X9" s="703"/>
      <c r="Y9" s="3681" t="s">
        <v>1687</v>
      </c>
      <c r="Z9" s="52" t="str">
        <f t="shared" ref="Z9:Z15" si="9">Q9</f>
        <v>用途</v>
      </c>
      <c r="AA9" s="704">
        <f t="shared" si="5"/>
        <v>1</v>
      </c>
      <c r="AB9" s="704">
        <f t="shared" si="6"/>
        <v>1</v>
      </c>
      <c r="AC9" s="704">
        <f t="shared" si="7"/>
        <v>1</v>
      </c>
    </row>
    <row r="10" spans="1:30" s="378" customFormat="1" ht="27" hidden="1">
      <c r="A10" s="374"/>
      <c r="B10" s="375" t="s">
        <v>1688</v>
      </c>
      <c r="C10" s="383" t="s">
        <v>3555</v>
      </c>
      <c r="D10" s="127">
        <v>100</v>
      </c>
      <c r="E10" s="416" t="s">
        <v>3556</v>
      </c>
      <c r="F10" s="127">
        <f>ROUND(100/'数据-取费表'!G16,0)</f>
        <v>100</v>
      </c>
      <c r="G10" s="414" t="s">
        <v>3554</v>
      </c>
      <c r="H10" s="127">
        <f>ROUND(100/'数据-取费表'!G16,0)</f>
        <v>100</v>
      </c>
      <c r="I10" s="414" t="s">
        <v>3553</v>
      </c>
      <c r="J10" s="127">
        <f>ROUND(100/'数据-取费表'!G16,0)</f>
        <v>100</v>
      </c>
      <c r="K10" s="620"/>
      <c r="L10" s="3486" t="s">
        <v>3541</v>
      </c>
      <c r="M10" s="3515">
        <f>[1]地价!P12</f>
        <v>5.0000000000000001E-3</v>
      </c>
      <c r="N10" s="3516">
        <f t="shared" si="0"/>
        <v>1.0049999999999999</v>
      </c>
      <c r="O10" s="3517">
        <f t="shared" si="1"/>
        <v>99.5</v>
      </c>
      <c r="P10" s="3825"/>
      <c r="Q10" s="1342" t="str">
        <f t="shared" si="8"/>
        <v>土地使用年限（年）</v>
      </c>
      <c r="R10" s="701" t="s">
        <v>14</v>
      </c>
      <c r="S10" s="702">
        <f t="shared" si="2"/>
        <v>100</v>
      </c>
      <c r="T10" s="701" t="s">
        <v>14</v>
      </c>
      <c r="U10" s="702">
        <f t="shared" si="3"/>
        <v>100</v>
      </c>
      <c r="V10" s="701" t="s">
        <v>14</v>
      </c>
      <c r="W10" s="702">
        <f t="shared" si="4"/>
        <v>100</v>
      </c>
      <c r="X10" s="703"/>
      <c r="Y10" s="3681"/>
      <c r="Z10" s="52" t="str">
        <f t="shared" si="9"/>
        <v>土地使用年限（年）</v>
      </c>
      <c r="AA10" s="704">
        <f t="shared" si="5"/>
        <v>1</v>
      </c>
      <c r="AB10" s="704">
        <f t="shared" si="6"/>
        <v>1</v>
      </c>
      <c r="AC10" s="704">
        <f t="shared" si="7"/>
        <v>1</v>
      </c>
    </row>
    <row r="11" spans="1:30" ht="15" hidden="1">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3486" t="s">
        <v>3542</v>
      </c>
      <c r="M11" s="3518">
        <f>[1]地价!P13</f>
        <v>2.0999999999999999E-3</v>
      </c>
      <c r="N11" s="3516">
        <f t="shared" si="0"/>
        <v>1.0021</v>
      </c>
      <c r="O11" s="3517">
        <f t="shared" si="1"/>
        <v>99.8</v>
      </c>
      <c r="P11" s="3825"/>
      <c r="Q11" s="1342" t="str">
        <f t="shared" si="8"/>
        <v>容积率</v>
      </c>
      <c r="R11" s="701" t="s">
        <v>14</v>
      </c>
      <c r="S11" s="702">
        <f t="shared" si="2"/>
        <v>100</v>
      </c>
      <c r="T11" s="701" t="s">
        <v>14</v>
      </c>
      <c r="U11" s="702">
        <f t="shared" si="3"/>
        <v>100</v>
      </c>
      <c r="V11" s="701" t="s">
        <v>14</v>
      </c>
      <c r="W11" s="702">
        <f t="shared" si="4"/>
        <v>100</v>
      </c>
      <c r="X11" s="703"/>
      <c r="Y11" s="3681"/>
      <c r="Z11" s="52" t="str">
        <f t="shared" si="9"/>
        <v>容积率</v>
      </c>
      <c r="AA11" s="704">
        <f t="shared" si="5"/>
        <v>1</v>
      </c>
      <c r="AB11" s="704">
        <f t="shared" si="6"/>
        <v>1</v>
      </c>
      <c r="AC11" s="704">
        <f t="shared" si="7"/>
        <v>1</v>
      </c>
    </row>
    <row r="12" spans="1:30" s="108" customFormat="1" ht="15" hidden="1">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3486" t="s">
        <v>3543</v>
      </c>
      <c r="M12" s="3515">
        <f>[1]地价!P14</f>
        <v>5.4000000000000003E-3</v>
      </c>
      <c r="N12" s="3516">
        <f t="shared" si="0"/>
        <v>1.0054000000000001</v>
      </c>
      <c r="O12" s="3517">
        <f t="shared" si="1"/>
        <v>99.5</v>
      </c>
      <c r="P12" s="3825"/>
      <c r="Q12" s="1342" t="str">
        <f t="shared" si="8"/>
        <v>配建</v>
      </c>
      <c r="R12" s="701" t="s">
        <v>14</v>
      </c>
      <c r="S12" s="702">
        <f t="shared" si="2"/>
        <v>100</v>
      </c>
      <c r="T12" s="701" t="s">
        <v>14</v>
      </c>
      <c r="U12" s="702">
        <f t="shared" si="3"/>
        <v>100</v>
      </c>
      <c r="V12" s="701" t="s">
        <v>14</v>
      </c>
      <c r="W12" s="702">
        <f t="shared" si="4"/>
        <v>100</v>
      </c>
      <c r="X12" s="703"/>
      <c r="Y12" s="3681"/>
      <c r="Z12" s="52" t="str">
        <f t="shared" si="9"/>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3486" t="s">
        <v>3544</v>
      </c>
      <c r="M13" s="3518">
        <f>[1]地价!P15</f>
        <v>6.0000000000000001E-3</v>
      </c>
      <c r="N13" s="3516">
        <f t="shared" si="0"/>
        <v>1.006</v>
      </c>
      <c r="O13" s="3517">
        <f t="shared" si="1"/>
        <v>99.4</v>
      </c>
      <c r="P13" s="3825"/>
      <c r="Q13" s="1342">
        <f t="shared" si="8"/>
        <v>111</v>
      </c>
      <c r="R13" s="701" t="s">
        <v>14</v>
      </c>
      <c r="S13" s="702">
        <f t="shared" si="2"/>
        <v>100</v>
      </c>
      <c r="T13" s="701" t="s">
        <v>14</v>
      </c>
      <c r="U13" s="702">
        <f t="shared" si="3"/>
        <v>100</v>
      </c>
      <c r="V13" s="701" t="s">
        <v>14</v>
      </c>
      <c r="W13" s="702">
        <f t="shared" si="4"/>
        <v>100</v>
      </c>
      <c r="X13" s="703"/>
      <c r="Y13" s="3681"/>
      <c r="Z13" s="52">
        <f t="shared" si="9"/>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3486" t="s">
        <v>3545</v>
      </c>
      <c r="M14" s="3515">
        <f>[1]地价!P16</f>
        <v>1.6200000000000003E-2</v>
      </c>
      <c r="N14" s="3516">
        <f t="shared" si="0"/>
        <v>1.0162</v>
      </c>
      <c r="O14" s="3517">
        <f t="shared" si="1"/>
        <v>98.4</v>
      </c>
      <c r="P14" s="3825"/>
      <c r="Q14" s="1342">
        <f t="shared" si="8"/>
        <v>111</v>
      </c>
      <c r="R14" s="701" t="s">
        <v>14</v>
      </c>
      <c r="S14" s="702">
        <f t="shared" si="2"/>
        <v>100</v>
      </c>
      <c r="T14" s="701" t="s">
        <v>14</v>
      </c>
      <c r="U14" s="702">
        <f t="shared" si="3"/>
        <v>100</v>
      </c>
      <c r="V14" s="701" t="s">
        <v>14</v>
      </c>
      <c r="W14" s="702">
        <f t="shared" si="4"/>
        <v>100</v>
      </c>
      <c r="X14" s="703"/>
      <c r="Y14" s="3681"/>
      <c r="Z14" s="52">
        <f t="shared" si="9"/>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3486" t="s">
        <v>3632</v>
      </c>
      <c r="M15" s="3518">
        <v>6.8999999999999999E-3</v>
      </c>
      <c r="N15" s="3516">
        <f t="shared" si="0"/>
        <v>1.0068999999999999</v>
      </c>
      <c r="O15" s="3517">
        <f t="shared" si="1"/>
        <v>99.3</v>
      </c>
      <c r="P15" s="3827" t="s">
        <v>1691</v>
      </c>
      <c r="Q15" s="1351" t="str">
        <f t="shared" si="8"/>
        <v>居住社区成熟度</v>
      </c>
      <c r="R15" s="705" t="s">
        <v>14</v>
      </c>
      <c r="S15" s="706">
        <f t="shared" si="2"/>
        <v>100</v>
      </c>
      <c r="T15" s="705" t="s">
        <v>14</v>
      </c>
      <c r="U15" s="706">
        <f t="shared" si="3"/>
        <v>100</v>
      </c>
      <c r="V15" s="705" t="s">
        <v>14</v>
      </c>
      <c r="W15" s="706">
        <f t="shared" si="4"/>
        <v>100</v>
      </c>
      <c r="X15" s="1354"/>
      <c r="Y15" s="3827" t="s">
        <v>1691</v>
      </c>
      <c r="Z15" s="1355" t="str">
        <f t="shared" si="9"/>
        <v>居住社区成熟度</v>
      </c>
      <c r="AA15" s="1352">
        <f t="shared" si="5"/>
        <v>1</v>
      </c>
      <c r="AB15" s="1352">
        <f t="shared" si="6"/>
        <v>1</v>
      </c>
      <c r="AC15" s="1352">
        <f t="shared" si="7"/>
        <v>1</v>
      </c>
    </row>
    <row r="16" spans="1:30" ht="15">
      <c r="A16" s="379"/>
      <c r="B16" s="397"/>
      <c r="C16" s="398" t="s">
        <v>3566</v>
      </c>
      <c r="D16" s="399"/>
      <c r="E16" s="398" t="s">
        <v>3566</v>
      </c>
      <c r="F16" s="399"/>
      <c r="G16" s="398" t="s">
        <v>3566</v>
      </c>
      <c r="H16" s="401"/>
      <c r="I16" s="1896" t="s">
        <v>3566</v>
      </c>
      <c r="J16" s="399"/>
      <c r="K16" s="620"/>
      <c r="L16" s="3486" t="s">
        <v>3631</v>
      </c>
      <c r="M16" s="3518">
        <v>7.1999999999999998E-3</v>
      </c>
      <c r="N16" s="3516">
        <f t="shared" si="0"/>
        <v>1.0072000000000001</v>
      </c>
      <c r="O16" s="3517">
        <f t="shared" si="1"/>
        <v>99.3</v>
      </c>
      <c r="P16" s="3828"/>
      <c r="Q16" s="1351"/>
      <c r="R16" s="705"/>
      <c r="S16" s="706"/>
      <c r="T16" s="705"/>
      <c r="U16" s="706"/>
      <c r="V16" s="705"/>
      <c r="W16" s="706"/>
      <c r="X16" s="1354"/>
      <c r="Y16" s="382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3486" t="s">
        <v>3630</v>
      </c>
      <c r="M17" s="3518">
        <v>1.0500000000000001E-2</v>
      </c>
      <c r="N17" s="3516">
        <f t="shared" si="0"/>
        <v>1.0105</v>
      </c>
      <c r="O17" s="3517">
        <f t="shared" si="1"/>
        <v>99</v>
      </c>
      <c r="P17" s="3828"/>
      <c r="Q17" s="1351" t="str">
        <f>B17</f>
        <v>商业繁华度</v>
      </c>
      <c r="R17" s="705" t="s">
        <v>14</v>
      </c>
      <c r="S17" s="706">
        <f>F17</f>
        <v>100</v>
      </c>
      <c r="T17" s="705" t="s">
        <v>14</v>
      </c>
      <c r="U17" s="706">
        <f>H17</f>
        <v>100</v>
      </c>
      <c r="V17" s="705" t="s">
        <v>14</v>
      </c>
      <c r="W17" s="706">
        <f>J17</f>
        <v>100</v>
      </c>
      <c r="X17" s="1354"/>
      <c r="Y17" s="3828"/>
      <c r="Z17" s="1355" t="str">
        <f>Q17</f>
        <v>商业繁华度</v>
      </c>
      <c r="AA17" s="1352">
        <f t="shared" si="5"/>
        <v>1</v>
      </c>
      <c r="AB17" s="1352">
        <f t="shared" si="6"/>
        <v>1</v>
      </c>
      <c r="AC17" s="1352">
        <f t="shared" si="7"/>
        <v>1</v>
      </c>
    </row>
    <row r="18" spans="1:29" ht="15">
      <c r="A18" s="379"/>
      <c r="B18" s="407"/>
      <c r="C18" s="1900" t="s">
        <v>3566</v>
      </c>
      <c r="D18" s="401"/>
      <c r="E18" s="1900" t="s">
        <v>3566</v>
      </c>
      <c r="F18" s="401"/>
      <c r="G18" s="1900" t="s">
        <v>3566</v>
      </c>
      <c r="H18" s="399"/>
      <c r="I18" s="1900" t="s">
        <v>3566</v>
      </c>
      <c r="J18" s="399"/>
      <c r="K18" s="620"/>
      <c r="L18" s="3486" t="s">
        <v>3535</v>
      </c>
      <c r="M18" s="3515">
        <v>9.5999999999999992E-3</v>
      </c>
      <c r="N18" s="3516">
        <f t="shared" si="0"/>
        <v>1.0096000000000001</v>
      </c>
      <c r="O18" s="3517">
        <f t="shared" si="1"/>
        <v>99</v>
      </c>
      <c r="P18" s="3828"/>
      <c r="Q18" s="1351"/>
      <c r="R18" s="705"/>
      <c r="S18" s="706"/>
      <c r="T18" s="705"/>
      <c r="U18" s="706"/>
      <c r="V18" s="705"/>
      <c r="W18" s="706"/>
      <c r="X18" s="1354"/>
      <c r="Y18" s="382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3486" t="s">
        <v>3536</v>
      </c>
      <c r="M19" s="3518">
        <v>1.17E-2</v>
      </c>
      <c r="N19" s="3516">
        <f t="shared" si="0"/>
        <v>1.0117</v>
      </c>
      <c r="O19" s="3517">
        <f t="shared" si="1"/>
        <v>98.8</v>
      </c>
      <c r="P19" s="3828"/>
      <c r="Q19" s="1351" t="str">
        <f>B19</f>
        <v>办公集聚程度</v>
      </c>
      <c r="R19" s="705" t="s">
        <v>14</v>
      </c>
      <c r="S19" s="706">
        <f>F19</f>
        <v>100</v>
      </c>
      <c r="T19" s="705" t="s">
        <v>14</v>
      </c>
      <c r="U19" s="706">
        <f>H19</f>
        <v>100</v>
      </c>
      <c r="V19" s="705" t="s">
        <v>14</v>
      </c>
      <c r="W19" s="706">
        <f>J19</f>
        <v>100</v>
      </c>
      <c r="X19" s="1354"/>
      <c r="Y19" s="3828"/>
      <c r="Z19" s="1355" t="str">
        <f>Q19</f>
        <v>办公集聚程度</v>
      </c>
      <c r="AA19" s="1352">
        <f t="shared" si="5"/>
        <v>1</v>
      </c>
      <c r="AB19" s="1352">
        <f t="shared" si="6"/>
        <v>1</v>
      </c>
      <c r="AC19" s="1352">
        <f t="shared" si="7"/>
        <v>1</v>
      </c>
    </row>
    <row r="20" spans="1:29" ht="15">
      <c r="A20" s="379"/>
      <c r="B20" s="407"/>
      <c r="C20" s="1900" t="s">
        <v>3566</v>
      </c>
      <c r="D20" s="399"/>
      <c r="E20" s="1900" t="s">
        <v>3566</v>
      </c>
      <c r="F20" s="399"/>
      <c r="G20" s="1900" t="s">
        <v>3566</v>
      </c>
      <c r="H20" s="399"/>
      <c r="I20" s="1900" t="s">
        <v>3566</v>
      </c>
      <c r="J20" s="399"/>
      <c r="K20" s="620"/>
      <c r="L20" s="3486" t="s">
        <v>3537</v>
      </c>
      <c r="M20" s="3515">
        <v>4.7999999999999996E-3</v>
      </c>
      <c r="N20" s="3516">
        <f t="shared" si="0"/>
        <v>1.0047999999999999</v>
      </c>
      <c r="O20" s="3517">
        <f t="shared" si="1"/>
        <v>99.5</v>
      </c>
      <c r="P20" s="3828"/>
      <c r="Q20" s="1351"/>
      <c r="R20" s="705"/>
      <c r="S20" s="706"/>
      <c r="T20" s="705"/>
      <c r="U20" s="706"/>
      <c r="V20" s="705"/>
      <c r="W20" s="706"/>
      <c r="X20" s="1354"/>
      <c r="Y20" s="382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3486" t="s">
        <v>3538</v>
      </c>
      <c r="M21" s="3518">
        <v>9.4999999999999998E-3</v>
      </c>
      <c r="N21" s="3516">
        <f t="shared" si="0"/>
        <v>1.0095000000000001</v>
      </c>
      <c r="O21" s="3517">
        <f t="shared" si="1"/>
        <v>99.1</v>
      </c>
      <c r="P21" s="3828"/>
      <c r="Q21" s="1351" t="str">
        <f>B21</f>
        <v>交通便捷度</v>
      </c>
      <c r="R21" s="705" t="s">
        <v>14</v>
      </c>
      <c r="S21" s="706">
        <f>F21</f>
        <v>100</v>
      </c>
      <c r="T21" s="705" t="s">
        <v>14</v>
      </c>
      <c r="U21" s="706">
        <f>H21</f>
        <v>100</v>
      </c>
      <c r="V21" s="705" t="s">
        <v>14</v>
      </c>
      <c r="W21" s="706">
        <f>J21</f>
        <v>100</v>
      </c>
      <c r="X21" s="1354"/>
      <c r="Y21" s="3828"/>
      <c r="Z21" s="1355" t="str">
        <f>Q21</f>
        <v>交通便捷度</v>
      </c>
      <c r="AA21" s="1352">
        <f t="shared" si="5"/>
        <v>1</v>
      </c>
      <c r="AB21" s="1352">
        <f t="shared" si="6"/>
        <v>1</v>
      </c>
      <c r="AC21" s="1352">
        <f t="shared" si="7"/>
        <v>1</v>
      </c>
    </row>
    <row r="22" spans="1:29" ht="15">
      <c r="A22" s="379"/>
      <c r="B22" s="1130"/>
      <c r="C22" s="1900" t="s">
        <v>3566</v>
      </c>
      <c r="D22" s="401"/>
      <c r="E22" s="1900" t="s">
        <v>3566</v>
      </c>
      <c r="F22" s="399"/>
      <c r="G22" s="1900" t="s">
        <v>3566</v>
      </c>
      <c r="H22" s="399"/>
      <c r="I22" s="1900" t="s">
        <v>3566</v>
      </c>
      <c r="J22" s="399"/>
      <c r="K22" s="620"/>
      <c r="L22" s="3519" t="s">
        <v>3539</v>
      </c>
      <c r="M22" s="3520">
        <v>1.11E-2</v>
      </c>
      <c r="N22" s="3521">
        <f t="shared" si="0"/>
        <v>1.0111000000000001</v>
      </c>
      <c r="O22" s="3522">
        <f t="shared" si="1"/>
        <v>98.9</v>
      </c>
      <c r="P22" s="3828"/>
      <c r="Q22" s="1351"/>
      <c r="R22" s="705"/>
      <c r="S22" s="706"/>
      <c r="T22" s="705"/>
      <c r="U22" s="706"/>
      <c r="V22" s="705"/>
      <c r="W22" s="706"/>
      <c r="X22" s="1354"/>
      <c r="Y22" s="382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3486" t="s">
        <v>3540</v>
      </c>
      <c r="M23" s="3518">
        <v>2.35E-2</v>
      </c>
      <c r="N23" s="3516">
        <f t="shared" si="0"/>
        <v>1.0235000000000001</v>
      </c>
      <c r="O23" s="3517">
        <f t="shared" si="1"/>
        <v>97.7</v>
      </c>
      <c r="P23" s="3828"/>
      <c r="Q23" s="1351" t="str">
        <f t="shared" ref="Q23:Q37" si="10">B23</f>
        <v>区域土地利用方向</v>
      </c>
      <c r="R23" s="705" t="s">
        <v>14</v>
      </c>
      <c r="S23" s="706">
        <f>F23</f>
        <v>100</v>
      </c>
      <c r="T23" s="705" t="s">
        <v>14</v>
      </c>
      <c r="U23" s="706">
        <f>H23</f>
        <v>100</v>
      </c>
      <c r="V23" s="705" t="s">
        <v>14</v>
      </c>
      <c r="W23" s="706">
        <f>J23</f>
        <v>100</v>
      </c>
      <c r="X23" s="1354"/>
      <c r="Y23" s="3828"/>
      <c r="Z23" s="1355" t="str">
        <f>Q23</f>
        <v>区域土地利用方向</v>
      </c>
      <c r="AA23" s="1352">
        <f t="shared" si="5"/>
        <v>1</v>
      </c>
      <c r="AB23" s="1352">
        <f t="shared" si="6"/>
        <v>1</v>
      </c>
      <c r="AC23" s="1352">
        <f t="shared" si="7"/>
        <v>1</v>
      </c>
    </row>
    <row r="24" spans="1:29" ht="15">
      <c r="A24" s="358"/>
      <c r="B24" s="407"/>
      <c r="C24" s="1900" t="s">
        <v>3566</v>
      </c>
      <c r="D24" s="399"/>
      <c r="E24" s="1900" t="s">
        <v>3566</v>
      </c>
      <c r="F24" s="399"/>
      <c r="G24" s="1900" t="s">
        <v>3566</v>
      </c>
      <c r="H24" s="399"/>
      <c r="I24" s="1900" t="s">
        <v>3566</v>
      </c>
      <c r="J24" s="399"/>
      <c r="K24" s="740"/>
      <c r="L24" s="3486" t="s">
        <v>3541</v>
      </c>
      <c r="M24" s="3518">
        <v>4.8999999999999998E-3</v>
      </c>
      <c r="N24" s="3516">
        <f t="shared" si="0"/>
        <v>1.0048999999999999</v>
      </c>
      <c r="O24" s="3517">
        <f t="shared" si="1"/>
        <v>99.5</v>
      </c>
      <c r="P24" s="3828"/>
      <c r="Q24" s="1351"/>
      <c r="R24" s="705"/>
      <c r="S24" s="706"/>
      <c r="T24" s="705"/>
      <c r="U24" s="706"/>
      <c r="V24" s="705"/>
      <c r="W24" s="706"/>
      <c r="X24" s="1354"/>
      <c r="Y24" s="3828"/>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3486" t="s">
        <v>3542</v>
      </c>
      <c r="M25" s="3518">
        <v>5.0000000000000001E-3</v>
      </c>
      <c r="N25" s="3516">
        <f t="shared" si="0"/>
        <v>1.0049999999999999</v>
      </c>
      <c r="O25" s="3517">
        <f t="shared" si="1"/>
        <v>99.5</v>
      </c>
      <c r="P25" s="3828"/>
      <c r="Q25" s="1351" t="str">
        <f t="shared" si="10"/>
        <v>自然及人文环境状况</v>
      </c>
      <c r="R25" s="705" t="s">
        <v>14</v>
      </c>
      <c r="S25" s="706">
        <f>F25</f>
        <v>100</v>
      </c>
      <c r="T25" s="705" t="s">
        <v>14</v>
      </c>
      <c r="U25" s="706">
        <f>H25</f>
        <v>100</v>
      </c>
      <c r="V25" s="705" t="s">
        <v>14</v>
      </c>
      <c r="W25" s="706">
        <f>J25</f>
        <v>100</v>
      </c>
      <c r="X25" s="1354"/>
      <c r="Y25" s="3828"/>
      <c r="Z25" s="1355" t="str">
        <f>Q25</f>
        <v>自然及人文环境状况</v>
      </c>
      <c r="AA25" s="1352">
        <f t="shared" si="5"/>
        <v>1</v>
      </c>
      <c r="AB25" s="1352">
        <f t="shared" si="6"/>
        <v>1</v>
      </c>
      <c r="AC25" s="1352">
        <f t="shared" si="7"/>
        <v>1</v>
      </c>
    </row>
    <row r="26" spans="1:29" ht="15">
      <c r="A26" s="358"/>
      <c r="B26" s="407"/>
      <c r="C26" s="398" t="s">
        <v>3566</v>
      </c>
      <c r="D26" s="399"/>
      <c r="E26" s="398" t="s">
        <v>3566</v>
      </c>
      <c r="F26" s="399"/>
      <c r="G26" s="398" t="s">
        <v>3566</v>
      </c>
      <c r="H26" s="399"/>
      <c r="I26" s="398" t="s">
        <v>3566</v>
      </c>
      <c r="J26" s="399"/>
      <c r="K26" s="620"/>
      <c r="L26" s="3486" t="s">
        <v>3543</v>
      </c>
      <c r="M26" s="3518">
        <v>2.0999999999999999E-3</v>
      </c>
      <c r="N26" s="3516">
        <f t="shared" si="0"/>
        <v>1.0021</v>
      </c>
      <c r="O26" s="3517">
        <f t="shared" si="1"/>
        <v>99.8</v>
      </c>
      <c r="P26" s="3828"/>
      <c r="Q26" s="1351"/>
      <c r="R26" s="705"/>
      <c r="S26" s="706"/>
      <c r="T26" s="705"/>
      <c r="U26" s="706"/>
      <c r="V26" s="705"/>
      <c r="W26" s="706"/>
      <c r="X26" s="1354"/>
      <c r="Y26" s="3828"/>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3486" t="s">
        <v>3544</v>
      </c>
      <c r="M27" s="3518">
        <v>5.4000000000000003E-3</v>
      </c>
      <c r="N27" s="3516">
        <f t="shared" si="0"/>
        <v>1.0054000000000001</v>
      </c>
      <c r="O27" s="3517">
        <f t="shared" si="1"/>
        <v>99.5</v>
      </c>
      <c r="P27" s="3828"/>
      <c r="Q27" s="1342" t="str">
        <f t="shared" si="10"/>
        <v>公共配套设施</v>
      </c>
      <c r="R27" s="701" t="s">
        <v>14</v>
      </c>
      <c r="S27" s="702">
        <f>F27</f>
        <v>100</v>
      </c>
      <c r="T27" s="701" t="s">
        <v>14</v>
      </c>
      <c r="U27" s="702">
        <f>H27</f>
        <v>100</v>
      </c>
      <c r="V27" s="701" t="s">
        <v>14</v>
      </c>
      <c r="W27" s="702">
        <f>J27</f>
        <v>100</v>
      </c>
      <c r="X27" s="703"/>
      <c r="Y27" s="3828"/>
      <c r="Z27" s="52" t="str">
        <f>Q27</f>
        <v>公共配套设施</v>
      </c>
      <c r="AA27" s="1352">
        <f>D27/F27</f>
        <v>1</v>
      </c>
      <c r="AB27" s="1352">
        <f>D27/H27</f>
        <v>1</v>
      </c>
      <c r="AC27" s="1352">
        <f>D27/J27</f>
        <v>1</v>
      </c>
    </row>
    <row r="28" spans="1:29" s="108" customFormat="1" ht="15">
      <c r="A28" s="597"/>
      <c r="B28" s="407"/>
      <c r="C28" s="1977" t="s">
        <v>3566</v>
      </c>
      <c r="D28" s="399"/>
      <c r="E28" s="1977" t="s">
        <v>3566</v>
      </c>
      <c r="F28" s="399"/>
      <c r="G28" s="1977" t="s">
        <v>3566</v>
      </c>
      <c r="H28" s="399"/>
      <c r="I28" s="1977" t="s">
        <v>3566</v>
      </c>
      <c r="J28" s="399"/>
      <c r="K28" s="620"/>
      <c r="L28" s="3486" t="s">
        <v>3545</v>
      </c>
      <c r="M28" s="3518">
        <v>6.0000000000000001E-3</v>
      </c>
      <c r="N28" s="3516">
        <f t="shared" si="0"/>
        <v>1.006</v>
      </c>
      <c r="O28" s="3517">
        <f t="shared" si="1"/>
        <v>99.4</v>
      </c>
      <c r="P28" s="3828"/>
      <c r="Q28" s="1342"/>
      <c r="R28" s="701"/>
      <c r="S28" s="702"/>
      <c r="T28" s="701"/>
      <c r="U28" s="702"/>
      <c r="V28" s="701"/>
      <c r="W28" s="702"/>
      <c r="X28" s="703"/>
      <c r="Y28" s="3828"/>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3486" t="s">
        <v>3546</v>
      </c>
      <c r="M29" s="3518">
        <v>1.6199999999999999E-2</v>
      </c>
      <c r="N29" s="3516">
        <f t="shared" si="0"/>
        <v>1.0162</v>
      </c>
      <c r="O29" s="3517">
        <f t="shared" si="1"/>
        <v>98.4</v>
      </c>
      <c r="P29" s="3828"/>
      <c r="Q29" s="1342" t="str">
        <f t="shared" ref="Q29" si="11">B29</f>
        <v>基础设施水平</v>
      </c>
      <c r="R29" s="701" t="s">
        <v>14</v>
      </c>
      <c r="S29" s="702">
        <f>F29</f>
        <v>100</v>
      </c>
      <c r="T29" s="701" t="s">
        <v>14</v>
      </c>
      <c r="U29" s="702">
        <f>H29</f>
        <v>100</v>
      </c>
      <c r="V29" s="701" t="s">
        <v>14</v>
      </c>
      <c r="W29" s="702">
        <f>J29</f>
        <v>100</v>
      </c>
      <c r="X29" s="703"/>
      <c r="Y29" s="3828"/>
      <c r="Z29" s="52" t="str">
        <f>Q29</f>
        <v>基础设施水平</v>
      </c>
      <c r="AA29" s="1352">
        <f>D29/F29</f>
        <v>1</v>
      </c>
      <c r="AB29" s="1352">
        <f>D29/H29</f>
        <v>1</v>
      </c>
      <c r="AC29" s="1352">
        <f>D29/J29</f>
        <v>1</v>
      </c>
    </row>
    <row r="30" spans="1:29" s="108" customFormat="1" ht="15.75" thickBot="1">
      <c r="A30" s="597"/>
      <c r="B30" s="407"/>
      <c r="C30" s="1977" t="s">
        <v>3561</v>
      </c>
      <c r="D30" s="399"/>
      <c r="E30" s="1977" t="s">
        <v>3561</v>
      </c>
      <c r="F30" s="399"/>
      <c r="G30" s="1977" t="s">
        <v>3561</v>
      </c>
      <c r="H30" s="399"/>
      <c r="I30" s="1977" t="s">
        <v>3561</v>
      </c>
      <c r="J30" s="399"/>
      <c r="K30" s="620"/>
      <c r="L30" s="3519" t="s">
        <v>3547</v>
      </c>
      <c r="M30" s="3520">
        <v>6.3E-3</v>
      </c>
      <c r="N30" s="3521">
        <f t="shared" si="0"/>
        <v>1.0063</v>
      </c>
      <c r="O30" s="3522">
        <f t="shared" si="1"/>
        <v>99.4</v>
      </c>
      <c r="P30" s="3828"/>
      <c r="Q30" s="1342"/>
      <c r="R30" s="701"/>
      <c r="S30" s="702"/>
      <c r="T30" s="701"/>
      <c r="U30" s="702"/>
      <c r="V30" s="701"/>
      <c r="W30" s="702"/>
      <c r="X30" s="703"/>
      <c r="Y30" s="3828"/>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3487" t="s">
        <v>3548</v>
      </c>
      <c r="M31" s="2715"/>
      <c r="N31" s="3516">
        <f t="shared" si="0"/>
        <v>1</v>
      </c>
      <c r="O31" s="3517">
        <f t="shared" si="1"/>
        <v>100</v>
      </c>
      <c r="P31" s="3828"/>
      <c r="Q31" s="1351" t="str">
        <f t="shared" si="10"/>
        <v>临街状况</v>
      </c>
      <c r="R31" s="705" t="s">
        <v>14</v>
      </c>
      <c r="S31" s="706">
        <f t="shared" ref="S31:S45" si="12">F31</f>
        <v>100</v>
      </c>
      <c r="T31" s="705" t="s">
        <v>14</v>
      </c>
      <c r="U31" s="706">
        <f t="shared" ref="U31:U45" si="13">H31</f>
        <v>100</v>
      </c>
      <c r="V31" s="705" t="s">
        <v>14</v>
      </c>
      <c r="W31" s="706">
        <f t="shared" ref="W31:W45" si="14">J31</f>
        <v>100</v>
      </c>
      <c r="X31" s="1354"/>
      <c r="Y31" s="3828"/>
      <c r="Z31" s="1355" t="str">
        <f t="shared" ref="Z31:Z45" si="15">Q31</f>
        <v>临街状况</v>
      </c>
      <c r="AA31" s="1352">
        <f t="shared" si="5"/>
        <v>1</v>
      </c>
      <c r="AB31" s="1352">
        <f t="shared" si="6"/>
        <v>1</v>
      </c>
      <c r="AC31" s="1352">
        <f t="shared" si="7"/>
        <v>1</v>
      </c>
    </row>
    <row r="32" spans="1:29" ht="27" hidden="1">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3486" t="s">
        <v>3549</v>
      </c>
      <c r="M32" s="2715"/>
      <c r="N32" s="3516">
        <f t="shared" si="0"/>
        <v>1</v>
      </c>
      <c r="O32" s="3517">
        <f t="shared" si="1"/>
        <v>100</v>
      </c>
      <c r="P32" s="3828"/>
      <c r="Q32" s="1351" t="str">
        <f t="shared" si="10"/>
        <v>毗邻道路的类型与等级</v>
      </c>
      <c r="R32" s="705" t="s">
        <v>14</v>
      </c>
      <c r="S32" s="706">
        <f t="shared" si="12"/>
        <v>100</v>
      </c>
      <c r="T32" s="705" t="s">
        <v>14</v>
      </c>
      <c r="U32" s="706">
        <f t="shared" si="13"/>
        <v>100</v>
      </c>
      <c r="V32" s="705" t="s">
        <v>14</v>
      </c>
      <c r="W32" s="706">
        <f t="shared" si="14"/>
        <v>100</v>
      </c>
      <c r="X32" s="1354"/>
      <c r="Y32" s="3828"/>
      <c r="Z32" s="1355" t="str">
        <f t="shared" si="15"/>
        <v>毗邻道路的类型与等级</v>
      </c>
      <c r="AA32" s="1352">
        <f t="shared" si="5"/>
        <v>1</v>
      </c>
      <c r="AB32" s="1352">
        <f t="shared" si="6"/>
        <v>1</v>
      </c>
      <c r="AC32" s="1352">
        <f t="shared" si="7"/>
        <v>1</v>
      </c>
    </row>
    <row r="33" spans="1:29" ht="15" hidden="1">
      <c r="A33" s="379"/>
      <c r="B33" s="407"/>
      <c r="C33" s="398"/>
      <c r="D33" s="399"/>
      <c r="E33" s="1903"/>
      <c r="F33" s="399"/>
      <c r="G33" s="1903"/>
      <c r="H33" s="399"/>
      <c r="I33" s="398"/>
      <c r="J33" s="399"/>
      <c r="K33" s="562"/>
      <c r="L33" s="3487" t="s">
        <v>3550</v>
      </c>
      <c r="M33" s="2715"/>
      <c r="N33" s="3516">
        <f t="shared" si="0"/>
        <v>1</v>
      </c>
      <c r="O33" s="3517">
        <f t="shared" si="1"/>
        <v>100</v>
      </c>
      <c r="P33" s="3828"/>
      <c r="Q33" s="1351"/>
      <c r="R33" s="705"/>
      <c r="S33" s="706"/>
      <c r="T33" s="705"/>
      <c r="U33" s="706"/>
      <c r="V33" s="705"/>
      <c r="W33" s="706"/>
      <c r="X33" s="1354"/>
      <c r="Y33" s="3828"/>
      <c r="Z33" s="1355"/>
      <c r="AA33" s="1352">
        <v>1</v>
      </c>
      <c r="AB33" s="1352">
        <v>1</v>
      </c>
      <c r="AC33" s="1352">
        <v>1</v>
      </c>
    </row>
    <row r="34" spans="1:29" ht="15.75" hidden="1" thickBot="1">
      <c r="A34" s="379"/>
      <c r="B34" s="375" t="s">
        <v>1873</v>
      </c>
      <c r="C34" s="565" t="s">
        <v>296</v>
      </c>
      <c r="D34" s="386">
        <v>100</v>
      </c>
      <c r="E34" s="582" t="s">
        <v>296</v>
      </c>
      <c r="F34" s="386">
        <f>SUMIF(107:107,E34,108:108)-SUMIF(107:107,C34,108:108)+100</f>
        <v>100</v>
      </c>
      <c r="G34" s="582" t="s">
        <v>296</v>
      </c>
      <c r="H34" s="386">
        <f>SUMIF(107:107,G34,108:108)-SUMIF(107:107,C34,108:108)+100</f>
        <v>100</v>
      </c>
      <c r="I34" s="582" t="s">
        <v>296</v>
      </c>
      <c r="J34" s="386">
        <f>SUMIF(107:107,I34,108:108)-SUMIF(107:107,C34,108:108)+100</f>
        <v>100</v>
      </c>
      <c r="K34" s="561"/>
      <c r="L34" s="3486" t="s">
        <v>3551</v>
      </c>
      <c r="M34" s="2715"/>
      <c r="N34" s="3516">
        <f t="shared" si="0"/>
        <v>1</v>
      </c>
      <c r="O34" s="3517">
        <f t="shared" si="1"/>
        <v>100</v>
      </c>
      <c r="P34" s="3828"/>
      <c r="Q34" s="1351" t="str">
        <f t="shared" si="10"/>
        <v>土地级别</v>
      </c>
      <c r="R34" s="705" t="s">
        <v>14</v>
      </c>
      <c r="S34" s="706">
        <f t="shared" si="12"/>
        <v>100</v>
      </c>
      <c r="T34" s="705" t="s">
        <v>14</v>
      </c>
      <c r="U34" s="706">
        <f t="shared" si="13"/>
        <v>100</v>
      </c>
      <c r="V34" s="705" t="s">
        <v>14</v>
      </c>
      <c r="W34" s="706">
        <f t="shared" si="14"/>
        <v>100</v>
      </c>
      <c r="X34" s="1354"/>
      <c r="Y34" s="3828"/>
      <c r="Z34" s="1355" t="str">
        <f t="shared" si="15"/>
        <v>土地级别</v>
      </c>
      <c r="AA34" s="1352">
        <f t="shared" si="5"/>
        <v>1</v>
      </c>
      <c r="AB34" s="1352">
        <f t="shared" si="6"/>
        <v>1</v>
      </c>
      <c r="AC34" s="1352">
        <f t="shared" si="7"/>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3516">
        <f t="shared" si="0"/>
        <v>1</v>
      </c>
      <c r="O35" s="3517">
        <f t="shared" si="1"/>
        <v>100</v>
      </c>
      <c r="P35" s="3828"/>
      <c r="Q35" s="1351">
        <f t="shared" si="10"/>
        <v>111</v>
      </c>
      <c r="R35" s="705" t="s">
        <v>14</v>
      </c>
      <c r="S35" s="706">
        <f t="shared" si="12"/>
        <v>100</v>
      </c>
      <c r="T35" s="705" t="s">
        <v>14</v>
      </c>
      <c r="U35" s="706">
        <f t="shared" si="13"/>
        <v>100</v>
      </c>
      <c r="V35" s="705" t="s">
        <v>14</v>
      </c>
      <c r="W35" s="706">
        <f t="shared" si="14"/>
        <v>100</v>
      </c>
      <c r="X35" s="1354"/>
      <c r="Y35" s="3828"/>
      <c r="Z35" s="1355">
        <f t="shared" si="15"/>
        <v>111</v>
      </c>
      <c r="AA35" s="1352">
        <f t="shared" si="5"/>
        <v>1</v>
      </c>
      <c r="AB35" s="1352">
        <f t="shared" si="6"/>
        <v>1</v>
      </c>
      <c r="AC35" s="1352">
        <f t="shared" si="7"/>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3516">
        <f t="shared" si="0"/>
        <v>1</v>
      </c>
      <c r="O36" s="3517">
        <f t="shared" si="1"/>
        <v>100</v>
      </c>
      <c r="P36" s="3883" t="s">
        <v>1696</v>
      </c>
      <c r="Q36" s="1351">
        <f t="shared" si="10"/>
        <v>111</v>
      </c>
      <c r="R36" s="705" t="s">
        <v>14</v>
      </c>
      <c r="S36" s="706">
        <f t="shared" si="12"/>
        <v>100</v>
      </c>
      <c r="T36" s="705" t="s">
        <v>14</v>
      </c>
      <c r="U36" s="706">
        <f t="shared" si="13"/>
        <v>100</v>
      </c>
      <c r="V36" s="705" t="s">
        <v>14</v>
      </c>
      <c r="W36" s="706">
        <f t="shared" si="14"/>
        <v>100</v>
      </c>
      <c r="X36" s="1354"/>
      <c r="Y36" s="3832" t="s">
        <v>1696</v>
      </c>
      <c r="Z36" s="1355">
        <f t="shared" si="15"/>
        <v>111</v>
      </c>
      <c r="AA36" s="1352">
        <f t="shared" si="5"/>
        <v>1</v>
      </c>
      <c r="AB36" s="1352">
        <f t="shared" si="6"/>
        <v>1</v>
      </c>
      <c r="AC36" s="1352">
        <f t="shared" si="7"/>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3516">
        <f t="shared" si="0"/>
        <v>1</v>
      </c>
      <c r="O37" s="3517">
        <f t="shared" si="1"/>
        <v>100</v>
      </c>
      <c r="P37" s="3832"/>
      <c r="Q37" s="1351">
        <f t="shared" si="10"/>
        <v>111</v>
      </c>
      <c r="R37" s="708" t="s">
        <v>14</v>
      </c>
      <c r="S37" s="709">
        <f t="shared" si="12"/>
        <v>100</v>
      </c>
      <c r="T37" s="708" t="s">
        <v>14</v>
      </c>
      <c r="U37" s="709">
        <f t="shared" si="13"/>
        <v>100</v>
      </c>
      <c r="V37" s="708" t="s">
        <v>14</v>
      </c>
      <c r="W37" s="709">
        <f t="shared" si="14"/>
        <v>100</v>
      </c>
      <c r="X37" s="710"/>
      <c r="Y37" s="3832"/>
      <c r="Z37" s="711">
        <f t="shared" si="15"/>
        <v>111</v>
      </c>
      <c r="AA37" s="1352">
        <f t="shared" si="5"/>
        <v>1</v>
      </c>
      <c r="AB37" s="1352">
        <f t="shared" si="6"/>
        <v>1</v>
      </c>
      <c r="AC37" s="1352">
        <f t="shared" si="7"/>
        <v>1</v>
      </c>
    </row>
    <row r="38" spans="1:29" ht="15">
      <c r="A38" s="423" t="s">
        <v>1694</v>
      </c>
      <c r="B38" s="407" t="s">
        <v>1874</v>
      </c>
      <c r="C38" s="627">
        <f>面积整理!B1</f>
        <v>21500</v>
      </c>
      <c r="D38" s="418">
        <v>100</v>
      </c>
      <c r="E38" s="627">
        <v>226500</v>
      </c>
      <c r="F38" s="418">
        <f>LOOKUP(E38,116:116,117:117)-LOOKUP(C38,116:116,117:117)+100</f>
        <v>100</v>
      </c>
      <c r="G38" s="627">
        <v>507500</v>
      </c>
      <c r="H38" s="418">
        <f>LOOKUP(G38,116:116,117:117)-LOOKUP(C38,116:116,117:117)+100</f>
        <v>98</v>
      </c>
      <c r="I38" s="479">
        <v>939100</v>
      </c>
      <c r="J38" s="418">
        <f>LOOKUP(I38,116:116,117:117)-LOOKUP(C38,116:116,117:117)+100</f>
        <v>98</v>
      </c>
      <c r="K38" s="562"/>
      <c r="L38" s="3486" t="s">
        <v>3638</v>
      </c>
      <c r="M38" s="3518">
        <v>9.1999999999999998E-3</v>
      </c>
      <c r="N38" s="3516">
        <f t="shared" si="0"/>
        <v>1.0092000000000001</v>
      </c>
      <c r="O38" s="3517">
        <f t="shared" si="1"/>
        <v>99.1</v>
      </c>
      <c r="P38" s="3832"/>
      <c r="Q38" s="1351" t="str">
        <f>B38</f>
        <v>宗地面积</v>
      </c>
      <c r="R38" s="705" t="s">
        <v>14</v>
      </c>
      <c r="S38" s="706">
        <f t="shared" si="12"/>
        <v>100</v>
      </c>
      <c r="T38" s="705" t="s">
        <v>14</v>
      </c>
      <c r="U38" s="706">
        <f t="shared" si="13"/>
        <v>98</v>
      </c>
      <c r="V38" s="705" t="s">
        <v>14</v>
      </c>
      <c r="W38" s="706">
        <f t="shared" si="14"/>
        <v>98</v>
      </c>
      <c r="X38" s="1354"/>
      <c r="Y38" s="3832"/>
      <c r="Z38" s="1355" t="str">
        <f t="shared" si="15"/>
        <v>宗地面积</v>
      </c>
      <c r="AA38" s="1352">
        <f t="shared" si="5"/>
        <v>1</v>
      </c>
      <c r="AB38" s="1352">
        <f t="shared" si="6"/>
        <v>1.0204081632653061</v>
      </c>
      <c r="AC38" s="1352">
        <f t="shared" si="7"/>
        <v>1.0204081632653061</v>
      </c>
    </row>
    <row r="39" spans="1:29" ht="15">
      <c r="A39" s="423"/>
      <c r="B39" s="375" t="s">
        <v>1875</v>
      </c>
      <c r="C39" s="1905" t="s">
        <v>3560</v>
      </c>
      <c r="D39" s="386">
        <v>100</v>
      </c>
      <c r="E39" s="1905" t="s">
        <v>3560</v>
      </c>
      <c r="F39" s="386">
        <f>SUMIF(118:118,E39,119:119)-SUMIF(118:118,C39,119:119)+100</f>
        <v>100</v>
      </c>
      <c r="G39" s="1905" t="s">
        <v>3560</v>
      </c>
      <c r="H39" s="386">
        <f>SUMIF(118:118,G39,119:119)-SUMIF(118:118,C39,119:119)+100</f>
        <v>100</v>
      </c>
      <c r="I39" s="1905" t="s">
        <v>3560</v>
      </c>
      <c r="J39" s="386">
        <f>SUMIF(118:118,I39,119:119)-SUMIF(118:118,C39,119:119)+100</f>
        <v>100</v>
      </c>
      <c r="K39" s="561"/>
      <c r="L39" s="3486" t="s">
        <v>3639</v>
      </c>
      <c r="M39" s="3518">
        <v>1.52E-2</v>
      </c>
      <c r="N39" s="3516">
        <f t="shared" si="0"/>
        <v>1.0152000000000001</v>
      </c>
      <c r="O39" s="3517">
        <f t="shared" si="1"/>
        <v>98.5</v>
      </c>
      <c r="P39" s="3832"/>
      <c r="Q39" s="1351" t="str">
        <f t="shared" ref="Q39:Q45" si="16">B39</f>
        <v>宗地形状</v>
      </c>
      <c r="R39" s="705" t="s">
        <v>14</v>
      </c>
      <c r="S39" s="706">
        <f t="shared" si="12"/>
        <v>100</v>
      </c>
      <c r="T39" s="705" t="s">
        <v>14</v>
      </c>
      <c r="U39" s="706">
        <f t="shared" si="13"/>
        <v>100</v>
      </c>
      <c r="V39" s="705" t="s">
        <v>14</v>
      </c>
      <c r="W39" s="706">
        <f t="shared" si="14"/>
        <v>100</v>
      </c>
      <c r="X39" s="1354"/>
      <c r="Y39" s="3832"/>
      <c r="Z39" s="1355" t="str">
        <f t="shared" si="15"/>
        <v>宗地形状</v>
      </c>
      <c r="AA39" s="1352">
        <f t="shared" si="5"/>
        <v>1</v>
      </c>
      <c r="AB39" s="1352">
        <f t="shared" si="6"/>
        <v>1</v>
      </c>
      <c r="AC39" s="1352">
        <f t="shared" si="7"/>
        <v>1</v>
      </c>
    </row>
    <row r="40" spans="1:29" ht="15" hidden="1">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3486"/>
      <c r="M40" s="3518"/>
      <c r="N40" s="3516">
        <f t="shared" si="0"/>
        <v>1</v>
      </c>
      <c r="O40" s="3517">
        <f t="shared" si="1"/>
        <v>100</v>
      </c>
      <c r="P40" s="3832"/>
      <c r="Q40" s="1351" t="str">
        <f t="shared" si="16"/>
        <v>临街宽度及深度</v>
      </c>
      <c r="R40" s="705" t="s">
        <v>14</v>
      </c>
      <c r="S40" s="706">
        <f t="shared" si="12"/>
        <v>100</v>
      </c>
      <c r="T40" s="705" t="s">
        <v>14</v>
      </c>
      <c r="U40" s="706">
        <f t="shared" si="13"/>
        <v>100</v>
      </c>
      <c r="V40" s="705" t="s">
        <v>14</v>
      </c>
      <c r="W40" s="706">
        <f t="shared" si="14"/>
        <v>100</v>
      </c>
      <c r="X40" s="1354"/>
      <c r="Y40" s="3832"/>
      <c r="Z40" s="1355" t="str">
        <f t="shared" si="15"/>
        <v>临街宽度及深度</v>
      </c>
      <c r="AA40" s="1352">
        <f t="shared" si="5"/>
        <v>1</v>
      </c>
      <c r="AB40" s="1352">
        <f t="shared" si="6"/>
        <v>1</v>
      </c>
      <c r="AC40" s="1352">
        <f t="shared" si="7"/>
        <v>1</v>
      </c>
    </row>
    <row r="41" spans="1:29" s="108" customFormat="1" ht="15">
      <c r="A41" s="424"/>
      <c r="B41" s="375" t="s">
        <v>1877</v>
      </c>
      <c r="C41" s="1979" t="s">
        <v>3561</v>
      </c>
      <c r="D41" s="127">
        <v>100</v>
      </c>
      <c r="E41" s="1979" t="s">
        <v>3561</v>
      </c>
      <c r="F41" s="386">
        <f>SUMIF(122:122,E41,123:123)-SUMIF(122:122,C41,123:123)+100</f>
        <v>100</v>
      </c>
      <c r="G41" s="1979" t="s">
        <v>3561</v>
      </c>
      <c r="H41" s="386">
        <f>SUMIF(122:122,G41,123:123)-SUMIF(122:122,C41,123:123)+100</f>
        <v>100</v>
      </c>
      <c r="I41" s="1979" t="s">
        <v>3561</v>
      </c>
      <c r="J41" s="386">
        <f>SUMIF(122:122,I41,123:123)-SUMIF(122:122,C41,123:123)+100</f>
        <v>100</v>
      </c>
      <c r="K41" s="561"/>
      <c r="L41" s="3486" t="s">
        <v>3640</v>
      </c>
      <c r="M41" s="3518">
        <v>1.5800000000000002E-2</v>
      </c>
      <c r="N41" s="3516">
        <f t="shared" si="0"/>
        <v>1.0158</v>
      </c>
      <c r="O41" s="3517">
        <f t="shared" si="1"/>
        <v>98.4</v>
      </c>
      <c r="P41" s="3832"/>
      <c r="Q41" s="1351" t="str">
        <f t="shared" si="16"/>
        <v>宗地开发程度</v>
      </c>
      <c r="R41" s="701" t="s">
        <v>14</v>
      </c>
      <c r="S41" s="702">
        <f t="shared" si="12"/>
        <v>100</v>
      </c>
      <c r="T41" s="701" t="s">
        <v>14</v>
      </c>
      <c r="U41" s="702">
        <f t="shared" si="13"/>
        <v>100</v>
      </c>
      <c r="V41" s="701" t="s">
        <v>14</v>
      </c>
      <c r="W41" s="702">
        <f t="shared" si="14"/>
        <v>100</v>
      </c>
      <c r="X41" s="703"/>
      <c r="Y41" s="3832"/>
      <c r="Z41" s="52" t="str">
        <f t="shared" si="15"/>
        <v>宗地开发程度</v>
      </c>
      <c r="AA41" s="704">
        <f t="shared" si="5"/>
        <v>1</v>
      </c>
      <c r="AB41" s="704">
        <f t="shared" si="6"/>
        <v>1</v>
      </c>
      <c r="AC41" s="704">
        <f t="shared" si="7"/>
        <v>1</v>
      </c>
    </row>
    <row r="42" spans="1:29" ht="15.75" thickBot="1">
      <c r="A42" s="423"/>
      <c r="B42" s="375" t="s">
        <v>1878</v>
      </c>
      <c r="C42" s="1905" t="s">
        <v>3566</v>
      </c>
      <c r="D42" s="386">
        <v>100</v>
      </c>
      <c r="E42" s="1905" t="s">
        <v>3566</v>
      </c>
      <c r="F42" s="386">
        <f>SUMIF(124:124,E42,125:125)-SUMIF(124:124,C42,125:125)+100</f>
        <v>100</v>
      </c>
      <c r="G42" s="1905" t="s">
        <v>3566</v>
      </c>
      <c r="H42" s="386">
        <f>SUMIF(124:124,G42,125:125)-SUMIF(124:124,C42,125:125)+100</f>
        <v>100</v>
      </c>
      <c r="I42" s="1905" t="s">
        <v>3566</v>
      </c>
      <c r="J42" s="386">
        <f>SUMIF(124:124,I42,125:125)-SUMIF(124:124,C42,125:125)+100</f>
        <v>100</v>
      </c>
      <c r="K42" s="561"/>
      <c r="L42" s="3519" t="s">
        <v>3641</v>
      </c>
      <c r="M42" s="3520">
        <v>1.6400000000000001E-2</v>
      </c>
      <c r="N42" s="3521">
        <f t="shared" si="0"/>
        <v>1.0164</v>
      </c>
      <c r="O42" s="3522">
        <f t="shared" si="1"/>
        <v>98.4</v>
      </c>
      <c r="P42" s="3832" t="s">
        <v>1696</v>
      </c>
      <c r="Q42" s="1351" t="str">
        <f t="shared" si="16"/>
        <v>工程地质条件</v>
      </c>
      <c r="R42" s="705" t="s">
        <v>14</v>
      </c>
      <c r="S42" s="706">
        <f t="shared" si="12"/>
        <v>100</v>
      </c>
      <c r="T42" s="705" t="s">
        <v>14</v>
      </c>
      <c r="U42" s="706">
        <f t="shared" si="13"/>
        <v>100</v>
      </c>
      <c r="V42" s="705" t="s">
        <v>14</v>
      </c>
      <c r="W42" s="706">
        <f t="shared" si="14"/>
        <v>100</v>
      </c>
      <c r="X42" s="1354"/>
      <c r="Y42" s="3832" t="s">
        <v>1696</v>
      </c>
      <c r="Z42" s="1355" t="str">
        <f t="shared" si="15"/>
        <v>工程地质条件</v>
      </c>
      <c r="AA42" s="1352">
        <f t="shared" si="5"/>
        <v>1</v>
      </c>
      <c r="AB42" s="1352">
        <f t="shared" si="6"/>
        <v>1</v>
      </c>
      <c r="AC42" s="1352">
        <f t="shared" si="7"/>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3486"/>
      <c r="M43" s="3518"/>
      <c r="N43" s="3516">
        <f t="shared" si="0"/>
        <v>1</v>
      </c>
      <c r="O43" s="3517">
        <f t="shared" si="1"/>
        <v>100</v>
      </c>
      <c r="P43" s="3832"/>
      <c r="Q43" s="1351">
        <f t="shared" si="16"/>
        <v>111</v>
      </c>
      <c r="R43" s="705" t="s">
        <v>14</v>
      </c>
      <c r="S43" s="706">
        <f t="shared" si="12"/>
        <v>100</v>
      </c>
      <c r="T43" s="705" t="s">
        <v>14</v>
      </c>
      <c r="U43" s="706">
        <f t="shared" si="13"/>
        <v>100</v>
      </c>
      <c r="V43" s="705" t="s">
        <v>14</v>
      </c>
      <c r="W43" s="706">
        <f t="shared" si="14"/>
        <v>100</v>
      </c>
      <c r="X43" s="1354"/>
      <c r="Y43" s="3832"/>
      <c r="Z43" s="1355">
        <f t="shared" si="15"/>
        <v>111</v>
      </c>
      <c r="AA43" s="1352">
        <f t="shared" si="5"/>
        <v>1</v>
      </c>
      <c r="AB43" s="1352">
        <f t="shared" si="6"/>
        <v>1</v>
      </c>
      <c r="AC43" s="1352">
        <f t="shared" si="7"/>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3486"/>
      <c r="M44" s="3518"/>
      <c r="N44" s="3516">
        <f t="shared" si="0"/>
        <v>1</v>
      </c>
      <c r="O44" s="3517">
        <f t="shared" si="1"/>
        <v>100</v>
      </c>
      <c r="P44" s="3832"/>
      <c r="Q44" s="1351">
        <f t="shared" si="16"/>
        <v>111</v>
      </c>
      <c r="R44" s="705" t="s">
        <v>14</v>
      </c>
      <c r="S44" s="706">
        <f t="shared" si="12"/>
        <v>100</v>
      </c>
      <c r="T44" s="705" t="s">
        <v>14</v>
      </c>
      <c r="U44" s="706">
        <f t="shared" si="13"/>
        <v>100</v>
      </c>
      <c r="V44" s="705" t="s">
        <v>14</v>
      </c>
      <c r="W44" s="706">
        <f t="shared" si="14"/>
        <v>100</v>
      </c>
      <c r="X44" s="1354"/>
      <c r="Y44" s="3832"/>
      <c r="Z44" s="1355">
        <f t="shared" si="15"/>
        <v>111</v>
      </c>
      <c r="AA44" s="1352">
        <f t="shared" si="5"/>
        <v>1</v>
      </c>
      <c r="AB44" s="1352">
        <f t="shared" si="6"/>
        <v>1</v>
      </c>
      <c r="AC44" s="1352">
        <f t="shared" si="7"/>
        <v>1</v>
      </c>
    </row>
    <row r="45" spans="1:29" s="422" customFormat="1" ht="15.75" hidden="1"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3486"/>
      <c r="M45" s="3518"/>
      <c r="N45" s="3516">
        <f t="shared" si="0"/>
        <v>1</v>
      </c>
      <c r="O45" s="3517">
        <f t="shared" si="1"/>
        <v>100</v>
      </c>
      <c r="P45" s="3832"/>
      <c r="Q45" s="1351">
        <f t="shared" si="16"/>
        <v>111</v>
      </c>
      <c r="R45" s="708" t="s">
        <v>14</v>
      </c>
      <c r="S45" s="709">
        <f t="shared" si="12"/>
        <v>100</v>
      </c>
      <c r="T45" s="708" t="s">
        <v>14</v>
      </c>
      <c r="U45" s="709">
        <f t="shared" si="13"/>
        <v>100</v>
      </c>
      <c r="V45" s="708" t="s">
        <v>14</v>
      </c>
      <c r="W45" s="709">
        <f t="shared" si="14"/>
        <v>100</v>
      </c>
      <c r="X45" s="710"/>
      <c r="Y45" s="3832"/>
      <c r="Z45" s="711">
        <f t="shared" si="15"/>
        <v>111</v>
      </c>
      <c r="AA45" s="1352">
        <f t="shared" si="5"/>
        <v>1</v>
      </c>
      <c r="AB45" s="1352">
        <f t="shared" si="6"/>
        <v>1</v>
      </c>
      <c r="AC45" s="1352">
        <f t="shared" si="7"/>
        <v>1</v>
      </c>
    </row>
    <row r="46" spans="1:29" ht="15">
      <c r="A46" s="430" t="s">
        <v>1844</v>
      </c>
      <c r="B46" s="1981" t="s">
        <v>1879</v>
      </c>
      <c r="C46" s="630" t="s">
        <v>0</v>
      </c>
      <c r="D46" s="432"/>
      <c r="E46" s="433">
        <f>一级开发成本案例!K3</f>
        <v>11815.788962472407</v>
      </c>
      <c r="F46" s="434"/>
      <c r="G46" s="435">
        <f>一级开发成本案例!K9</f>
        <v>11725.86</v>
      </c>
      <c r="H46" s="436"/>
      <c r="I46" s="433">
        <f>一级开发成本案例!K14</f>
        <v>10857.14</v>
      </c>
      <c r="J46" s="436"/>
      <c r="K46" s="714"/>
      <c r="L46" s="3486"/>
      <c r="M46" s="3518"/>
      <c r="N46" s="3516"/>
      <c r="O46" s="3517" t="e">
        <f t="shared" si="1"/>
        <v>#DIV/0!</v>
      </c>
      <c r="P46" s="3825" t="str">
        <f>A46</f>
        <v>成交单价</v>
      </c>
      <c r="Q46" s="3825"/>
      <c r="R46" s="3856">
        <f>E46</f>
        <v>11815.788962472407</v>
      </c>
      <c r="S46" s="3856"/>
      <c r="T46" s="3856">
        <f>G46</f>
        <v>11725.86</v>
      </c>
      <c r="U46" s="3856"/>
      <c r="V46" s="3856">
        <f>I46</f>
        <v>10857.14</v>
      </c>
      <c r="W46" s="3856"/>
      <c r="X46" s="690"/>
      <c r="Y46" s="712"/>
      <c r="Z46" s="690"/>
      <c r="AA46" s="690"/>
      <c r="AB46" s="690"/>
      <c r="AC46" s="690"/>
    </row>
    <row r="47" spans="1:29" ht="15.75" thickBot="1">
      <c r="A47" s="437" t="s">
        <v>1793</v>
      </c>
      <c r="B47" s="631"/>
      <c r="C47" s="440">
        <f>R48</f>
        <v>11748</v>
      </c>
      <c r="D47" s="2316" t="s">
        <v>2138</v>
      </c>
      <c r="E47" s="440">
        <f>R47</f>
        <v>11947</v>
      </c>
      <c r="F47" s="2317"/>
      <c r="G47" s="439">
        <f>T47</f>
        <v>12037</v>
      </c>
      <c r="H47" s="2317"/>
      <c r="I47" s="440">
        <f>V47</f>
        <v>11259</v>
      </c>
      <c r="J47" s="2317"/>
      <c r="K47" s="2319">
        <f>F47+H47+J47</f>
        <v>0</v>
      </c>
      <c r="L47" s="3486"/>
      <c r="M47" s="3518"/>
      <c r="N47" s="3516"/>
      <c r="O47" s="3517" t="e">
        <f t="shared" si="1"/>
        <v>#DIV/0!</v>
      </c>
      <c r="P47" s="3825" t="str">
        <f>A47</f>
        <v>比较价值（元/平方米）</v>
      </c>
      <c r="Q47" s="3825"/>
      <c r="R47" s="3885">
        <f>ROUND(PRODUCT(R46,AA7:AA45),0)</f>
        <v>11947</v>
      </c>
      <c r="S47" s="3885"/>
      <c r="T47" s="3885">
        <f>ROUND(PRODUCT(T46,AB7:AB45),0)</f>
        <v>12037</v>
      </c>
      <c r="U47" s="3885"/>
      <c r="V47" s="3885">
        <f>ROUND(PRODUCT(V46,AC7:AC45),0)</f>
        <v>11259</v>
      </c>
      <c r="W47" s="3885"/>
      <c r="X47" s="690"/>
      <c r="Y47" s="690"/>
      <c r="Z47" s="690"/>
      <c r="AA47" s="690"/>
      <c r="AB47" s="690"/>
      <c r="AC47" s="690"/>
    </row>
    <row r="48" spans="1:29" ht="15.75" thickBot="1">
      <c r="A48" s="441" t="s">
        <v>1880</v>
      </c>
      <c r="B48" s="442"/>
      <c r="C48" s="443">
        <f>R48</f>
        <v>11748</v>
      </c>
      <c r="D48" s="443"/>
      <c r="E48" s="443"/>
      <c r="F48" s="443"/>
      <c r="G48" s="443"/>
      <c r="H48" s="443"/>
      <c r="I48" s="443"/>
      <c r="J48" s="443"/>
      <c r="K48" s="715"/>
      <c r="L48" s="2723"/>
      <c r="M48" s="2724"/>
      <c r="N48" s="2724"/>
      <c r="O48" s="2724"/>
      <c r="P48" s="3822" t="str">
        <f>A48</f>
        <v>估价对象XX用房的比较价值（楼面单价，元/平方米）</v>
      </c>
      <c r="Q48" s="3823"/>
      <c r="R48" s="3886">
        <f>ROUND(IF(D47="简单平均",AVERAGE(R47:W47),R47*F47+T47*H47+V47*J47),0)</f>
        <v>11748</v>
      </c>
      <c r="S48" s="3886"/>
      <c r="T48" s="3886"/>
      <c r="U48" s="3886"/>
      <c r="V48" s="3886"/>
      <c r="W48" s="388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1.1104720805722446E-2</v>
      </c>
      <c r="F51" s="449" t="str">
        <f>IF(OR(E51&gt;=0.3,E51&lt;=-0.3),"超过30%","")</f>
        <v/>
      </c>
      <c r="G51" s="448">
        <f>IF(G46&lt;G47,G47/G46-1,G46/G47-1)</f>
        <v>2.653451431280951E-2</v>
      </c>
      <c r="H51" s="449" t="str">
        <f>IF(OR(G51&gt;=0.3,G51&lt;=-0.3),"超过30%","")</f>
        <v/>
      </c>
      <c r="I51" s="448">
        <f>IF(I46&lt;I47,I47/I46-1,I46/I47-1)</f>
        <v>3.7013430793008117E-2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7.5332719511174151E-3</v>
      </c>
      <c r="F52" s="449" t="str">
        <f>IF(OR(E52&gt;=0.2,E52&lt;=-0.2),"超过20%","")</f>
        <v/>
      </c>
      <c r="G52" s="448">
        <f>IF(G47&lt;I47,I47/G47-1,G47/I47-1)</f>
        <v>6.9100275335287398E-2</v>
      </c>
      <c r="H52" s="449" t="str">
        <f>IF(OR(G52&gt;=0.2,G52&lt;=-0.2),"超过20%","")</f>
        <v/>
      </c>
      <c r="I52" s="448">
        <f>IF(I47&lt;E47,E47/I47-1,I47/E47-1)</f>
        <v>6.1106670219380099E-2</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7.6692850223698539E-3</v>
      </c>
      <c r="F53" s="449" t="str">
        <f>IF(OR(E53&gt;=0.3,E53&lt;=-0.3),"超过30%","")</f>
        <v/>
      </c>
      <c r="G53" s="448">
        <f>IF(G46&lt;I46,I46/G46-1,G46/I46-1)</f>
        <v>8.0013705266764656E-2</v>
      </c>
      <c r="H53" s="449" t="str">
        <f>IF(OR(G53&gt;=0.3,G53&lt;=-0.3),"超过30%","")</f>
        <v/>
      </c>
      <c r="I53" s="448">
        <f>IF(I46&lt;E46,E46/I46-1,I46/E46-1)</f>
        <v>8.8296638200521249E-2</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840" t="s">
        <v>1887</v>
      </c>
      <c r="H55" s="388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11748</v>
      </c>
      <c r="C56" s="638">
        <v>1</v>
      </c>
      <c r="D56" s="944">
        <v>1</v>
      </c>
      <c r="E56" s="638">
        <f>'数据-汇总表'!E8+'数据-汇总表'!E9</f>
        <v>58590</v>
      </c>
      <c r="F56" s="886">
        <f t="shared" ref="F56:F64" si="17">ROUND(B56*E56/10000,0)</f>
        <v>68832</v>
      </c>
      <c r="G56" s="3836"/>
      <c r="H56" s="382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8">IF($C$55="北京市系数",I57,J57)</f>
        <v>0</v>
      </c>
      <c r="D57" s="945">
        <v>0.25</v>
      </c>
      <c r="E57" s="642"/>
      <c r="F57" s="886">
        <f t="shared" si="17"/>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9">ROUND($C$48*C58*D58,0)</f>
        <v>0</v>
      </c>
      <c r="C58" s="171">
        <f t="shared" si="18"/>
        <v>0</v>
      </c>
      <c r="D58" s="945">
        <v>0.25</v>
      </c>
      <c r="E58" s="642"/>
      <c r="F58" s="886">
        <f t="shared" si="17"/>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9"/>
        <v>0</v>
      </c>
      <c r="C59" s="171">
        <f t="shared" si="18"/>
        <v>0</v>
      </c>
      <c r="D59" s="945">
        <v>0.25</v>
      </c>
      <c r="E59" s="642"/>
      <c r="F59" s="886">
        <f t="shared" si="17"/>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9"/>
        <v>0</v>
      </c>
      <c r="C60" s="171">
        <f t="shared" si="18"/>
        <v>0</v>
      </c>
      <c r="D60" s="945">
        <v>0.25</v>
      </c>
      <c r="E60" s="217">
        <f>'数据-汇总表'!E11</f>
        <v>0</v>
      </c>
      <c r="F60" s="886">
        <f t="shared" si="17"/>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9"/>
        <v>0</v>
      </c>
      <c r="C61" s="171">
        <f t="shared" si="18"/>
        <v>0</v>
      </c>
      <c r="D61" s="945">
        <v>0.25</v>
      </c>
      <c r="E61" s="217">
        <f>'数据-汇总表'!E12</f>
        <v>0</v>
      </c>
      <c r="F61" s="886">
        <f t="shared" si="17"/>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9"/>
        <v>441</v>
      </c>
      <c r="C62" s="171">
        <f t="shared" si="18"/>
        <v>0.15</v>
      </c>
      <c r="D62" s="945">
        <v>0.25</v>
      </c>
      <c r="E62" s="217">
        <f>'数据-汇总表'!E13</f>
        <v>0</v>
      </c>
      <c r="F62" s="886">
        <f t="shared" si="17"/>
        <v>0</v>
      </c>
      <c r="G62" s="892" t="s">
        <v>1900</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9"/>
        <v>0</v>
      </c>
      <c r="C63" s="171">
        <f t="shared" si="18"/>
        <v>0</v>
      </c>
      <c r="D63" s="945">
        <v>0.25</v>
      </c>
      <c r="E63" s="217">
        <f>'数据-汇总表'!E14</f>
        <v>0</v>
      </c>
      <c r="F63" s="886">
        <f t="shared" si="17"/>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9"/>
        <v>0</v>
      </c>
      <c r="C64" s="171">
        <f t="shared" si="18"/>
        <v>0</v>
      </c>
      <c r="D64" s="945">
        <v>0.25</v>
      </c>
      <c r="E64" s="217">
        <f>'数据-汇总表'!E15</f>
        <v>0</v>
      </c>
      <c r="F64" s="886">
        <f t="shared" si="17"/>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58590</v>
      </c>
      <c r="F65" s="645">
        <f>IF(B46="楼面地价",SUM(F56:F64),ROUND(C48*E65/10000,0))</f>
        <v>68832</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20">EDATE(E67,-3)</f>
        <v>45108</v>
      </c>
      <c r="G67" s="692">
        <f t="shared" si="20"/>
        <v>45017</v>
      </c>
      <c r="H67" s="692">
        <f t="shared" si="20"/>
        <v>44927</v>
      </c>
      <c r="I67" s="692">
        <f t="shared" si="20"/>
        <v>44835</v>
      </c>
      <c r="J67" s="692">
        <f t="shared" si="20"/>
        <v>44743</v>
      </c>
      <c r="K67" s="692">
        <f t="shared" si="20"/>
        <v>44652</v>
      </c>
      <c r="L67" s="692">
        <f t="shared" si="20"/>
        <v>44562</v>
      </c>
      <c r="M67" s="692">
        <f t="shared" si="20"/>
        <v>44470</v>
      </c>
      <c r="N67" s="692">
        <f t="shared" si="20"/>
        <v>44378</v>
      </c>
      <c r="O67" s="692">
        <f t="shared" si="20"/>
        <v>44287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21">YEAR(E67)&amp;"-"&amp;ROUNDUP(MONTH(E67)/3,0)</f>
        <v>2023-4</v>
      </c>
      <c r="F69" s="1181" t="str">
        <f t="shared" si="21"/>
        <v>2023-3</v>
      </c>
      <c r="G69" s="1181" t="str">
        <f t="shared" si="21"/>
        <v>2023-2</v>
      </c>
      <c r="H69" s="1181" t="str">
        <f t="shared" si="21"/>
        <v>2023-1</v>
      </c>
      <c r="I69" s="1181" t="str">
        <f t="shared" si="21"/>
        <v>2022-4</v>
      </c>
      <c r="J69" s="1181" t="str">
        <f t="shared" si="21"/>
        <v>2022-3</v>
      </c>
      <c r="K69" s="1181" t="str">
        <f t="shared" si="21"/>
        <v>2022-2</v>
      </c>
      <c r="L69" s="1181" t="str">
        <f t="shared" si="21"/>
        <v>2022-1</v>
      </c>
      <c r="M69" s="1181" t="str">
        <f t="shared" si="21"/>
        <v>2021-4</v>
      </c>
      <c r="N69" s="1181" t="str">
        <f t="shared" si="21"/>
        <v>2021-3</v>
      </c>
      <c r="O69" s="1181" t="str">
        <f t="shared" si="21"/>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88" t="s">
        <v>3455</v>
      </c>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2">D79&amp;"（含）"&amp;"-"&amp;E79</f>
        <v>1（含）-2</v>
      </c>
      <c r="E78" s="496" t="str">
        <f t="shared" si="22"/>
        <v>2（含）-3</v>
      </c>
      <c r="F78" s="496" t="str">
        <f t="shared" si="22"/>
        <v>3（含）-</v>
      </c>
      <c r="G78" s="496" t="str">
        <f t="shared" si="22"/>
        <v>（含）-</v>
      </c>
      <c r="H78" s="496" t="str">
        <f t="shared" si="22"/>
        <v>（含）-</v>
      </c>
      <c r="I78" s="496" t="str">
        <f t="shared" si="22"/>
        <v>（含）-</v>
      </c>
      <c r="J78" s="496" t="str">
        <f t="shared" si="22"/>
        <v>（含）-</v>
      </c>
      <c r="K78" s="496" t="str">
        <f t="shared" si="22"/>
        <v>（含）-</v>
      </c>
      <c r="L78" s="496" t="str">
        <f t="shared" si="22"/>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3">IF($B$46="单位面积地价",C80+$K11,C80-$K11)</f>
        <v>100</v>
      </c>
      <c r="E80" s="493">
        <f t="shared" si="23"/>
        <v>100</v>
      </c>
      <c r="F80" s="493">
        <f t="shared" si="23"/>
        <v>100</v>
      </c>
      <c r="G80" s="493">
        <f t="shared" si="23"/>
        <v>100</v>
      </c>
      <c r="H80" s="493">
        <f t="shared" si="23"/>
        <v>100</v>
      </c>
      <c r="I80" s="493">
        <f t="shared" si="23"/>
        <v>100</v>
      </c>
      <c r="J80" s="493">
        <f t="shared" si="23"/>
        <v>100</v>
      </c>
      <c r="K80" s="493">
        <f t="shared" si="23"/>
        <v>100</v>
      </c>
      <c r="L80" s="493">
        <f t="shared" si="23"/>
        <v>100</v>
      </c>
      <c r="M80" s="493">
        <f t="shared" si="23"/>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3490" t="s">
        <v>3559</v>
      </c>
      <c r="D107" s="3490" t="s">
        <v>3558</v>
      </c>
      <c r="E107" s="3490" t="s">
        <v>3557</v>
      </c>
      <c r="F107" s="3489" t="s">
        <v>29</v>
      </c>
      <c r="G107" s="3489" t="s">
        <v>304</v>
      </c>
      <c r="H107" s="3489" t="s">
        <v>305</v>
      </c>
      <c r="I107" s="3489" t="s">
        <v>306</v>
      </c>
      <c r="J107" s="3489" t="s">
        <v>307</v>
      </c>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0(含)-500000</v>
      </c>
      <c r="D115" s="478" t="str">
        <f t="shared" ref="D115:M115" si="27">D116&amp;"(含)"&amp;"-"&amp;E116</f>
        <v>500000(含)-1000000</v>
      </c>
      <c r="E115" s="478" t="str">
        <f t="shared" si="27"/>
        <v>1000000(含)-2000000</v>
      </c>
      <c r="F115" s="478" t="str">
        <f t="shared" si="27"/>
        <v>2000000(含)-2500000</v>
      </c>
      <c r="G115" s="478" t="str">
        <f t="shared" si="27"/>
        <v>2500000(含)-3000000</v>
      </c>
      <c r="H115" s="478" t="str">
        <f t="shared" si="27"/>
        <v>3000000(含)-</v>
      </c>
      <c r="I115" s="478" t="str">
        <f t="shared" si="27"/>
        <v>(含)-</v>
      </c>
      <c r="J115" s="478" t="str">
        <f t="shared" si="27"/>
        <v>(含)-</v>
      </c>
      <c r="K115" s="478" t="str">
        <f t="shared" si="27"/>
        <v>(含)-</v>
      </c>
      <c r="L115" s="478" t="str">
        <f t="shared" si="27"/>
        <v>(含)-</v>
      </c>
      <c r="M115" s="478" t="str">
        <f t="shared" si="27"/>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6">
        <v>0</v>
      </c>
      <c r="D116" s="6">
        <v>500000</v>
      </c>
      <c r="E116" s="6">
        <v>1000000</v>
      </c>
      <c r="F116" s="6">
        <v>2000000</v>
      </c>
      <c r="G116" s="544">
        <v>2500000</v>
      </c>
      <c r="H116" s="544">
        <v>3000000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3491">
        <v>100</v>
      </c>
      <c r="D117" s="3492">
        <v>98</v>
      </c>
      <c r="E117" s="3492">
        <v>96</v>
      </c>
      <c r="F117" s="3492">
        <v>94</v>
      </c>
      <c r="G117" s="540">
        <v>92</v>
      </c>
      <c r="H117" s="540">
        <v>90</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3489" t="s">
        <v>3560</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8">C119-$K39</f>
        <v>100</v>
      </c>
      <c r="E119" s="493">
        <f t="shared" si="28"/>
        <v>100</v>
      </c>
      <c r="F119" s="493">
        <f t="shared" si="28"/>
        <v>100</v>
      </c>
      <c r="G119" s="493">
        <f t="shared" si="28"/>
        <v>100</v>
      </c>
      <c r="H119" s="493">
        <f t="shared" si="28"/>
        <v>100</v>
      </c>
      <c r="I119" s="493">
        <f t="shared" si="28"/>
        <v>100</v>
      </c>
      <c r="J119" s="493">
        <f t="shared" si="28"/>
        <v>100</v>
      </c>
      <c r="K119" s="493">
        <f t="shared" si="28"/>
        <v>100</v>
      </c>
      <c r="L119" s="493">
        <f t="shared" si="28"/>
        <v>100</v>
      </c>
      <c r="M119" s="494">
        <f t="shared" si="28"/>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9">C121-$K40</f>
        <v>100</v>
      </c>
      <c r="E121" s="493">
        <f t="shared" si="29"/>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93" t="s">
        <v>3561</v>
      </c>
      <c r="D122" s="3493" t="s">
        <v>3562</v>
      </c>
      <c r="E122" s="3493" t="s">
        <v>3563</v>
      </c>
      <c r="F122" s="3493" t="s">
        <v>3564</v>
      </c>
      <c r="G122" s="3493" t="s">
        <v>3565</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0">C123-$K41</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3493" t="s">
        <v>3566</v>
      </c>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1">C125-$K42</f>
        <v>100</v>
      </c>
      <c r="E125" s="493">
        <f t="shared" si="31"/>
        <v>100</v>
      </c>
      <c r="F125" s="493">
        <f t="shared" si="31"/>
        <v>100</v>
      </c>
      <c r="G125" s="493">
        <f t="shared" si="31"/>
        <v>100</v>
      </c>
      <c r="H125" s="493">
        <f t="shared" si="31"/>
        <v>100</v>
      </c>
      <c r="I125" s="493">
        <f t="shared" si="31"/>
        <v>100</v>
      </c>
      <c r="J125" s="493">
        <f t="shared" si="31"/>
        <v>100</v>
      </c>
      <c r="K125" s="493">
        <f t="shared" si="31"/>
        <v>100</v>
      </c>
      <c r="L125" s="493">
        <f t="shared" si="31"/>
        <v>100</v>
      </c>
      <c r="M125" s="494">
        <f t="shared" si="31"/>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9"/>
      <c r="C2" s="3589"/>
      <c r="D2" s="3589"/>
      <c r="E2" s="3589"/>
    </row>
    <row r="3" spans="1:5" ht="18">
      <c r="A3" s="3590" t="str">
        <f>IF(项目基本情况!B9="房地产市场价值","估价结果一览表（市场价值不需“结果表-1”）","估价结果一览表")</f>
        <v>估价结果一览表</v>
      </c>
      <c r="B3" s="3590"/>
      <c r="C3" s="3590"/>
      <c r="D3" s="3590"/>
      <c r="E3" s="3590"/>
    </row>
    <row r="4" spans="1:5" ht="19.5" thickBot="1">
      <c r="A4" s="1492"/>
      <c r="B4" s="3588" t="s">
        <v>917</v>
      </c>
      <c r="C4" s="3588"/>
      <c r="D4" s="3588"/>
      <c r="E4" s="1492"/>
    </row>
    <row r="5" spans="1:5" ht="16.5" thickTop="1">
      <c r="A5" s="1490"/>
      <c r="B5" s="3586" t="s">
        <v>909</v>
      </c>
      <c r="C5" s="1493" t="s">
        <v>910</v>
      </c>
      <c r="D5" s="850" t="e">
        <f ca="1">结果表!H101</f>
        <v>#REF!</v>
      </c>
      <c r="E5" s="1490"/>
    </row>
    <row r="6" spans="1:5" ht="15.75">
      <c r="A6" s="1490"/>
      <c r="B6" s="3586"/>
      <c r="C6" s="1493" t="s">
        <v>911</v>
      </c>
      <c r="D6" s="850" t="e">
        <f ca="1">NUMBERSTRING(INT(D5*10000),2)&amp;"元整"</f>
        <v>#REF!</v>
      </c>
      <c r="E6" s="1490"/>
    </row>
    <row r="7" spans="1:5" ht="15.75">
      <c r="A7" s="1490"/>
      <c r="B7" s="3591"/>
      <c r="C7" s="1494" t="s">
        <v>912</v>
      </c>
      <c r="D7" s="851" t="e">
        <f ca="1">结果表!H102</f>
        <v>#REF!</v>
      </c>
      <c r="E7" s="1490"/>
    </row>
    <row r="8" spans="1:5" ht="15.75">
      <c r="A8" s="1490"/>
      <c r="B8" s="3592" t="str">
        <f>结果表!E103</f>
        <v>2.估价师知悉的法定优先受偿款</v>
      </c>
      <c r="C8" s="1495" t="s">
        <v>913</v>
      </c>
      <c r="D8" s="851">
        <f>结果表!H103</f>
        <v>0</v>
      </c>
      <c r="E8" s="1490"/>
    </row>
    <row r="9" spans="1:5" ht="15.75">
      <c r="A9" s="1490"/>
      <c r="B9" s="359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85" t="str">
        <f>结果表!E107</f>
        <v>3.房地产抵押价值</v>
      </c>
      <c r="C13" s="1498" t="s">
        <v>910</v>
      </c>
      <c r="D13" s="853" t="e">
        <f ca="1">结果表!H107</f>
        <v>#REF!</v>
      </c>
      <c r="E13" s="1490"/>
    </row>
    <row r="14" spans="1:5" ht="15.75">
      <c r="A14" s="1490"/>
      <c r="B14" s="3586"/>
      <c r="C14" s="1493" t="s">
        <v>911</v>
      </c>
      <c r="D14" s="850" t="e">
        <f ca="1">NUMBERSTRING(INT(D13*10000),2)&amp;"元整"</f>
        <v>#REF!</v>
      </c>
      <c r="E14" s="1490"/>
    </row>
    <row r="15" spans="1:5" ht="15">
      <c r="A15" s="1490"/>
      <c r="B15" s="3591"/>
      <c r="C15" s="1494" t="s">
        <v>921</v>
      </c>
      <c r="D15" s="859" t="e">
        <f ca="1">结果表!H108</f>
        <v>#REF!</v>
      </c>
      <c r="E15" s="1490"/>
    </row>
    <row r="16" spans="1:5" ht="15">
      <c r="A16" s="1490"/>
      <c r="B16" s="3592" t="str">
        <f>结果表!E109</f>
        <v>——</v>
      </c>
      <c r="C16" s="1498" t="s">
        <v>922</v>
      </c>
      <c r="D16" s="1499" t="str">
        <f>结果表!H109</f>
        <v>——</v>
      </c>
      <c r="E16" s="1490"/>
    </row>
    <row r="17" spans="1:5" ht="15.75">
      <c r="A17" s="1490"/>
      <c r="B17" s="3593"/>
      <c r="C17" s="1493" t="s">
        <v>923</v>
      </c>
      <c r="D17" s="850" t="e">
        <f>NUMBERSTRING(INT(D16*10000),2)&amp;"元整"</f>
        <v>#VALUE!</v>
      </c>
      <c r="E17" s="1490"/>
    </row>
    <row r="18" spans="1:5" ht="15">
      <c r="A18" s="1490"/>
      <c r="B18" s="3594"/>
      <c r="C18" s="1494" t="s">
        <v>912</v>
      </c>
      <c r="D18" s="859" t="str">
        <f>结果表!H110</f>
        <v>——</v>
      </c>
      <c r="E18" s="1490"/>
    </row>
    <row r="19" spans="1:5" ht="15.75">
      <c r="A19" s="1490"/>
      <c r="B19" s="3585" t="str">
        <f>结果表!E111</f>
        <v>——</v>
      </c>
      <c r="C19" s="1498" t="s">
        <v>910</v>
      </c>
      <c r="D19" s="851" t="str">
        <f>结果表!H111</f>
        <v>——</v>
      </c>
      <c r="E19" s="1490"/>
    </row>
    <row r="20" spans="1:5" ht="15.75">
      <c r="A20" s="1490"/>
      <c r="B20" s="3586"/>
      <c r="C20" s="1493" t="s">
        <v>923</v>
      </c>
      <c r="D20" s="850" t="e">
        <f>NUMBERSTRING(INT(D19*10000),2)&amp;"元整"</f>
        <v>#VALUE!</v>
      </c>
      <c r="E20" s="1490"/>
    </row>
    <row r="21" spans="1:5" ht="15.75" thickBot="1">
      <c r="A21" s="1490"/>
      <c r="B21" s="358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840" t="s">
        <v>1770</v>
      </c>
      <c r="D4" s="3841"/>
      <c r="E4" s="3842" t="s">
        <v>1771</v>
      </c>
      <c r="F4" s="3843"/>
      <c r="G4" s="3840" t="s">
        <v>1772</v>
      </c>
      <c r="H4" s="3841"/>
      <c r="I4" s="3840" t="s">
        <v>1773</v>
      </c>
      <c r="J4" s="3841"/>
      <c r="K4" s="559" t="s">
        <v>1774</v>
      </c>
      <c r="L4" s="2714"/>
      <c r="M4" s="2715"/>
      <c r="N4" s="2715"/>
      <c r="O4" s="2715"/>
      <c r="P4" s="3844" t="s">
        <v>1775</v>
      </c>
      <c r="Q4" s="3845"/>
      <c r="R4" s="3850" t="s">
        <v>1771</v>
      </c>
      <c r="S4" s="3851"/>
      <c r="T4" s="3850" t="s">
        <v>1772</v>
      </c>
      <c r="U4" s="3851"/>
      <c r="V4" s="3856" t="s">
        <v>1773</v>
      </c>
      <c r="W4" s="3856"/>
      <c r="X4" s="1354"/>
      <c r="Y4" s="3850" t="s">
        <v>1775</v>
      </c>
      <c r="Z4" s="3851"/>
      <c r="AA4" s="3837" t="s">
        <v>1771</v>
      </c>
      <c r="AB4" s="3838" t="s">
        <v>1772</v>
      </c>
      <c r="AC4" s="3837" t="s">
        <v>1773</v>
      </c>
    </row>
    <row r="5" spans="1:29" ht="15">
      <c r="A5" s="358"/>
      <c r="B5" s="359"/>
      <c r="C5" s="3859" t="s">
        <v>1673</v>
      </c>
      <c r="D5" s="3860"/>
      <c r="E5" s="3866" t="s">
        <v>1674</v>
      </c>
      <c r="F5" s="3867"/>
      <c r="G5" s="3859" t="s">
        <v>1675</v>
      </c>
      <c r="H5" s="3860"/>
      <c r="I5" s="3859" t="s">
        <v>1676</v>
      </c>
      <c r="J5" s="3860"/>
      <c r="K5" s="559"/>
      <c r="L5" s="2714"/>
      <c r="M5" s="2715"/>
      <c r="N5" s="2715"/>
      <c r="O5" s="2715"/>
      <c r="P5" s="3846"/>
      <c r="Q5" s="3847"/>
      <c r="R5" s="3852"/>
      <c r="S5" s="3853"/>
      <c r="T5" s="3852"/>
      <c r="U5" s="3853"/>
      <c r="V5" s="3856"/>
      <c r="W5" s="3856"/>
      <c r="X5" s="1354"/>
      <c r="Y5" s="3852"/>
      <c r="Z5" s="3853"/>
      <c r="AA5" s="3838"/>
      <c r="AB5" s="3838"/>
      <c r="AC5" s="3838"/>
    </row>
    <row r="6" spans="1:29" ht="15.75" thickBot="1">
      <c r="A6" s="360"/>
      <c r="B6" s="361"/>
      <c r="C6" s="3888" t="s">
        <v>1919</v>
      </c>
      <c r="D6" s="3889"/>
      <c r="E6" s="3890" t="s">
        <v>1919</v>
      </c>
      <c r="F6" s="3891"/>
      <c r="G6" s="3888" t="s">
        <v>1919</v>
      </c>
      <c r="H6" s="3889"/>
      <c r="I6" s="3888" t="s">
        <v>1919</v>
      </c>
      <c r="J6" s="3889"/>
      <c r="K6" s="559" t="s">
        <v>1678</v>
      </c>
      <c r="L6" s="2714"/>
      <c r="M6" s="2715"/>
      <c r="N6" s="2715"/>
      <c r="O6" s="2715"/>
      <c r="P6" s="3848"/>
      <c r="Q6" s="3849"/>
      <c r="R6" s="3852"/>
      <c r="S6" s="3853"/>
      <c r="T6" s="3854"/>
      <c r="U6" s="3855"/>
      <c r="V6" s="3856"/>
      <c r="W6" s="3856"/>
      <c r="X6" s="1354"/>
      <c r="Y6" s="3854"/>
      <c r="Z6" s="3855"/>
      <c r="AA6" s="3839"/>
      <c r="AB6" s="3839"/>
      <c r="AC6" s="3839"/>
    </row>
    <row r="7" spans="1:29" s="108" customFormat="1" ht="15.75" thickBot="1">
      <c r="A7" s="362" t="s">
        <v>1679</v>
      </c>
      <c r="B7" s="363"/>
      <c r="C7" s="364">
        <f>'数据-取费表'!B2</f>
        <v>45399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61" t="s">
        <v>1680</v>
      </c>
      <c r="Q7" s="3863"/>
      <c r="R7" s="701" t="s">
        <v>14</v>
      </c>
      <c r="S7" s="702">
        <f t="shared" ref="S7:S15" si="0">F7</f>
        <v>0</v>
      </c>
      <c r="T7" s="701" t="s">
        <v>14</v>
      </c>
      <c r="U7" s="702">
        <f t="shared" ref="U7:U15" si="1">H7</f>
        <v>0</v>
      </c>
      <c r="V7" s="701" t="s">
        <v>14</v>
      </c>
      <c r="W7" s="702">
        <f t="shared" ref="W7:W15" si="2">J7</f>
        <v>0</v>
      </c>
      <c r="X7" s="703"/>
      <c r="Y7" s="3861" t="s">
        <v>1680</v>
      </c>
      <c r="Z7" s="38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61" t="s">
        <v>1683</v>
      </c>
      <c r="Q8" s="3862"/>
      <c r="R8" s="701" t="s">
        <v>14</v>
      </c>
      <c r="S8" s="702">
        <f t="shared" si="0"/>
        <v>0</v>
      </c>
      <c r="T8" s="701" t="s">
        <v>14</v>
      </c>
      <c r="U8" s="702">
        <f t="shared" si="1"/>
        <v>0</v>
      </c>
      <c r="V8" s="701" t="s">
        <v>14</v>
      </c>
      <c r="W8" s="702">
        <f t="shared" si="2"/>
        <v>0</v>
      </c>
      <c r="X8" s="703"/>
      <c r="Y8" s="3861" t="s">
        <v>1683</v>
      </c>
      <c r="Z8" s="386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25" t="s">
        <v>1686</v>
      </c>
      <c r="Q9" s="1342" t="str">
        <f t="shared" ref="Q9:Q15" si="6">B9</f>
        <v>用途</v>
      </c>
      <c r="R9" s="701" t="s">
        <v>14</v>
      </c>
      <c r="S9" s="702">
        <f t="shared" si="0"/>
        <v>100</v>
      </c>
      <c r="T9" s="701" t="s">
        <v>14</v>
      </c>
      <c r="U9" s="702">
        <f t="shared" si="1"/>
        <v>100</v>
      </c>
      <c r="V9" s="701" t="s">
        <v>14</v>
      </c>
      <c r="W9" s="702">
        <f t="shared" si="2"/>
        <v>100</v>
      </c>
      <c r="X9" s="703"/>
      <c r="Y9" s="368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8"/>
      <c r="M10" s="2719"/>
      <c r="N10" s="2719"/>
      <c r="O10" s="2772"/>
      <c r="P10" s="3825"/>
      <c r="Q10" s="1342" t="str">
        <f t="shared" si="6"/>
        <v>土地使用年限（年）</v>
      </c>
      <c r="R10" s="701" t="s">
        <v>14</v>
      </c>
      <c r="S10" s="702">
        <f t="shared" si="0"/>
        <v>100</v>
      </c>
      <c r="T10" s="701" t="s">
        <v>14</v>
      </c>
      <c r="U10" s="702">
        <f t="shared" si="1"/>
        <v>100</v>
      </c>
      <c r="V10" s="701" t="s">
        <v>14</v>
      </c>
      <c r="W10" s="702">
        <f t="shared" si="2"/>
        <v>100</v>
      </c>
      <c r="X10" s="703"/>
      <c r="Y10" s="368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25"/>
      <c r="Q11" s="1342" t="str">
        <f t="shared" si="6"/>
        <v>容积率</v>
      </c>
      <c r="R11" s="701" t="s">
        <v>14</v>
      </c>
      <c r="S11" s="702" t="e">
        <f t="shared" si="0"/>
        <v>#N/A</v>
      </c>
      <c r="T11" s="701" t="s">
        <v>14</v>
      </c>
      <c r="U11" s="702" t="e">
        <f t="shared" si="1"/>
        <v>#N/A</v>
      </c>
      <c r="V11" s="701" t="s">
        <v>14</v>
      </c>
      <c r="W11" s="702" t="e">
        <f t="shared" si="2"/>
        <v>#N/A</v>
      </c>
      <c r="X11" s="703"/>
      <c r="Y11" s="368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25"/>
      <c r="Q12" s="1342">
        <f t="shared" si="6"/>
        <v>111</v>
      </c>
      <c r="R12" s="701" t="s">
        <v>14</v>
      </c>
      <c r="S12" s="702">
        <f t="shared" si="0"/>
        <v>100</v>
      </c>
      <c r="T12" s="701" t="s">
        <v>14</v>
      </c>
      <c r="U12" s="702">
        <f t="shared" si="1"/>
        <v>100</v>
      </c>
      <c r="V12" s="701" t="s">
        <v>14</v>
      </c>
      <c r="W12" s="702">
        <f t="shared" si="2"/>
        <v>100</v>
      </c>
      <c r="X12" s="703"/>
      <c r="Y12" s="368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25"/>
      <c r="Q13" s="1342">
        <f t="shared" si="6"/>
        <v>111</v>
      </c>
      <c r="R13" s="701" t="s">
        <v>14</v>
      </c>
      <c r="S13" s="702">
        <f t="shared" si="0"/>
        <v>100</v>
      </c>
      <c r="T13" s="701" t="s">
        <v>14</v>
      </c>
      <c r="U13" s="702">
        <f t="shared" si="1"/>
        <v>100</v>
      </c>
      <c r="V13" s="701" t="s">
        <v>14</v>
      </c>
      <c r="W13" s="702">
        <f t="shared" si="2"/>
        <v>100</v>
      </c>
      <c r="X13" s="703"/>
      <c r="Y13" s="368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25"/>
      <c r="Q14" s="1342">
        <f t="shared" si="6"/>
        <v>111</v>
      </c>
      <c r="R14" s="701" t="s">
        <v>14</v>
      </c>
      <c r="S14" s="702">
        <f t="shared" si="0"/>
        <v>100</v>
      </c>
      <c r="T14" s="701" t="s">
        <v>14</v>
      </c>
      <c r="U14" s="702">
        <f t="shared" si="1"/>
        <v>100</v>
      </c>
      <c r="V14" s="701" t="s">
        <v>14</v>
      </c>
      <c r="W14" s="702">
        <f t="shared" si="2"/>
        <v>100</v>
      </c>
      <c r="X14" s="703"/>
      <c r="Y14" s="368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27" t="s">
        <v>1691</v>
      </c>
      <c r="Q15" s="1351" t="str">
        <f t="shared" si="6"/>
        <v>产业集聚程度</v>
      </c>
      <c r="R15" s="705" t="s">
        <v>14</v>
      </c>
      <c r="S15" s="706">
        <f t="shared" si="0"/>
        <v>100</v>
      </c>
      <c r="T15" s="705" t="s">
        <v>14</v>
      </c>
      <c r="U15" s="706">
        <f t="shared" si="1"/>
        <v>100</v>
      </c>
      <c r="V15" s="705" t="s">
        <v>14</v>
      </c>
      <c r="W15" s="706">
        <f t="shared" si="2"/>
        <v>100</v>
      </c>
      <c r="X15" s="1354"/>
      <c r="Y15" s="382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828"/>
      <c r="Q16" s="1351"/>
      <c r="R16" s="705"/>
      <c r="S16" s="706"/>
      <c r="T16" s="705"/>
      <c r="U16" s="706"/>
      <c r="V16" s="705"/>
      <c r="W16" s="706"/>
      <c r="X16" s="1354"/>
      <c r="Y16" s="382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28"/>
      <c r="Q17" s="1351" t="str">
        <f>B17</f>
        <v>交通便捷度</v>
      </c>
      <c r="R17" s="705" t="s">
        <v>14</v>
      </c>
      <c r="S17" s="706">
        <f>F17</f>
        <v>100</v>
      </c>
      <c r="T17" s="705" t="s">
        <v>14</v>
      </c>
      <c r="U17" s="706">
        <f>H17</f>
        <v>100</v>
      </c>
      <c r="V17" s="705" t="s">
        <v>14</v>
      </c>
      <c r="W17" s="706">
        <f>J17</f>
        <v>100</v>
      </c>
      <c r="X17" s="1354"/>
      <c r="Y17" s="382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828"/>
      <c r="Q18" s="1351"/>
      <c r="R18" s="705"/>
      <c r="S18" s="706"/>
      <c r="T18" s="705"/>
      <c r="U18" s="706"/>
      <c r="V18" s="705"/>
      <c r="W18" s="706"/>
      <c r="X18" s="1354"/>
      <c r="Y18" s="382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28"/>
      <c r="Q19" s="1351" t="str">
        <f t="shared" ref="Q19:Q33" si="8">B19</f>
        <v>区域土地利用方向</v>
      </c>
      <c r="R19" s="705" t="s">
        <v>14</v>
      </c>
      <c r="S19" s="706">
        <f>F19</f>
        <v>100</v>
      </c>
      <c r="T19" s="705" t="s">
        <v>14</v>
      </c>
      <c r="U19" s="706">
        <f>H19</f>
        <v>100</v>
      </c>
      <c r="V19" s="705" t="s">
        <v>14</v>
      </c>
      <c r="W19" s="706">
        <f>J19</f>
        <v>100</v>
      </c>
      <c r="X19" s="1354"/>
      <c r="Y19" s="382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828"/>
      <c r="Q20" s="1351"/>
      <c r="R20" s="705"/>
      <c r="S20" s="706"/>
      <c r="T20" s="705"/>
      <c r="U20" s="706"/>
      <c r="V20" s="705"/>
      <c r="W20" s="706"/>
      <c r="X20" s="1354"/>
      <c r="Y20" s="382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28"/>
      <c r="Q21" s="1351" t="str">
        <f t="shared" si="8"/>
        <v>环境状况</v>
      </c>
      <c r="R21" s="705" t="s">
        <v>14</v>
      </c>
      <c r="S21" s="706">
        <f>F21</f>
        <v>100</v>
      </c>
      <c r="T21" s="705" t="s">
        <v>14</v>
      </c>
      <c r="U21" s="706">
        <f>H21</f>
        <v>100</v>
      </c>
      <c r="V21" s="705" t="s">
        <v>14</v>
      </c>
      <c r="W21" s="706">
        <f>J21</f>
        <v>100</v>
      </c>
      <c r="X21" s="1354"/>
      <c r="Y21" s="382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828"/>
      <c r="Q22" s="1351"/>
      <c r="R22" s="705"/>
      <c r="S22" s="706"/>
      <c r="T22" s="705"/>
      <c r="U22" s="706"/>
      <c r="V22" s="705"/>
      <c r="W22" s="706"/>
      <c r="X22" s="1354"/>
      <c r="Y22" s="382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28"/>
      <c r="Q23" s="1342" t="str">
        <f t="shared" si="8"/>
        <v>公共配套设施</v>
      </c>
      <c r="R23" s="701" t="s">
        <v>14</v>
      </c>
      <c r="S23" s="702">
        <f>F23</f>
        <v>100</v>
      </c>
      <c r="T23" s="701" t="s">
        <v>14</v>
      </c>
      <c r="U23" s="702">
        <f>H23</f>
        <v>100</v>
      </c>
      <c r="V23" s="701" t="s">
        <v>14</v>
      </c>
      <c r="W23" s="702">
        <f>J23</f>
        <v>100</v>
      </c>
      <c r="X23" s="703"/>
      <c r="Y23" s="382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828"/>
      <c r="Q24" s="1342"/>
      <c r="R24" s="701"/>
      <c r="S24" s="702"/>
      <c r="T24" s="701"/>
      <c r="U24" s="702"/>
      <c r="V24" s="701"/>
      <c r="W24" s="702"/>
      <c r="X24" s="703"/>
      <c r="Y24" s="382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28"/>
      <c r="Q25" s="1342" t="str">
        <f t="shared" ref="Q25" si="9">B25</f>
        <v>基础设施水平</v>
      </c>
      <c r="R25" s="701" t="s">
        <v>14</v>
      </c>
      <c r="S25" s="702">
        <f>F25</f>
        <v>100</v>
      </c>
      <c r="T25" s="701" t="s">
        <v>14</v>
      </c>
      <c r="U25" s="702">
        <f>H25</f>
        <v>100</v>
      </c>
      <c r="V25" s="701" t="s">
        <v>14</v>
      </c>
      <c r="W25" s="702">
        <f>J25</f>
        <v>100</v>
      </c>
      <c r="X25" s="703"/>
      <c r="Y25" s="382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828"/>
      <c r="Q26" s="1342"/>
      <c r="R26" s="701"/>
      <c r="S26" s="702"/>
      <c r="T26" s="701"/>
      <c r="U26" s="702"/>
      <c r="V26" s="701"/>
      <c r="W26" s="702"/>
      <c r="X26" s="703"/>
      <c r="Y26" s="38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2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82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28"/>
      <c r="Q28" s="1351" t="str">
        <f t="shared" si="8"/>
        <v>毗邻道路的类型与等级</v>
      </c>
      <c r="R28" s="705" t="s">
        <v>14</v>
      </c>
      <c r="S28" s="706">
        <f t="shared" si="10"/>
        <v>100</v>
      </c>
      <c r="T28" s="705" t="s">
        <v>14</v>
      </c>
      <c r="U28" s="706">
        <f t="shared" si="11"/>
        <v>100</v>
      </c>
      <c r="V28" s="705" t="s">
        <v>14</v>
      </c>
      <c r="W28" s="706">
        <f t="shared" si="12"/>
        <v>100</v>
      </c>
      <c r="X28" s="1354"/>
      <c r="Y28" s="382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828"/>
      <c r="Q29" s="1351"/>
      <c r="R29" s="705"/>
      <c r="S29" s="706"/>
      <c r="T29" s="705"/>
      <c r="U29" s="706"/>
      <c r="V29" s="705"/>
      <c r="W29" s="706"/>
      <c r="X29" s="1354"/>
      <c r="Y29" s="3828"/>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28"/>
      <c r="Q30" s="1351" t="str">
        <f t="shared" si="8"/>
        <v>土地级别</v>
      </c>
      <c r="R30" s="705" t="s">
        <v>14</v>
      </c>
      <c r="S30" s="706">
        <f t="shared" si="10"/>
        <v>100</v>
      </c>
      <c r="T30" s="705" t="s">
        <v>14</v>
      </c>
      <c r="U30" s="706">
        <f t="shared" si="11"/>
        <v>100</v>
      </c>
      <c r="V30" s="705" t="s">
        <v>14</v>
      </c>
      <c r="W30" s="706">
        <f t="shared" si="12"/>
        <v>100</v>
      </c>
      <c r="X30" s="1354"/>
      <c r="Y30" s="382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28"/>
      <c r="Q31" s="1351">
        <f t="shared" si="8"/>
        <v>111</v>
      </c>
      <c r="R31" s="705" t="s">
        <v>14</v>
      </c>
      <c r="S31" s="706">
        <f t="shared" si="10"/>
        <v>100</v>
      </c>
      <c r="T31" s="705" t="s">
        <v>14</v>
      </c>
      <c r="U31" s="706">
        <f t="shared" si="11"/>
        <v>100</v>
      </c>
      <c r="V31" s="705" t="s">
        <v>14</v>
      </c>
      <c r="W31" s="706">
        <f t="shared" si="12"/>
        <v>100</v>
      </c>
      <c r="X31" s="1354"/>
      <c r="Y31" s="382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83" t="s">
        <v>1696</v>
      </c>
      <c r="Q32" s="1351">
        <f t="shared" si="8"/>
        <v>111</v>
      </c>
      <c r="R32" s="705" t="s">
        <v>14</v>
      </c>
      <c r="S32" s="706">
        <f t="shared" si="10"/>
        <v>100</v>
      </c>
      <c r="T32" s="705" t="s">
        <v>14</v>
      </c>
      <c r="U32" s="706">
        <f t="shared" si="11"/>
        <v>100</v>
      </c>
      <c r="V32" s="705" t="s">
        <v>14</v>
      </c>
      <c r="W32" s="706">
        <f t="shared" si="12"/>
        <v>100</v>
      </c>
      <c r="X32" s="1354"/>
      <c r="Y32" s="383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32"/>
      <c r="Q33" s="1351">
        <f t="shared" si="8"/>
        <v>111</v>
      </c>
      <c r="R33" s="708" t="s">
        <v>14</v>
      </c>
      <c r="S33" s="709">
        <f t="shared" si="10"/>
        <v>100</v>
      </c>
      <c r="T33" s="708" t="s">
        <v>14</v>
      </c>
      <c r="U33" s="709">
        <f t="shared" si="11"/>
        <v>100</v>
      </c>
      <c r="V33" s="708" t="s">
        <v>14</v>
      </c>
      <c r="W33" s="709">
        <f t="shared" si="12"/>
        <v>100</v>
      </c>
      <c r="X33" s="710"/>
      <c r="Y33" s="383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32"/>
      <c r="Q34" s="1351" t="str">
        <f>B34</f>
        <v>宗地面积</v>
      </c>
      <c r="R34" s="705" t="s">
        <v>14</v>
      </c>
      <c r="S34" s="706" t="e">
        <f t="shared" si="10"/>
        <v>#N/A</v>
      </c>
      <c r="T34" s="705" t="s">
        <v>14</v>
      </c>
      <c r="U34" s="706" t="e">
        <f t="shared" si="11"/>
        <v>#N/A</v>
      </c>
      <c r="V34" s="705" t="s">
        <v>14</v>
      </c>
      <c r="W34" s="706" t="e">
        <f t="shared" si="12"/>
        <v>#N/A</v>
      </c>
      <c r="X34" s="1354"/>
      <c r="Y34" s="383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32"/>
      <c r="Q35" s="1351" t="str">
        <f t="shared" ref="Q35:Q40" si="14">B35</f>
        <v>宗地形状</v>
      </c>
      <c r="R35" s="705" t="s">
        <v>14</v>
      </c>
      <c r="S35" s="706">
        <f t="shared" si="10"/>
        <v>100</v>
      </c>
      <c r="T35" s="705" t="s">
        <v>14</v>
      </c>
      <c r="U35" s="706">
        <f t="shared" si="11"/>
        <v>100</v>
      </c>
      <c r="V35" s="705" t="s">
        <v>14</v>
      </c>
      <c r="W35" s="706">
        <f t="shared" si="12"/>
        <v>100</v>
      </c>
      <c r="X35" s="1354"/>
      <c r="Y35" s="383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32"/>
      <c r="Q36" s="1351" t="str">
        <f t="shared" si="14"/>
        <v>宗地开发程度</v>
      </c>
      <c r="R36" s="701" t="s">
        <v>14</v>
      </c>
      <c r="S36" s="702">
        <f t="shared" si="10"/>
        <v>100</v>
      </c>
      <c r="T36" s="701" t="s">
        <v>14</v>
      </c>
      <c r="U36" s="702">
        <f t="shared" si="11"/>
        <v>100</v>
      </c>
      <c r="V36" s="701" t="s">
        <v>14</v>
      </c>
      <c r="W36" s="702">
        <f t="shared" si="12"/>
        <v>100</v>
      </c>
      <c r="X36" s="703"/>
      <c r="Y36" s="383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32" t="s">
        <v>1696</v>
      </c>
      <c r="Q37" s="1351" t="str">
        <f t="shared" si="14"/>
        <v>工程地质条件</v>
      </c>
      <c r="R37" s="705" t="s">
        <v>14</v>
      </c>
      <c r="S37" s="706">
        <f t="shared" si="10"/>
        <v>100</v>
      </c>
      <c r="T37" s="705" t="s">
        <v>14</v>
      </c>
      <c r="U37" s="706">
        <f t="shared" si="11"/>
        <v>100</v>
      </c>
      <c r="V37" s="705" t="s">
        <v>14</v>
      </c>
      <c r="W37" s="706">
        <f t="shared" si="12"/>
        <v>100</v>
      </c>
      <c r="X37" s="1354"/>
      <c r="Y37" s="3832"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32"/>
      <c r="Q38" s="1351">
        <f t="shared" si="14"/>
        <v>111</v>
      </c>
      <c r="R38" s="705" t="s">
        <v>14</v>
      </c>
      <c r="S38" s="706">
        <f t="shared" si="10"/>
        <v>100</v>
      </c>
      <c r="T38" s="705" t="s">
        <v>14</v>
      </c>
      <c r="U38" s="706">
        <f t="shared" si="11"/>
        <v>100</v>
      </c>
      <c r="V38" s="705" t="s">
        <v>14</v>
      </c>
      <c r="W38" s="706">
        <f t="shared" si="12"/>
        <v>100</v>
      </c>
      <c r="X38" s="1354"/>
      <c r="Y38" s="3832"/>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32"/>
      <c r="Q39" s="1351">
        <f t="shared" si="14"/>
        <v>111</v>
      </c>
      <c r="R39" s="705" t="s">
        <v>14</v>
      </c>
      <c r="S39" s="706">
        <f t="shared" si="10"/>
        <v>100</v>
      </c>
      <c r="T39" s="705" t="s">
        <v>14</v>
      </c>
      <c r="U39" s="706">
        <f t="shared" si="11"/>
        <v>100</v>
      </c>
      <c r="V39" s="705" t="s">
        <v>14</v>
      </c>
      <c r="W39" s="706">
        <f t="shared" si="12"/>
        <v>100</v>
      </c>
      <c r="X39" s="1354"/>
      <c r="Y39" s="3832"/>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32"/>
      <c r="Q40" s="1351">
        <f t="shared" si="14"/>
        <v>111</v>
      </c>
      <c r="R40" s="708" t="s">
        <v>14</v>
      </c>
      <c r="S40" s="709">
        <f t="shared" si="10"/>
        <v>100</v>
      </c>
      <c r="T40" s="708" t="s">
        <v>14</v>
      </c>
      <c r="U40" s="709">
        <f t="shared" si="11"/>
        <v>100</v>
      </c>
      <c r="V40" s="708" t="s">
        <v>14</v>
      </c>
      <c r="W40" s="709">
        <f t="shared" si="12"/>
        <v>100</v>
      </c>
      <c r="X40" s="710"/>
      <c r="Y40" s="383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825" t="str">
        <f>A41</f>
        <v>成交单价</v>
      </c>
      <c r="Q41" s="3825"/>
      <c r="R41" s="3856">
        <f>E41</f>
        <v>0</v>
      </c>
      <c r="S41" s="3856"/>
      <c r="T41" s="3856">
        <f>G41</f>
        <v>0</v>
      </c>
      <c r="U41" s="3856"/>
      <c r="V41" s="3856">
        <f>I41</f>
        <v>0</v>
      </c>
      <c r="W41" s="3856"/>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825" t="str">
        <f>A42</f>
        <v>比较价值（元/平方米）</v>
      </c>
      <c r="Q42" s="3825"/>
      <c r="R42" s="3885" t="e">
        <f>ROUND(PRODUCT(R41,AA7:AA40),0)</f>
        <v>#DIV/0!</v>
      </c>
      <c r="S42" s="3885"/>
      <c r="T42" s="3885" t="e">
        <f>ROUND(PRODUCT(T41,AB7:AB40),0)</f>
        <v>#DIV/0!</v>
      </c>
      <c r="U42" s="3885"/>
      <c r="V42" s="3885" t="e">
        <f>ROUND(PRODUCT(V41,AC7:AC40),0)</f>
        <v>#DIV/0!</v>
      </c>
      <c r="W42" s="388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822" t="str">
        <f>A43</f>
        <v>估价对象XX用房的比较价值（楼面单价，元/平方米）</v>
      </c>
      <c r="Q43" s="3823"/>
      <c r="R43" s="3886" t="e">
        <f>ROUND(IF(D42="简单平均",AVERAGE(R42:W42),R42*F42+T42*H42+V42*J42),0)</f>
        <v>#DIV/0!</v>
      </c>
      <c r="S43" s="3886"/>
      <c r="T43" s="3886"/>
      <c r="U43" s="3886"/>
      <c r="V43" s="3886"/>
      <c r="W43" s="388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840" t="s">
        <v>1887</v>
      </c>
      <c r="H50" s="388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58590</v>
      </c>
      <c r="F51" s="639" t="e">
        <f t="shared" ref="F51:F60" si="15">ROUND(B51*E51/10000,0)</f>
        <v>#DIV/0!</v>
      </c>
      <c r="G51" s="3836"/>
      <c r="H51" s="382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21500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5" t="s">
        <v>2084</v>
      </c>
      <c r="D1" s="3896"/>
      <c r="E1" s="3896"/>
      <c r="F1" s="3896"/>
      <c r="G1" s="3896"/>
      <c r="H1" s="3896"/>
      <c r="I1" s="3896"/>
      <c r="J1" s="3896"/>
      <c r="K1" s="3896"/>
      <c r="L1" s="3896"/>
      <c r="M1" s="3896"/>
      <c r="N1" s="3896"/>
      <c r="O1" s="3896"/>
      <c r="P1" s="3896"/>
      <c r="Q1" s="3896"/>
      <c r="R1" s="3896"/>
      <c r="S1" s="38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2" t="s">
        <v>27</v>
      </c>
      <c r="D22" s="3893"/>
      <c r="E22" s="3893"/>
      <c r="F22" s="3893"/>
      <c r="G22" s="3893"/>
      <c r="H22" s="3893"/>
      <c r="I22" s="3893"/>
      <c r="J22" s="3893"/>
      <c r="K22" s="3893"/>
      <c r="L22" s="3893"/>
      <c r="M22" s="3893"/>
      <c r="N22" s="3893"/>
      <c r="O22" s="3893"/>
      <c r="P22" s="3893"/>
      <c r="Q22" s="38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133694</v>
      </c>
      <c r="C2" s="2144" t="s">
        <v>2074</v>
      </c>
      <c r="D2" s="2144" t="s">
        <v>2075</v>
      </c>
      <c r="E2" s="2611">
        <f ca="1">SUMIF(E6:E13,"&lt;&gt;#ref!",E6:E13)</f>
        <v>46810</v>
      </c>
      <c r="F2" s="2792"/>
      <c r="G2" s="2792"/>
      <c r="H2" s="2792"/>
      <c r="I2" s="2792"/>
      <c r="J2" s="2792"/>
      <c r="K2" s="2792"/>
      <c r="L2" s="2792"/>
      <c r="M2" s="2792"/>
      <c r="N2" s="2792"/>
      <c r="O2" s="2792"/>
      <c r="P2" s="2792"/>
    </row>
    <row r="3" spans="1:16" ht="15.75">
      <c r="A3" s="2144" t="s">
        <v>2076</v>
      </c>
      <c r="B3" s="2601">
        <f ca="1">ROUND(B2*10000/E2,0)</f>
        <v>28561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133694</v>
      </c>
      <c r="C6" s="2144" t="s">
        <v>2074</v>
      </c>
      <c r="D6" s="2792"/>
      <c r="E6" s="2611">
        <f ca="1">SUMIF(INDIRECT("'"&amp;A6&amp;"'"&amp;"!C:C"),"建筑面积",INDIRECT("'"&amp;A6&amp;"'"&amp;"!D:D"))</f>
        <v>46810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F6" sqref="F6"/>
    </sheetView>
  </sheetViews>
  <sheetFormatPr defaultRowHeight="23.25" customHeight="1"/>
  <cols>
    <col min="1" max="1" width="5.25" customWidth="1"/>
    <col min="2" max="2" width="8.375" customWidth="1"/>
    <col min="3" max="3" width="7.75" customWidth="1"/>
    <col min="4" max="4" width="25.25" customWidth="1"/>
    <col min="10" max="10" width="10.875" bestFit="1" customWidth="1"/>
  </cols>
  <sheetData>
    <row r="1" spans="1:12" s="3467" customFormat="1" ht="23.25" customHeight="1">
      <c r="A1" s="3464" t="s">
        <v>3490</v>
      </c>
      <c r="B1" s="3464" t="s">
        <v>3491</v>
      </c>
      <c r="C1" s="3464" t="s">
        <v>3492</v>
      </c>
      <c r="D1" s="3464" t="s">
        <v>3493</v>
      </c>
      <c r="E1" s="3465" t="s">
        <v>3494</v>
      </c>
      <c r="F1" s="3466" t="s">
        <v>3495</v>
      </c>
      <c r="G1" s="3466" t="s">
        <v>3496</v>
      </c>
      <c r="H1" s="3466" t="s">
        <v>3497</v>
      </c>
      <c r="I1" s="3466" t="s">
        <v>3498</v>
      </c>
      <c r="J1" s="3466" t="s">
        <v>3499</v>
      </c>
      <c r="K1" s="3466" t="s">
        <v>3500</v>
      </c>
      <c r="L1" s="3466" t="s">
        <v>3501</v>
      </c>
    </row>
    <row r="2" spans="1:12" s="3467" customFormat="1" ht="23.25" customHeight="1">
      <c r="A2" s="3464">
        <v>1</v>
      </c>
      <c r="B2" s="3464">
        <v>2021</v>
      </c>
      <c r="C2" s="3464">
        <v>11</v>
      </c>
      <c r="D2" s="3468" t="s">
        <v>3502</v>
      </c>
      <c r="E2" s="3464" t="s">
        <v>3503</v>
      </c>
      <c r="F2" s="3466">
        <v>468.28</v>
      </c>
      <c r="G2" s="3466"/>
      <c r="H2" s="3469">
        <f>819904368.58/10000</f>
        <v>81990.436858000001</v>
      </c>
      <c r="I2" s="3466">
        <f>7515400349.64/10000</f>
        <v>751540.03496399999</v>
      </c>
      <c r="J2" s="3470">
        <f>SUM(H2:I2)</f>
        <v>833530.47182199999</v>
      </c>
      <c r="K2" s="3470">
        <f t="shared" ref="K2:K7" si="0">J2/F2</f>
        <v>1779.9830695780304</v>
      </c>
      <c r="L2" s="3466" t="s">
        <v>3504</v>
      </c>
    </row>
    <row r="3" spans="1:12" s="3467" customFormat="1" ht="23.25" customHeight="1">
      <c r="A3" s="3478">
        <v>2</v>
      </c>
      <c r="B3" s="3478">
        <v>2021</v>
      </c>
      <c r="C3" s="3478">
        <v>3</v>
      </c>
      <c r="D3" s="3479" t="s">
        <v>3532</v>
      </c>
      <c r="E3" s="3480" t="s">
        <v>3505</v>
      </c>
      <c r="F3" s="3481">
        <v>22.65</v>
      </c>
      <c r="G3" s="3481"/>
      <c r="H3" s="3481">
        <v>13508.16</v>
      </c>
      <c r="I3" s="3481">
        <v>254119.46</v>
      </c>
      <c r="J3" s="3482">
        <f>SUM(H3:I3)</f>
        <v>267627.62</v>
      </c>
      <c r="K3" s="3482">
        <f t="shared" si="0"/>
        <v>11815.788962472407</v>
      </c>
      <c r="L3" s="3481" t="s">
        <v>3504</v>
      </c>
    </row>
    <row r="4" spans="1:12" s="3467" customFormat="1" ht="23.25" customHeight="1">
      <c r="A4" s="3464">
        <v>3</v>
      </c>
      <c r="B4" s="3464">
        <v>2021</v>
      </c>
      <c r="C4" s="3464">
        <v>7</v>
      </c>
      <c r="D4" s="3468" t="s">
        <v>3506</v>
      </c>
      <c r="E4" s="3471" t="s">
        <v>3507</v>
      </c>
      <c r="F4" s="3466">
        <v>50.75</v>
      </c>
      <c r="G4" s="3466"/>
      <c r="H4" s="3466">
        <v>27401.06</v>
      </c>
      <c r="I4" s="3466">
        <f>253764.03</f>
        <v>253764.03</v>
      </c>
      <c r="J4" s="3470">
        <f>SUM(H4:I4)</f>
        <v>281165.09000000003</v>
      </c>
      <c r="K4" s="3470">
        <f t="shared" si="0"/>
        <v>5540.1988177339908</v>
      </c>
      <c r="L4" s="3465" t="s">
        <v>3508</v>
      </c>
    </row>
    <row r="5" spans="1:12" s="3467" customFormat="1" ht="23.25" customHeight="1">
      <c r="A5" s="3464">
        <v>4</v>
      </c>
      <c r="B5" s="3464">
        <v>2021</v>
      </c>
      <c r="C5" s="3464">
        <v>3</v>
      </c>
      <c r="D5" s="3472" t="s">
        <v>3509</v>
      </c>
      <c r="E5" s="3466" t="s">
        <v>306</v>
      </c>
      <c r="F5" s="3464">
        <v>147.41</v>
      </c>
      <c r="G5" s="3464">
        <v>9.25</v>
      </c>
      <c r="H5" s="3464">
        <v>153400</v>
      </c>
      <c r="I5" s="3464">
        <v>445700</v>
      </c>
      <c r="J5" s="3464">
        <f>SUM(H5:I5)</f>
        <v>599100</v>
      </c>
      <c r="K5" s="3470">
        <f t="shared" si="0"/>
        <v>4064.1747506953398</v>
      </c>
      <c r="L5" s="3466" t="s">
        <v>3504</v>
      </c>
    </row>
    <row r="6" spans="1:12" s="3467" customFormat="1" ht="23.25" customHeight="1">
      <c r="A6" s="3464">
        <v>5</v>
      </c>
      <c r="B6" s="3473">
        <v>2021</v>
      </c>
      <c r="C6" s="3473"/>
      <c r="D6" s="3472" t="s">
        <v>3510</v>
      </c>
      <c r="E6" s="3466" t="s">
        <v>306</v>
      </c>
      <c r="F6" s="3464">
        <v>14.27</v>
      </c>
      <c r="G6" s="3464">
        <v>0</v>
      </c>
      <c r="H6" s="3464">
        <v>27745.940999999999</v>
      </c>
      <c r="I6" s="3464">
        <v>80611.956999999995</v>
      </c>
      <c r="J6" s="3464">
        <v>108357.898</v>
      </c>
      <c r="K6" s="3470">
        <f t="shared" si="0"/>
        <v>7593.4056061667834</v>
      </c>
      <c r="L6" s="3466" t="s">
        <v>3504</v>
      </c>
    </row>
    <row r="7" spans="1:12" s="3467" customFormat="1" ht="23.25" customHeight="1">
      <c r="A7" s="3464">
        <v>6</v>
      </c>
      <c r="B7" s="3464">
        <v>2020</v>
      </c>
      <c r="C7" s="3464">
        <v>10</v>
      </c>
      <c r="D7" s="3468" t="s">
        <v>3511</v>
      </c>
      <c r="E7" s="3471" t="s">
        <v>3512</v>
      </c>
      <c r="F7" s="3466">
        <v>8.4600000000000009</v>
      </c>
      <c r="G7" s="3466"/>
      <c r="H7" s="3466">
        <v>110467.13</v>
      </c>
      <c r="I7" s="3466">
        <v>52283.35</v>
      </c>
      <c r="J7" s="3470">
        <f>SUM(H7:I7)</f>
        <v>162750.48000000001</v>
      </c>
      <c r="K7" s="3470">
        <f t="shared" si="0"/>
        <v>19237.64539007092</v>
      </c>
      <c r="L7" s="3466" t="s">
        <v>3513</v>
      </c>
    </row>
    <row r="8" spans="1:12" s="3467" customFormat="1" ht="23.25" customHeight="1">
      <c r="A8" s="3464">
        <v>7</v>
      </c>
      <c r="B8" s="3466">
        <v>2020</v>
      </c>
      <c r="C8" s="3466">
        <v>9</v>
      </c>
      <c r="D8" s="3472" t="s">
        <v>3514</v>
      </c>
      <c r="E8" s="3472"/>
      <c r="F8" s="3466">
        <f>318-G8</f>
        <v>140</v>
      </c>
      <c r="G8" s="3466">
        <v>178</v>
      </c>
      <c r="H8" s="3466">
        <v>143896.98000000001</v>
      </c>
      <c r="I8" s="3466">
        <f>603585.19+193504.07</f>
        <v>797089.26</v>
      </c>
      <c r="J8" s="3466">
        <f>SUM(H8:I8)</f>
        <v>940986.24</v>
      </c>
      <c r="K8" s="3470">
        <f>H8/F8+I8/(F8+G8)</f>
        <v>3534.4055714285714</v>
      </c>
      <c r="L8" s="3466" t="s">
        <v>3504</v>
      </c>
    </row>
    <row r="9" spans="1:12" s="3467" customFormat="1" ht="23.25" customHeight="1">
      <c r="A9" s="3478">
        <v>8</v>
      </c>
      <c r="B9" s="3481">
        <v>2019</v>
      </c>
      <c r="C9" s="3481">
        <v>1</v>
      </c>
      <c r="D9" s="3483" t="s">
        <v>3533</v>
      </c>
      <c r="E9" s="3481" t="s">
        <v>3515</v>
      </c>
      <c r="F9" s="3481">
        <v>50.75</v>
      </c>
      <c r="G9" s="3481"/>
      <c r="H9" s="3481"/>
      <c r="I9" s="3481"/>
      <c r="J9" s="3481">
        <f>K9*F9</f>
        <v>595087.39500000002</v>
      </c>
      <c r="K9" s="3482">
        <v>11725.86</v>
      </c>
      <c r="L9" s="3481"/>
    </row>
    <row r="10" spans="1:12" s="3467" customFormat="1" ht="23.25" customHeight="1">
      <c r="A10" s="3464">
        <v>9</v>
      </c>
      <c r="B10" s="3466">
        <v>2019</v>
      </c>
      <c r="C10" s="3466">
        <v>1</v>
      </c>
      <c r="D10" s="3472" t="s">
        <v>3516</v>
      </c>
      <c r="E10" s="3472"/>
      <c r="F10" s="3466">
        <v>98.44</v>
      </c>
      <c r="G10" s="3466"/>
      <c r="H10" s="3466"/>
      <c r="I10" s="3466"/>
      <c r="J10" s="3466"/>
      <c r="K10" s="3470">
        <v>2649.61</v>
      </c>
      <c r="L10" s="3466"/>
    </row>
    <row r="11" spans="1:12" s="3467" customFormat="1" ht="23.25" customHeight="1">
      <c r="A11" s="3464">
        <v>10</v>
      </c>
      <c r="B11" s="3466">
        <v>2019</v>
      </c>
      <c r="C11" s="3466">
        <v>1</v>
      </c>
      <c r="D11" s="3472" t="s">
        <v>3517</v>
      </c>
      <c r="E11" s="3464" t="s">
        <v>3518</v>
      </c>
      <c r="F11" s="3466">
        <v>12.82</v>
      </c>
      <c r="G11" s="3466"/>
      <c r="H11" s="3466"/>
      <c r="I11" s="3466"/>
      <c r="J11" s="3466"/>
      <c r="K11" s="3470">
        <v>39148.75</v>
      </c>
      <c r="L11" s="3466"/>
    </row>
    <row r="12" spans="1:12" s="3467" customFormat="1" ht="23.25" customHeight="1">
      <c r="A12" s="3464">
        <v>11</v>
      </c>
      <c r="B12" s="3466">
        <v>2018</v>
      </c>
      <c r="C12" s="3466">
        <v>9</v>
      </c>
      <c r="D12" s="3472" t="s">
        <v>3519</v>
      </c>
      <c r="E12" s="3464" t="s">
        <v>3503</v>
      </c>
      <c r="F12" s="3466">
        <v>61.82</v>
      </c>
      <c r="G12" s="3466">
        <v>0</v>
      </c>
      <c r="H12" s="3466">
        <v>42500</v>
      </c>
      <c r="I12" s="3466">
        <v>153700</v>
      </c>
      <c r="J12" s="3466">
        <f>SUM(H12:I12)</f>
        <v>196200</v>
      </c>
      <c r="K12" s="3470">
        <f>J12/F12</f>
        <v>3173.7301844063409</v>
      </c>
      <c r="L12" s="3466"/>
    </row>
    <row r="13" spans="1:12" s="3467" customFormat="1" ht="23.25" customHeight="1">
      <c r="A13" s="3464">
        <v>12</v>
      </c>
      <c r="B13" s="3466">
        <v>2018</v>
      </c>
      <c r="C13" s="3466">
        <v>3</v>
      </c>
      <c r="D13" s="3472" t="s">
        <v>3520</v>
      </c>
      <c r="E13" s="3464" t="s">
        <v>3518</v>
      </c>
      <c r="F13" s="3466">
        <v>252.99</v>
      </c>
      <c r="G13" s="3466"/>
      <c r="H13" s="3466"/>
      <c r="I13" s="3466"/>
      <c r="J13" s="3466"/>
      <c r="K13" s="3470">
        <v>7132.82</v>
      </c>
      <c r="L13" s="3466"/>
    </row>
    <row r="14" spans="1:12" s="3467" customFormat="1" ht="23.25" customHeight="1">
      <c r="A14" s="3478">
        <v>13</v>
      </c>
      <c r="B14" s="3481">
        <v>2018</v>
      </c>
      <c r="C14" s="3481">
        <v>2</v>
      </c>
      <c r="D14" s="3483" t="s">
        <v>3521</v>
      </c>
      <c r="E14" s="3484"/>
      <c r="F14" s="3481">
        <v>93.71</v>
      </c>
      <c r="G14" s="3481"/>
      <c r="H14" s="3481"/>
      <c r="I14" s="3481"/>
      <c r="J14" s="3481">
        <f>K14*F14</f>
        <v>1017422.5893999998</v>
      </c>
      <c r="K14" s="3482">
        <v>10857.14</v>
      </c>
      <c r="L14" s="3481"/>
    </row>
    <row r="15" spans="1:12" s="3467" customFormat="1" ht="23.25" customHeight="1">
      <c r="A15" s="3464">
        <v>14</v>
      </c>
      <c r="B15" s="3466">
        <v>2018</v>
      </c>
      <c r="C15" s="3466">
        <v>2</v>
      </c>
      <c r="D15" s="3474" t="s">
        <v>3522</v>
      </c>
      <c r="E15" s="3464" t="s">
        <v>3503</v>
      </c>
      <c r="F15" s="3466">
        <v>61.82</v>
      </c>
      <c r="G15" s="3466"/>
      <c r="H15" s="3466"/>
      <c r="I15" s="3466"/>
      <c r="J15" s="3466"/>
      <c r="K15" s="3470">
        <v>3331.71</v>
      </c>
      <c r="L15" s="3466"/>
    </row>
    <row r="16" spans="1:12" s="3467" customFormat="1" ht="23.25" customHeight="1">
      <c r="A16" s="3464">
        <v>15</v>
      </c>
      <c r="B16" s="3464">
        <v>2018</v>
      </c>
      <c r="C16" s="3464">
        <v>12</v>
      </c>
      <c r="D16" s="3474" t="s">
        <v>3523</v>
      </c>
      <c r="E16" s="3471" t="s">
        <v>3512</v>
      </c>
      <c r="F16" s="3464">
        <v>66.48</v>
      </c>
      <c r="G16" s="3475"/>
      <c r="H16" s="3464">
        <v>52052</v>
      </c>
      <c r="I16" s="3464">
        <v>407351</v>
      </c>
      <c r="J16" s="3464">
        <f>SUM(H16:I16)</f>
        <v>459403</v>
      </c>
      <c r="K16" s="3470">
        <f>J16/F16</f>
        <v>6910.3941034897707</v>
      </c>
      <c r="L16" s="3466" t="s">
        <v>3524</v>
      </c>
    </row>
    <row r="17" spans="1:12" s="3467" customFormat="1" ht="23.25" customHeight="1">
      <c r="A17" s="3464">
        <v>16</v>
      </c>
      <c r="B17" s="3464">
        <v>2018</v>
      </c>
      <c r="C17" s="3466" t="s">
        <v>3525</v>
      </c>
      <c r="D17" s="3472" t="s">
        <v>3526</v>
      </c>
      <c r="E17" s="3464" t="s">
        <v>3518</v>
      </c>
      <c r="F17" s="3464">
        <v>73.94</v>
      </c>
      <c r="G17" s="3475"/>
      <c r="H17" s="3464">
        <v>60390.559999999998</v>
      </c>
      <c r="I17" s="3464">
        <v>332302.90999999997</v>
      </c>
      <c r="J17" s="3464">
        <f>SUM(H17:I17)</f>
        <v>392693.47</v>
      </c>
      <c r="K17" s="3470">
        <f>J17/F17</f>
        <v>5310.9747092236948</v>
      </c>
      <c r="L17" s="3465" t="s">
        <v>3527</v>
      </c>
    </row>
    <row r="18" spans="1:12" s="3467" customFormat="1" ht="23.25" customHeight="1">
      <c r="A18" s="3464">
        <v>17</v>
      </c>
      <c r="B18" s="3464">
        <v>2018</v>
      </c>
      <c r="C18" s="3473">
        <v>3</v>
      </c>
      <c r="D18" s="3472" t="s">
        <v>3528</v>
      </c>
      <c r="E18" s="3464" t="s">
        <v>3518</v>
      </c>
      <c r="F18" s="3464">
        <v>214.34</v>
      </c>
      <c r="G18" s="3475"/>
      <c r="H18" s="3464">
        <v>410518</v>
      </c>
      <c r="I18" s="3464">
        <v>1480680.08</v>
      </c>
      <c r="J18" s="3464">
        <f>SUM(H18:I18)</f>
        <v>1891198.08</v>
      </c>
      <c r="K18" s="3470">
        <f>J18/F18</f>
        <v>8823.3557898665676</v>
      </c>
      <c r="L18" s="3466"/>
    </row>
    <row r="19" spans="1:12" s="3467" customFormat="1" ht="23.25" customHeight="1">
      <c r="A19" s="3464">
        <v>18</v>
      </c>
      <c r="B19" s="3464">
        <v>2018</v>
      </c>
      <c r="C19" s="3473">
        <v>8</v>
      </c>
      <c r="D19" s="3472" t="s">
        <v>3529</v>
      </c>
      <c r="E19" s="3464" t="s">
        <v>3518</v>
      </c>
      <c r="F19" s="3476"/>
      <c r="G19" s="3475"/>
      <c r="H19" s="3476"/>
      <c r="I19" s="3476"/>
      <c r="J19" s="3476"/>
      <c r="K19" s="3477">
        <v>7458.7</v>
      </c>
      <c r="L19" s="3466"/>
    </row>
    <row r="20" spans="1:12" s="3467" customFormat="1" ht="23.25" customHeight="1">
      <c r="A20" s="3464">
        <v>19</v>
      </c>
      <c r="B20" s="3464">
        <v>2018</v>
      </c>
      <c r="C20" s="3473"/>
      <c r="D20" s="3472" t="s">
        <v>3530</v>
      </c>
      <c r="E20" s="3464" t="s">
        <v>3518</v>
      </c>
      <c r="F20" s="3464">
        <v>22.71</v>
      </c>
      <c r="G20" s="3475"/>
      <c r="H20" s="3464">
        <v>51633.43</v>
      </c>
      <c r="I20" s="3464">
        <v>13738.56</v>
      </c>
      <c r="J20" s="3464">
        <f>SUM(H20:I20)</f>
        <v>65371.99</v>
      </c>
      <c r="K20" s="3470">
        <f>J20/F20</f>
        <v>2878.555261999119</v>
      </c>
      <c r="L20" s="3466"/>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907" t="s">
        <v>2610</v>
      </c>
      <c r="B20" s="3902" t="s">
        <v>2631</v>
      </c>
      <c r="C20" s="3102" t="s">
        <v>2442</v>
      </c>
      <c r="D20" s="3103"/>
      <c r="E20" s="3104">
        <v>1</v>
      </c>
      <c r="F20" s="3105" t="s">
        <v>2443</v>
      </c>
      <c r="G20" s="3105"/>
    </row>
    <row r="21" spans="1:13" ht="19.5" customHeight="1">
      <c r="A21" s="3908"/>
      <c r="B21" s="3901"/>
      <c r="C21" s="3106" t="s">
        <v>2444</v>
      </c>
      <c r="D21" s="3107"/>
      <c r="E21" s="3108">
        <v>1</v>
      </c>
      <c r="F21" s="3105" t="s">
        <v>2445</v>
      </c>
      <c r="G21" s="3105"/>
    </row>
    <row r="22" spans="1:13" ht="19.5" customHeight="1">
      <c r="A22" s="3908"/>
      <c r="B22" s="3901"/>
      <c r="C22" s="3106" t="s">
        <v>2446</v>
      </c>
      <c r="D22" s="3107"/>
      <c r="E22" s="3108">
        <v>0.9</v>
      </c>
      <c r="F22" s="3105" t="s">
        <v>2447</v>
      </c>
      <c r="G22" s="3105"/>
    </row>
    <row r="23" spans="1:13" ht="19.5" customHeight="1">
      <c r="A23" s="3908"/>
      <c r="B23" s="3901"/>
      <c r="C23" s="3106" t="s">
        <v>2448</v>
      </c>
      <c r="D23" s="3107"/>
      <c r="E23" s="3108">
        <v>0.9</v>
      </c>
      <c r="F23" s="3105" t="s">
        <v>2449</v>
      </c>
      <c r="G23" s="3105"/>
    </row>
    <row r="24" spans="1:13" ht="19.5" customHeight="1">
      <c r="A24" s="3908"/>
      <c r="B24" s="3901"/>
      <c r="C24" s="3106" t="s">
        <v>2450</v>
      </c>
      <c r="D24" s="3107"/>
      <c r="E24" s="3108">
        <v>0.8</v>
      </c>
      <c r="F24" s="3105" t="s">
        <v>2451</v>
      </c>
      <c r="G24" s="3105"/>
    </row>
    <row r="25" spans="1:13" ht="19.5" customHeight="1" thickBot="1">
      <c r="A25" s="3909"/>
      <c r="B25" s="390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904" t="s">
        <v>2634</v>
      </c>
      <c r="B27" s="3902" t="s">
        <v>2615</v>
      </c>
      <c r="C27" s="3102" t="s">
        <v>2455</v>
      </c>
      <c r="D27" s="3103"/>
      <c r="E27" s="3104">
        <v>1</v>
      </c>
      <c r="F27" s="3105" t="s">
        <v>2456</v>
      </c>
      <c r="G27" s="3105"/>
    </row>
    <row r="28" spans="1:13" ht="19.5" customHeight="1">
      <c r="A28" s="3905"/>
      <c r="B28" s="3901"/>
      <c r="C28" s="3106" t="s">
        <v>2457</v>
      </c>
      <c r="D28" s="3107"/>
      <c r="E28" s="3108">
        <v>1</v>
      </c>
      <c r="F28" s="3105" t="s">
        <v>2458</v>
      </c>
      <c r="G28" s="3105"/>
    </row>
    <row r="29" spans="1:13" ht="19.5" customHeight="1">
      <c r="A29" s="3905"/>
      <c r="B29" s="3901"/>
      <c r="C29" s="3106" t="s">
        <v>2459</v>
      </c>
      <c r="D29" s="3107"/>
      <c r="E29" s="3108">
        <v>0.8</v>
      </c>
      <c r="F29" s="3105" t="s">
        <v>2460</v>
      </c>
      <c r="G29" s="3105"/>
    </row>
    <row r="30" spans="1:13" ht="19.5" customHeight="1">
      <c r="A30" s="3905"/>
      <c r="B30" s="3901"/>
      <c r="C30" s="3106" t="s">
        <v>2461</v>
      </c>
      <c r="D30" s="3107"/>
      <c r="E30" s="3108">
        <v>0.8</v>
      </c>
      <c r="F30" s="3105" t="s">
        <v>2462</v>
      </c>
      <c r="G30" s="3105"/>
    </row>
    <row r="31" spans="1:13" ht="19.5" customHeight="1">
      <c r="A31" s="3905"/>
      <c r="B31" s="3901"/>
      <c r="C31" s="3106" t="s">
        <v>2463</v>
      </c>
      <c r="D31" s="3107"/>
      <c r="E31" s="3108">
        <v>0.8</v>
      </c>
      <c r="F31" s="3105" t="s">
        <v>2464</v>
      </c>
      <c r="G31" s="3105"/>
    </row>
    <row r="32" spans="1:13" ht="19.5" customHeight="1">
      <c r="A32" s="3905"/>
      <c r="B32" s="3901"/>
      <c r="C32" s="3106" t="s">
        <v>2465</v>
      </c>
      <c r="D32" s="3107"/>
      <c r="E32" s="3108">
        <v>0.7</v>
      </c>
      <c r="F32" s="3105" t="s">
        <v>2466</v>
      </c>
      <c r="G32" s="3105"/>
    </row>
    <row r="33" spans="1:7" ht="19.5" customHeight="1">
      <c r="A33" s="3905"/>
      <c r="B33" s="3901"/>
      <c r="C33" s="3106" t="s">
        <v>2467</v>
      </c>
      <c r="D33" s="3107"/>
      <c r="E33" s="3108">
        <v>0.8</v>
      </c>
      <c r="F33" s="3105" t="s">
        <v>2468</v>
      </c>
      <c r="G33" s="3105"/>
    </row>
    <row r="34" spans="1:7" ht="19.5" customHeight="1">
      <c r="A34" s="3905"/>
      <c r="B34" s="3901"/>
      <c r="C34" s="3106" t="s">
        <v>2469</v>
      </c>
      <c r="D34" s="3107"/>
      <c r="E34" s="3108">
        <v>0.6</v>
      </c>
      <c r="F34" s="3105" t="s">
        <v>2470</v>
      </c>
      <c r="G34" s="3105"/>
    </row>
    <row r="35" spans="1:7" ht="19.5" customHeight="1">
      <c r="A35" s="3905"/>
      <c r="B35" s="3901"/>
      <c r="C35" s="3106" t="s">
        <v>2471</v>
      </c>
      <c r="D35" s="3107"/>
      <c r="E35" s="3108">
        <v>0.2</v>
      </c>
      <c r="F35" s="3105" t="s">
        <v>2472</v>
      </c>
      <c r="G35" s="3105"/>
    </row>
    <row r="36" spans="1:7" ht="19.5" customHeight="1">
      <c r="A36" s="3905"/>
      <c r="B36" s="3901"/>
      <c r="C36" s="3106" t="s">
        <v>2473</v>
      </c>
      <c r="D36" s="3107"/>
      <c r="E36" s="3108">
        <v>0.2</v>
      </c>
      <c r="F36" s="3105" t="s">
        <v>2474</v>
      </c>
      <c r="G36" s="3105"/>
    </row>
    <row r="37" spans="1:7" ht="19.5" customHeight="1">
      <c r="A37" s="3905"/>
      <c r="B37" s="3899" t="s">
        <v>2635</v>
      </c>
      <c r="C37" s="3106" t="s">
        <v>2475</v>
      </c>
      <c r="D37" s="3107"/>
      <c r="E37" s="3108">
        <v>0.6</v>
      </c>
      <c r="F37" s="3105" t="s">
        <v>2476</v>
      </c>
      <c r="G37" s="3105"/>
    </row>
    <row r="38" spans="1:7" ht="19.5" customHeight="1">
      <c r="A38" s="3905"/>
      <c r="B38" s="3901"/>
      <c r="C38" s="3106" t="s">
        <v>2477</v>
      </c>
      <c r="D38" s="3107"/>
      <c r="E38" s="3108">
        <v>0.6</v>
      </c>
      <c r="F38" s="3105" t="s">
        <v>2478</v>
      </c>
      <c r="G38" s="3105"/>
    </row>
    <row r="39" spans="1:7" ht="19.5" customHeight="1" thickBot="1">
      <c r="A39" s="3906"/>
      <c r="B39" s="390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907" t="s">
        <v>2613</v>
      </c>
      <c r="B41" s="3902" t="s">
        <v>2637</v>
      </c>
      <c r="C41" s="3102" t="s">
        <v>2482</v>
      </c>
      <c r="D41" s="3103"/>
      <c r="E41" s="3104">
        <v>1</v>
      </c>
      <c r="F41" s="3105" t="s">
        <v>2483</v>
      </c>
      <c r="G41" s="3105"/>
    </row>
    <row r="42" spans="1:7" ht="19.5" customHeight="1">
      <c r="A42" s="3908"/>
      <c r="B42" s="3901"/>
      <c r="C42" s="3106" t="s">
        <v>2484</v>
      </c>
      <c r="D42" s="3107"/>
      <c r="E42" s="3108">
        <v>1</v>
      </c>
      <c r="F42" s="3105" t="s">
        <v>2485</v>
      </c>
      <c r="G42" s="3105"/>
    </row>
    <row r="43" spans="1:7" ht="19.5" customHeight="1">
      <c r="A43" s="3908"/>
      <c r="B43" s="3900"/>
      <c r="C43" s="3106" t="s">
        <v>2486</v>
      </c>
      <c r="D43" s="3107"/>
      <c r="E43" s="3108">
        <v>1.5</v>
      </c>
      <c r="F43" s="3105" t="s">
        <v>2487</v>
      </c>
      <c r="G43" s="3105"/>
    </row>
    <row r="44" spans="1:7" ht="19.5" customHeight="1">
      <c r="A44" s="3908"/>
      <c r="B44" s="3117" t="s">
        <v>2638</v>
      </c>
      <c r="C44" s="3106" t="s">
        <v>2639</v>
      </c>
      <c r="D44" s="3107"/>
      <c r="E44" s="3108">
        <v>2</v>
      </c>
      <c r="F44" s="3105" t="s">
        <v>2488</v>
      </c>
      <c r="G44" s="3105"/>
    </row>
    <row r="45" spans="1:7" ht="19.5" customHeight="1">
      <c r="A45" s="3908"/>
      <c r="B45" s="3899" t="s">
        <v>2640</v>
      </c>
      <c r="C45" s="3106" t="s">
        <v>2489</v>
      </c>
      <c r="D45" s="3107"/>
      <c r="E45" s="3108">
        <v>1</v>
      </c>
      <c r="F45" s="3105" t="s">
        <v>2490</v>
      </c>
      <c r="G45" s="3105"/>
    </row>
    <row r="46" spans="1:7" ht="19.5" customHeight="1">
      <c r="A46" s="3908"/>
      <c r="B46" s="3901"/>
      <c r="C46" s="3106" t="s">
        <v>2491</v>
      </c>
      <c r="D46" s="3107"/>
      <c r="E46" s="3108">
        <v>1</v>
      </c>
      <c r="F46" s="3105" t="s">
        <v>2492</v>
      </c>
      <c r="G46" s="3105"/>
    </row>
    <row r="47" spans="1:7" ht="19.5" customHeight="1">
      <c r="A47" s="3908"/>
      <c r="B47" s="3901"/>
      <c r="C47" s="3106" t="s">
        <v>2493</v>
      </c>
      <c r="D47" s="3107"/>
      <c r="E47" s="3108">
        <v>1</v>
      </c>
      <c r="F47" s="3105" t="s">
        <v>2494</v>
      </c>
      <c r="G47" s="3105"/>
    </row>
    <row r="48" spans="1:7" ht="19.5" customHeight="1">
      <c r="A48" s="3908"/>
      <c r="B48" s="3901"/>
      <c r="C48" s="3106" t="s">
        <v>2495</v>
      </c>
      <c r="D48" s="3107"/>
      <c r="E48" s="3108">
        <v>1</v>
      </c>
      <c r="F48" s="3105" t="s">
        <v>2496</v>
      </c>
      <c r="G48" s="3105"/>
    </row>
    <row r="49" spans="1:7" ht="19.5" customHeight="1">
      <c r="A49" s="3908"/>
      <c r="B49" s="3901"/>
      <c r="C49" s="3106" t="s">
        <v>2497</v>
      </c>
      <c r="D49" s="3107"/>
      <c r="E49" s="3108">
        <v>1</v>
      </c>
      <c r="F49" s="3105" t="s">
        <v>2498</v>
      </c>
      <c r="G49" s="3105"/>
    </row>
    <row r="50" spans="1:7" ht="19.5" customHeight="1">
      <c r="A50" s="3908"/>
      <c r="B50" s="3901"/>
      <c r="C50" s="3106" t="s">
        <v>2499</v>
      </c>
      <c r="D50" s="3107"/>
      <c r="E50" s="3108">
        <v>1</v>
      </c>
      <c r="F50" s="3105" t="s">
        <v>2500</v>
      </c>
      <c r="G50" s="3105"/>
    </row>
    <row r="51" spans="1:7" ht="19.5" customHeight="1" thickBot="1">
      <c r="A51" s="3909"/>
      <c r="B51" s="390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99" t="s">
        <v>2654</v>
      </c>
      <c r="C73" s="3091" t="s">
        <v>2655</v>
      </c>
      <c r="D73" s="3091" t="s">
        <v>2656</v>
      </c>
      <c r="E73" s="3117">
        <v>0.2</v>
      </c>
      <c r="F73" s="3117">
        <v>25</v>
      </c>
    </row>
    <row r="74" spans="1:7" ht="24">
      <c r="A74" s="3117">
        <v>2</v>
      </c>
      <c r="B74" s="3901"/>
      <c r="C74" s="3091" t="s">
        <v>2657</v>
      </c>
      <c r="D74" s="3091" t="s">
        <v>2658</v>
      </c>
      <c r="E74" s="3117">
        <v>0.2</v>
      </c>
      <c r="F74" s="3117">
        <v>25</v>
      </c>
    </row>
    <row r="75" spans="1:7" ht="24">
      <c r="A75" s="3117">
        <v>3</v>
      </c>
      <c r="B75" s="3901"/>
      <c r="C75" s="3091" t="s">
        <v>2659</v>
      </c>
      <c r="D75" s="3091" t="s">
        <v>2660</v>
      </c>
      <c r="E75" s="3117">
        <v>0.2</v>
      </c>
      <c r="F75" s="3117">
        <v>25</v>
      </c>
    </row>
    <row r="76" spans="1:7" ht="13.5">
      <c r="A76" s="3117">
        <v>4</v>
      </c>
      <c r="B76" s="3901"/>
      <c r="C76" s="3091" t="s">
        <v>2661</v>
      </c>
      <c r="D76" s="3091" t="s">
        <v>2662</v>
      </c>
      <c r="E76" s="3117">
        <v>0.15</v>
      </c>
      <c r="F76" s="3117">
        <v>20</v>
      </c>
    </row>
    <row r="77" spans="1:7" ht="24">
      <c r="A77" s="3117">
        <v>5</v>
      </c>
      <c r="B77" s="3901"/>
      <c r="C77" s="3091" t="s">
        <v>2663</v>
      </c>
      <c r="D77" s="3091" t="s">
        <v>2664</v>
      </c>
      <c r="E77" s="3117">
        <v>0.15</v>
      </c>
      <c r="F77" s="3117">
        <v>20</v>
      </c>
    </row>
    <row r="78" spans="1:7" ht="24">
      <c r="A78" s="3117">
        <v>6</v>
      </c>
      <c r="B78" s="3901"/>
      <c r="C78" s="3091" t="s">
        <v>2665</v>
      </c>
      <c r="D78" s="3091" t="s">
        <v>2666</v>
      </c>
      <c r="E78" s="3117">
        <v>0.15</v>
      </c>
      <c r="F78" s="3117">
        <v>20</v>
      </c>
    </row>
    <row r="79" spans="1:7" ht="24">
      <c r="A79" s="3117">
        <v>7</v>
      </c>
      <c r="B79" s="3901"/>
      <c r="C79" s="3091" t="s">
        <v>2667</v>
      </c>
      <c r="D79" s="3091" t="s">
        <v>2668</v>
      </c>
      <c r="E79" s="3117">
        <v>0.15</v>
      </c>
      <c r="F79" s="3117">
        <v>20</v>
      </c>
    </row>
    <row r="80" spans="1:7" ht="24">
      <c r="A80" s="3117">
        <v>8</v>
      </c>
      <c r="B80" s="3901"/>
      <c r="C80" s="3091" t="s">
        <v>2669</v>
      </c>
      <c r="D80" s="3091" t="s">
        <v>2670</v>
      </c>
      <c r="E80" s="3117">
        <v>0.1</v>
      </c>
      <c r="F80" s="3117">
        <v>15</v>
      </c>
    </row>
    <row r="81" spans="1:6" ht="24">
      <c r="A81" s="3117">
        <v>9</v>
      </c>
      <c r="B81" s="3901"/>
      <c r="C81" s="3091" t="s">
        <v>2671</v>
      </c>
      <c r="D81" s="3091" t="s">
        <v>2672</v>
      </c>
      <c r="E81" s="3117">
        <v>0.1</v>
      </c>
      <c r="F81" s="3117">
        <v>15</v>
      </c>
    </row>
    <row r="82" spans="1:6" ht="24">
      <c r="A82" s="3117">
        <v>10</v>
      </c>
      <c r="B82" s="3901"/>
      <c r="C82" s="3091" t="s">
        <v>2673</v>
      </c>
      <c r="D82" s="3091" t="s">
        <v>2674</v>
      </c>
      <c r="E82" s="3117">
        <v>0.1</v>
      </c>
      <c r="F82" s="3117">
        <v>15</v>
      </c>
    </row>
    <row r="83" spans="1:6" ht="24">
      <c r="A83" s="3117">
        <v>11</v>
      </c>
      <c r="B83" s="3901"/>
      <c r="C83" s="3091" t="s">
        <v>2675</v>
      </c>
      <c r="D83" s="3091" t="s">
        <v>2676</v>
      </c>
      <c r="E83" s="3117">
        <v>0.1</v>
      </c>
      <c r="F83" s="3117">
        <v>15</v>
      </c>
    </row>
    <row r="84" spans="1:6" ht="24">
      <c r="A84" s="3117">
        <v>12</v>
      </c>
      <c r="B84" s="3901"/>
      <c r="C84" s="3091" t="s">
        <v>2677</v>
      </c>
      <c r="D84" s="3091" t="s">
        <v>2678</v>
      </c>
      <c r="E84" s="3117">
        <v>0.1</v>
      </c>
      <c r="F84" s="3117">
        <v>15</v>
      </c>
    </row>
    <row r="85" spans="1:6" ht="13.5">
      <c r="A85" s="3117">
        <v>13</v>
      </c>
      <c r="B85" s="3901"/>
      <c r="C85" s="3091" t="s">
        <v>2679</v>
      </c>
      <c r="D85" s="3091" t="s">
        <v>2680</v>
      </c>
      <c r="E85" s="3117">
        <v>0.1</v>
      </c>
      <c r="F85" s="3117">
        <v>15</v>
      </c>
    </row>
    <row r="86" spans="1:6" ht="13.5">
      <c r="A86" s="3117">
        <v>14</v>
      </c>
      <c r="B86" s="3901"/>
      <c r="C86" s="3091" t="s">
        <v>2681</v>
      </c>
      <c r="D86" s="3091" t="s">
        <v>2682</v>
      </c>
      <c r="E86" s="3117">
        <v>0.1</v>
      </c>
      <c r="F86" s="3117">
        <v>15</v>
      </c>
    </row>
    <row r="87" spans="1:6" ht="13.5">
      <c r="A87" s="3117">
        <v>15</v>
      </c>
      <c r="B87" s="3901"/>
      <c r="C87" s="3091" t="s">
        <v>2683</v>
      </c>
      <c r="D87" s="3091" t="s">
        <v>2684</v>
      </c>
      <c r="E87" s="3117">
        <v>0.1</v>
      </c>
      <c r="F87" s="3117">
        <v>15</v>
      </c>
    </row>
    <row r="88" spans="1:6" ht="24">
      <c r="A88" s="3117">
        <v>16</v>
      </c>
      <c r="B88" s="3901"/>
      <c r="C88" s="3091" t="s">
        <v>2685</v>
      </c>
      <c r="D88" s="3091" t="s">
        <v>2686</v>
      </c>
      <c r="E88" s="3117">
        <v>0.1</v>
      </c>
      <c r="F88" s="3117">
        <v>15</v>
      </c>
    </row>
    <row r="89" spans="1:6" ht="24">
      <c r="A89" s="3117">
        <v>17</v>
      </c>
      <c r="B89" s="3900"/>
      <c r="C89" s="3091" t="s">
        <v>2687</v>
      </c>
      <c r="D89" s="3091" t="s">
        <v>2688</v>
      </c>
      <c r="E89" s="3117">
        <v>0.1</v>
      </c>
      <c r="F89" s="3117">
        <v>15</v>
      </c>
    </row>
    <row r="90" spans="1:6" ht="13.5">
      <c r="A90" s="3117">
        <v>18</v>
      </c>
      <c r="B90" s="3899" t="s">
        <v>2689</v>
      </c>
      <c r="C90" s="3091" t="s">
        <v>2690</v>
      </c>
      <c r="D90" s="3091" t="s">
        <v>2691</v>
      </c>
      <c r="E90" s="3117">
        <v>0.2</v>
      </c>
      <c r="F90" s="3117">
        <v>25</v>
      </c>
    </row>
    <row r="91" spans="1:6" ht="24">
      <c r="A91" s="3117">
        <v>19</v>
      </c>
      <c r="B91" s="3901"/>
      <c r="C91" s="3091" t="s">
        <v>2692</v>
      </c>
      <c r="D91" s="3091" t="s">
        <v>2693</v>
      </c>
      <c r="E91" s="3117">
        <v>0.2</v>
      </c>
      <c r="F91" s="3117">
        <v>25</v>
      </c>
    </row>
    <row r="92" spans="1:6" ht="13.5">
      <c r="A92" s="3117">
        <v>20</v>
      </c>
      <c r="B92" s="3901"/>
      <c r="C92" s="3091" t="s">
        <v>2694</v>
      </c>
      <c r="D92" s="3091" t="s">
        <v>2695</v>
      </c>
      <c r="E92" s="3117">
        <v>0.15</v>
      </c>
      <c r="F92" s="3117">
        <v>20</v>
      </c>
    </row>
    <row r="93" spans="1:6" ht="13.5">
      <c r="A93" s="3117">
        <v>21</v>
      </c>
      <c r="B93" s="3901"/>
      <c r="C93" s="3091" t="s">
        <v>2696</v>
      </c>
      <c r="D93" s="3091" t="s">
        <v>2697</v>
      </c>
      <c r="E93" s="3117">
        <v>0.15</v>
      </c>
      <c r="F93" s="3117">
        <v>20</v>
      </c>
    </row>
    <row r="94" spans="1:6" ht="13.5">
      <c r="A94" s="3117">
        <v>22</v>
      </c>
      <c r="B94" s="3901"/>
      <c r="C94" s="3091" t="s">
        <v>2698</v>
      </c>
      <c r="D94" s="3091" t="s">
        <v>2699</v>
      </c>
      <c r="E94" s="3117">
        <v>0.15</v>
      </c>
      <c r="F94" s="3117">
        <v>20</v>
      </c>
    </row>
    <row r="95" spans="1:6" ht="36">
      <c r="A95" s="3117">
        <v>23</v>
      </c>
      <c r="B95" s="3901"/>
      <c r="C95" s="3091" t="s">
        <v>2700</v>
      </c>
      <c r="D95" s="3091" t="s">
        <v>2701</v>
      </c>
      <c r="E95" s="3117">
        <v>0.15</v>
      </c>
      <c r="F95" s="3117">
        <v>20</v>
      </c>
    </row>
    <row r="96" spans="1:6" ht="13.5">
      <c r="A96" s="3117">
        <v>24</v>
      </c>
      <c r="B96" s="3901"/>
      <c r="C96" s="3091" t="s">
        <v>2702</v>
      </c>
      <c r="D96" s="3091" t="s">
        <v>2703</v>
      </c>
      <c r="E96" s="3117">
        <v>0.1</v>
      </c>
      <c r="F96" s="3117">
        <v>15</v>
      </c>
    </row>
    <row r="97" spans="1:6" ht="13.5">
      <c r="A97" s="3117">
        <v>25</v>
      </c>
      <c r="B97" s="3901"/>
      <c r="C97" s="3091" t="s">
        <v>2704</v>
      </c>
      <c r="D97" s="3091" t="s">
        <v>2705</v>
      </c>
      <c r="E97" s="3117">
        <v>0.1</v>
      </c>
      <c r="F97" s="3117">
        <v>15</v>
      </c>
    </row>
    <row r="98" spans="1:6" ht="24">
      <c r="A98" s="3117">
        <v>26</v>
      </c>
      <c r="B98" s="3901"/>
      <c r="C98" s="3091" t="s">
        <v>2706</v>
      </c>
      <c r="D98" s="3091" t="s">
        <v>2707</v>
      </c>
      <c r="E98" s="3117">
        <v>0.1</v>
      </c>
      <c r="F98" s="3117">
        <v>15</v>
      </c>
    </row>
    <row r="99" spans="1:6" ht="24">
      <c r="A99" s="3117">
        <v>27</v>
      </c>
      <c r="B99" s="3901"/>
      <c r="C99" s="3091" t="s">
        <v>2708</v>
      </c>
      <c r="D99" s="3091" t="s">
        <v>2709</v>
      </c>
      <c r="E99" s="3117">
        <v>0.1</v>
      </c>
      <c r="F99" s="3117">
        <v>15</v>
      </c>
    </row>
    <row r="100" spans="1:6" ht="13.5">
      <c r="A100" s="3117">
        <v>28</v>
      </c>
      <c r="B100" s="3901"/>
      <c r="C100" s="3091" t="s">
        <v>2710</v>
      </c>
      <c r="D100" s="3091" t="s">
        <v>2711</v>
      </c>
      <c r="E100" s="3117">
        <v>0.1</v>
      </c>
      <c r="F100" s="3117">
        <v>15</v>
      </c>
    </row>
    <row r="101" spans="1:6" ht="13.5">
      <c r="A101" s="3117">
        <v>29</v>
      </c>
      <c r="B101" s="3901"/>
      <c r="C101" s="3091" t="s">
        <v>2712</v>
      </c>
      <c r="D101" s="3091" t="s">
        <v>2713</v>
      </c>
      <c r="E101" s="3117">
        <v>0.1</v>
      </c>
      <c r="F101" s="3117">
        <v>15</v>
      </c>
    </row>
    <row r="102" spans="1:6" ht="13.5">
      <c r="A102" s="3117">
        <v>30</v>
      </c>
      <c r="B102" s="3901"/>
      <c r="C102" s="3091" t="s">
        <v>2714</v>
      </c>
      <c r="D102" s="3091" t="s">
        <v>2715</v>
      </c>
      <c r="E102" s="3117">
        <v>0.1</v>
      </c>
      <c r="F102" s="3117">
        <v>15</v>
      </c>
    </row>
    <row r="103" spans="1:6" ht="24">
      <c r="A103" s="3117">
        <v>31</v>
      </c>
      <c r="B103" s="3901"/>
      <c r="C103" s="3091" t="s">
        <v>2716</v>
      </c>
      <c r="D103" s="3091" t="s">
        <v>2717</v>
      </c>
      <c r="E103" s="3117">
        <v>0.1</v>
      </c>
      <c r="F103" s="3117">
        <v>15</v>
      </c>
    </row>
    <row r="104" spans="1:6" ht="24">
      <c r="A104" s="3117">
        <v>32</v>
      </c>
      <c r="B104" s="3901"/>
      <c r="C104" s="3091" t="s">
        <v>2718</v>
      </c>
      <c r="D104" s="3091" t="s">
        <v>2719</v>
      </c>
      <c r="E104" s="3117">
        <v>0.1</v>
      </c>
      <c r="F104" s="3117">
        <v>15</v>
      </c>
    </row>
    <row r="105" spans="1:6" ht="24">
      <c r="A105" s="3117">
        <v>33</v>
      </c>
      <c r="B105" s="3901"/>
      <c r="C105" s="3091" t="s">
        <v>2720</v>
      </c>
      <c r="D105" s="3091" t="s">
        <v>2721</v>
      </c>
      <c r="E105" s="3117">
        <v>0.1</v>
      </c>
      <c r="F105" s="3117">
        <v>15</v>
      </c>
    </row>
    <row r="106" spans="1:6" ht="24">
      <c r="A106" s="3117">
        <v>34</v>
      </c>
      <c r="B106" s="3900"/>
      <c r="C106" s="3091" t="s">
        <v>2722</v>
      </c>
      <c r="D106" s="3091" t="s">
        <v>2723</v>
      </c>
      <c r="E106" s="3117">
        <v>0.1</v>
      </c>
      <c r="F106" s="3117">
        <v>15</v>
      </c>
    </row>
    <row r="107" spans="1:6" ht="24">
      <c r="A107" s="3117">
        <v>35</v>
      </c>
      <c r="B107" s="3899" t="s">
        <v>2724</v>
      </c>
      <c r="C107" s="3117" t="s">
        <v>2725</v>
      </c>
      <c r="D107" s="3091" t="s">
        <v>2726</v>
      </c>
      <c r="E107" s="3117">
        <v>0.15</v>
      </c>
      <c r="F107" s="3117">
        <v>20</v>
      </c>
    </row>
    <row r="108" spans="1:6" ht="13.5">
      <c r="A108" s="3117">
        <v>36</v>
      </c>
      <c r="B108" s="3901"/>
      <c r="C108" s="3117" t="s">
        <v>2727</v>
      </c>
      <c r="D108" s="3091" t="s">
        <v>2728</v>
      </c>
      <c r="E108" s="3117">
        <v>0.15</v>
      </c>
      <c r="F108" s="3117">
        <v>20</v>
      </c>
    </row>
    <row r="109" spans="1:6" ht="13.5">
      <c r="A109" s="3117">
        <v>37</v>
      </c>
      <c r="B109" s="3901"/>
      <c r="C109" s="3117" t="s">
        <v>2729</v>
      </c>
      <c r="D109" s="3091" t="s">
        <v>2730</v>
      </c>
      <c r="E109" s="3117">
        <v>0.15</v>
      </c>
      <c r="F109" s="3117">
        <v>20</v>
      </c>
    </row>
    <row r="110" spans="1:6" ht="13.5">
      <c r="A110" s="3117">
        <v>38</v>
      </c>
      <c r="B110" s="3901"/>
      <c r="C110" s="3117" t="s">
        <v>2731</v>
      </c>
      <c r="D110" s="3091" t="s">
        <v>2732</v>
      </c>
      <c r="E110" s="3117">
        <v>0.1</v>
      </c>
      <c r="F110" s="3117">
        <v>15</v>
      </c>
    </row>
    <row r="111" spans="1:6" ht="24">
      <c r="A111" s="3117">
        <v>39</v>
      </c>
      <c r="B111" s="3901"/>
      <c r="C111" s="3117" t="s">
        <v>2733</v>
      </c>
      <c r="D111" s="3091" t="s">
        <v>2734</v>
      </c>
      <c r="E111" s="3117">
        <v>0.1</v>
      </c>
      <c r="F111" s="3117">
        <v>15</v>
      </c>
    </row>
    <row r="112" spans="1:6" ht="24">
      <c r="A112" s="3117">
        <v>40</v>
      </c>
      <c r="B112" s="3900"/>
      <c r="C112" s="3117" t="s">
        <v>2735</v>
      </c>
      <c r="D112" s="3091" t="s">
        <v>2736</v>
      </c>
      <c r="E112" s="3117">
        <v>0.1</v>
      </c>
      <c r="F112" s="3117">
        <v>15</v>
      </c>
    </row>
    <row r="113" spans="1:6" ht="13.5">
      <c r="A113" s="3117">
        <v>41</v>
      </c>
      <c r="B113" s="3898" t="s">
        <v>2737</v>
      </c>
      <c r="C113" s="3117" t="s">
        <v>2738</v>
      </c>
      <c r="D113" s="3091" t="s">
        <v>2739</v>
      </c>
      <c r="E113" s="3117">
        <v>0.1</v>
      </c>
      <c r="F113" s="3117">
        <v>15</v>
      </c>
    </row>
    <row r="114" spans="1:6" ht="13.5">
      <c r="A114" s="3117">
        <v>42</v>
      </c>
      <c r="B114" s="3898"/>
      <c r="C114" s="3117" t="s">
        <v>2740</v>
      </c>
      <c r="D114" s="3091" t="s">
        <v>2741</v>
      </c>
      <c r="E114" s="3117">
        <v>0.1</v>
      </c>
      <c r="F114" s="3117">
        <v>15</v>
      </c>
    </row>
    <row r="115" spans="1:6" ht="24">
      <c r="A115" s="3117">
        <v>43</v>
      </c>
      <c r="B115" s="3898"/>
      <c r="C115" s="3117" t="s">
        <v>2742</v>
      </c>
      <c r="D115" s="3091" t="s">
        <v>2743</v>
      </c>
      <c r="E115" s="3117">
        <v>0.1</v>
      </c>
      <c r="F115" s="3117">
        <v>15</v>
      </c>
    </row>
    <row r="116" spans="1:6" ht="13.5">
      <c r="A116" s="3117">
        <v>44</v>
      </c>
      <c r="B116" s="3899" t="s">
        <v>2744</v>
      </c>
      <c r="C116" s="3117" t="s">
        <v>2745</v>
      </c>
      <c r="D116" s="3091" t="s">
        <v>2746</v>
      </c>
      <c r="E116" s="3117">
        <v>0.1</v>
      </c>
      <c r="F116" s="3117">
        <v>15</v>
      </c>
    </row>
    <row r="117" spans="1:6" ht="24">
      <c r="A117" s="3117">
        <v>45</v>
      </c>
      <c r="B117" s="3900"/>
      <c r="C117" s="3091" t="s">
        <v>2747</v>
      </c>
      <c r="D117" s="3091" t="s">
        <v>2748</v>
      </c>
      <c r="E117" s="3117">
        <v>0.1</v>
      </c>
      <c r="F117" s="3117">
        <v>15</v>
      </c>
    </row>
    <row r="118" spans="1:6" ht="24">
      <c r="A118" s="3117">
        <v>46</v>
      </c>
      <c r="B118" s="3899" t="s">
        <v>2749</v>
      </c>
      <c r="C118" s="3117" t="s">
        <v>2750</v>
      </c>
      <c r="D118" s="3091" t="s">
        <v>2751</v>
      </c>
      <c r="E118" s="3117">
        <v>0.1</v>
      </c>
      <c r="F118" s="3117">
        <v>15</v>
      </c>
    </row>
    <row r="119" spans="1:6" ht="24">
      <c r="A119" s="3117">
        <v>47</v>
      </c>
      <c r="B119" s="3900"/>
      <c r="C119" s="3117" t="s">
        <v>2752</v>
      </c>
      <c r="D119" s="3091" t="s">
        <v>2753</v>
      </c>
      <c r="E119" s="3117">
        <v>0.1</v>
      </c>
      <c r="F119" s="3117">
        <v>15</v>
      </c>
    </row>
    <row r="120" spans="1:6" ht="13.5">
      <c r="A120" s="3117">
        <v>48</v>
      </c>
      <c r="B120" s="3899" t="s">
        <v>2754</v>
      </c>
      <c r="C120" s="3117" t="s">
        <v>2755</v>
      </c>
      <c r="D120" s="3091" t="s">
        <v>2756</v>
      </c>
      <c r="E120" s="3117">
        <v>0.1</v>
      </c>
      <c r="F120" s="3117">
        <v>15</v>
      </c>
    </row>
    <row r="121" spans="1:6" ht="13.5">
      <c r="A121" s="3117">
        <v>49</v>
      </c>
      <c r="B121" s="3900"/>
      <c r="C121" s="3117" t="s">
        <v>2757</v>
      </c>
      <c r="D121" s="3091" t="s">
        <v>2758</v>
      </c>
      <c r="E121" s="3117">
        <v>0.1</v>
      </c>
      <c r="F121" s="3117">
        <v>15</v>
      </c>
    </row>
    <row r="122" spans="1:6" ht="24">
      <c r="A122" s="3117">
        <v>50</v>
      </c>
      <c r="B122" s="3898" t="s">
        <v>2759</v>
      </c>
      <c r="C122" s="3117" t="s">
        <v>2760</v>
      </c>
      <c r="D122" s="3091" t="s">
        <v>2761</v>
      </c>
      <c r="E122" s="3117">
        <v>0.1</v>
      </c>
      <c r="F122" s="3117">
        <v>15</v>
      </c>
    </row>
    <row r="123" spans="1:6" ht="24">
      <c r="A123" s="3117">
        <v>51</v>
      </c>
      <c r="B123" s="3898"/>
      <c r="C123" s="3117" t="s">
        <v>2762</v>
      </c>
      <c r="D123" s="3091" t="s">
        <v>2763</v>
      </c>
      <c r="E123" s="3117">
        <v>0.1</v>
      </c>
      <c r="F123" s="3117">
        <v>15</v>
      </c>
    </row>
    <row r="124" spans="1:6" ht="24">
      <c r="A124" s="3117">
        <v>52</v>
      </c>
      <c r="B124" s="3898" t="s">
        <v>2764</v>
      </c>
      <c r="C124" s="3117" t="s">
        <v>2765</v>
      </c>
      <c r="D124" s="3091" t="s">
        <v>2766</v>
      </c>
      <c r="E124" s="3117">
        <v>0.1</v>
      </c>
      <c r="F124" s="3117">
        <v>15</v>
      </c>
    </row>
    <row r="125" spans="1:6" ht="24">
      <c r="A125" s="3117">
        <v>53</v>
      </c>
      <c r="B125" s="389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98" t="s">
        <v>2772</v>
      </c>
      <c r="C127" s="3117" t="s">
        <v>2773</v>
      </c>
      <c r="D127" s="3091" t="s">
        <v>2774</v>
      </c>
      <c r="E127" s="3117">
        <v>0.1</v>
      </c>
      <c r="F127" s="3117">
        <v>15</v>
      </c>
    </row>
    <row r="128" spans="1:6" ht="13.5">
      <c r="A128" s="3117">
        <v>56</v>
      </c>
      <c r="B128" s="3898"/>
      <c r="C128" s="3117" t="s">
        <v>2775</v>
      </c>
      <c r="D128" s="3091" t="s">
        <v>2776</v>
      </c>
      <c r="E128" s="3117">
        <v>0.1</v>
      </c>
      <c r="F128" s="3117">
        <v>15</v>
      </c>
    </row>
    <row r="129" spans="1:6" ht="24">
      <c r="A129" s="3117">
        <v>57</v>
      </c>
      <c r="B129" s="3898"/>
      <c r="C129" s="3117" t="s">
        <v>2777</v>
      </c>
      <c r="D129" s="3091" t="s">
        <v>2778</v>
      </c>
      <c r="E129" s="3117">
        <v>0.1</v>
      </c>
      <c r="F129" s="3117">
        <v>15</v>
      </c>
    </row>
    <row r="130" spans="1:6" ht="24">
      <c r="A130" s="3117">
        <v>58</v>
      </c>
      <c r="B130" s="3898" t="s">
        <v>2779</v>
      </c>
      <c r="C130" s="3117" t="s">
        <v>2780</v>
      </c>
      <c r="D130" s="3091" t="s">
        <v>2781</v>
      </c>
      <c r="E130" s="3117">
        <v>0.1</v>
      </c>
      <c r="F130" s="3117">
        <v>15</v>
      </c>
    </row>
    <row r="131" spans="1:6" ht="13.5">
      <c r="A131" s="3117">
        <v>59</v>
      </c>
      <c r="B131" s="3898"/>
      <c r="C131" s="3117" t="s">
        <v>2782</v>
      </c>
      <c r="D131" s="3091" t="s">
        <v>2783</v>
      </c>
      <c r="E131" s="3117">
        <v>0.1</v>
      </c>
      <c r="F131" s="3117">
        <v>15</v>
      </c>
    </row>
    <row r="132" spans="1:6" ht="13.5">
      <c r="A132" s="3117">
        <v>60</v>
      </c>
      <c r="B132" s="3899" t="s">
        <v>2784</v>
      </c>
      <c r="C132" s="3117" t="s">
        <v>2785</v>
      </c>
      <c r="D132" s="3091" t="s">
        <v>2786</v>
      </c>
      <c r="E132" s="3117">
        <v>0.1</v>
      </c>
      <c r="F132" s="3117">
        <v>15</v>
      </c>
    </row>
    <row r="133" spans="1:6" ht="13.5">
      <c r="A133" s="3117">
        <v>61</v>
      </c>
      <c r="B133" s="390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98" t="s">
        <v>2792</v>
      </c>
      <c r="C135" s="3117" t="s">
        <v>2793</v>
      </c>
      <c r="D135" s="3091" t="s">
        <v>2794</v>
      </c>
      <c r="E135" s="3117">
        <v>0.1</v>
      </c>
      <c r="F135" s="3117">
        <v>15</v>
      </c>
    </row>
    <row r="136" spans="1:6" ht="13.5">
      <c r="A136" s="3117">
        <v>64</v>
      </c>
      <c r="B136" s="389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0.96950000000000003</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0.92220000000000002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57339</v>
      </c>
      <c r="C2" s="2" t="s">
        <v>106</v>
      </c>
      <c r="D2" s="199"/>
      <c r="E2" s="199"/>
      <c r="F2" s="199"/>
      <c r="G2" s="199"/>
    </row>
    <row r="3" spans="1:7" s="200" customFormat="1" ht="18" customHeight="1" thickBot="1">
      <c r="A3" s="203" t="s">
        <v>58</v>
      </c>
      <c r="B3" s="204">
        <f ca="1">ROUND(B2*10000/'数据-汇总表'!E3,0)</f>
        <v>8137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937</v>
      </c>
      <c r="D9" s="845">
        <f>'数据-汇总表'!E5</f>
        <v>58590</v>
      </c>
      <c r="E9" s="225">
        <f>'数据-取费表'!B27</f>
        <v>160</v>
      </c>
      <c r="F9" s="221"/>
      <c r="G9" s="226"/>
    </row>
    <row r="10" spans="1:7" s="214" customFormat="1" ht="13.5" customHeight="1">
      <c r="A10" s="779" t="s">
        <v>356</v>
      </c>
      <c r="B10" s="224" t="s">
        <v>67</v>
      </c>
      <c r="C10" s="225">
        <f>ROUND(D10*E10/10000,0)</f>
        <v>238</v>
      </c>
      <c r="D10" s="845">
        <f>'数据-汇总表'!E6</f>
        <v>11878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1409</v>
      </c>
      <c r="D19" s="849">
        <f>'数据-汇总表'!E3</f>
        <v>70468</v>
      </c>
      <c r="E19" s="211">
        <f>'数据-取费表'!B31</f>
        <v>200</v>
      </c>
      <c r="F19" s="231"/>
      <c r="G19" s="1" t="s">
        <v>436</v>
      </c>
    </row>
    <row r="20" spans="1:7" s="214" customFormat="1" ht="13.5" customHeight="1">
      <c r="A20" s="777" t="s">
        <v>419</v>
      </c>
      <c r="B20" s="210" t="s">
        <v>77</v>
      </c>
      <c r="C20" s="232">
        <f>ROUND((C5+C19)*F20,0)</f>
        <v>440</v>
      </c>
      <c r="D20" s="232"/>
      <c r="E20" s="232"/>
      <c r="F20" s="233">
        <f>'数据-取费表'!B37</f>
        <v>0.02</v>
      </c>
      <c r="G20" s="1066"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3">
        <f ca="1">ROUND(SUM(C23:C25),0)</f>
        <v>3284</v>
      </c>
      <c r="D22" s="235">
        <f ca="1">C26</f>
        <v>0</v>
      </c>
      <c r="E22" s="236" t="s">
        <v>99</v>
      </c>
      <c r="F22" s="237">
        <f ca="1">'数据-取费表'!B40</f>
        <v>4.7500000000000001E-2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3079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173</v>
      </c>
      <c r="D24" s="238"/>
      <c r="E24" s="238"/>
      <c r="F24" s="239"/>
      <c r="G24" s="240" t="s">
        <v>82</v>
      </c>
    </row>
    <row r="25" spans="1:7" s="214" customFormat="1" ht="24">
      <c r="A25" s="780" t="s">
        <v>348</v>
      </c>
      <c r="B25" s="215" t="s">
        <v>420</v>
      </c>
      <c r="C25" s="1104">
        <f ca="1">ROUND(IF('数据-取费表'!B22&lt;=1,C20*F22*'数据-取费表'!B23/2,C20*(POWER((1+F22),'数据-取费表'!B23/2)-1)),0)</f>
        <v>32</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674</v>
      </c>
      <c r="D27" s="235">
        <f>C29</f>
        <v>0</v>
      </c>
      <c r="E27" s="236" t="s">
        <v>99</v>
      </c>
      <c r="F27" s="246">
        <f>'数据-取费表'!Q16</f>
        <v>0.03</v>
      </c>
      <c r="G27" s="247" t="s">
        <v>431</v>
      </c>
    </row>
    <row r="28" spans="1:7" s="214" customFormat="1" ht="13.5" customHeight="1">
      <c r="A28" s="780" t="s">
        <v>349</v>
      </c>
      <c r="B28" s="248" t="s">
        <v>424</v>
      </c>
      <c r="C28" s="249">
        <f>ROUND((C5+C19+C20)*F27*'数据-取费表'!B21/'数据-取费表'!B20,0)</f>
        <v>674</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26417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33140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27593</v>
      </c>
      <c r="D34" s="217"/>
      <c r="E34" s="220"/>
      <c r="F34" s="257">
        <f>IF('数据-取费表'!B24=0,1,'数据-取费表'!N16)</f>
        <v>1</v>
      </c>
      <c r="G34" s="219" t="s">
        <v>89</v>
      </c>
    </row>
    <row r="35" spans="1:7" ht="13.5" customHeight="1">
      <c r="A35" s="780" t="s">
        <v>351</v>
      </c>
      <c r="B35" s="215" t="s">
        <v>33</v>
      </c>
      <c r="C35" s="220">
        <f>ROUND(C34*F35,0)</f>
        <v>1380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2344</v>
      </c>
      <c r="D36" s="220"/>
      <c r="E36" s="220"/>
      <c r="F36" s="259">
        <f>'数据-取费表'!B34</f>
        <v>0.1</v>
      </c>
      <c r="G36" s="260" t="s">
        <v>35</v>
      </c>
    </row>
    <row r="37" spans="1:7" s="258" customFormat="1" ht="13.5" customHeight="1">
      <c r="A37" s="780" t="s">
        <v>353</v>
      </c>
      <c r="B37" s="215" t="s">
        <v>91</v>
      </c>
      <c r="C37" s="249">
        <f>ROUND(E37*D37*F34/10000,0)</f>
        <v>1409</v>
      </c>
      <c r="D37" s="217">
        <f>'数据-汇总表'!E3</f>
        <v>70468</v>
      </c>
      <c r="E37" s="249">
        <f>'数据-取费表'!B35</f>
        <v>200</v>
      </c>
      <c r="F37" s="259"/>
      <c r="G37" s="261" t="s">
        <v>92</v>
      </c>
    </row>
    <row r="38" spans="1:7" ht="13.5" customHeight="1">
      <c r="A38" s="780" t="s">
        <v>354</v>
      </c>
      <c r="B38" s="215" t="s">
        <v>36</v>
      </c>
      <c r="C38" s="220">
        <f>ROUND(C34*F38,0)</f>
        <v>414</v>
      </c>
      <c r="D38" s="220"/>
      <c r="E38" s="220"/>
      <c r="F38" s="259">
        <f>'数据-取费表'!B36</f>
        <v>1.4999999999999999E-2</v>
      </c>
      <c r="G38" s="219" t="s">
        <v>90</v>
      </c>
    </row>
    <row r="39" spans="1:7" s="214" customFormat="1" ht="13.5" customHeight="1">
      <c r="A39" s="777" t="s">
        <v>338</v>
      </c>
      <c r="B39" s="210" t="s">
        <v>77</v>
      </c>
      <c r="C39" s="232">
        <f>ROUND(C33*F20,0)</f>
        <v>663</v>
      </c>
      <c r="D39" s="232"/>
      <c r="E39" s="232"/>
      <c r="F39" s="233"/>
      <c r="G39" s="1066"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1605</v>
      </c>
      <c r="D41" s="235">
        <f ca="1">C44</f>
        <v>0</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1574</v>
      </c>
      <c r="D42" s="238"/>
      <c r="E42" s="238"/>
      <c r="F42" s="239"/>
      <c r="G42" s="3774" t="s">
        <v>94</v>
      </c>
    </row>
    <row r="43" spans="1:7" ht="13.5" customHeight="1">
      <c r="A43" s="780" t="s">
        <v>347</v>
      </c>
      <c r="B43" s="215" t="s">
        <v>426</v>
      </c>
      <c r="C43" s="238">
        <f ca="1">ROUND(IF('数据-取费表'!B22&lt;=1,C39*F22*'数据-取费表'!B21/2,C39*(POWER((1+F22),'数据-取费表'!B21/2)-1)),0)</f>
        <v>31</v>
      </c>
      <c r="D43" s="238"/>
      <c r="E43" s="238"/>
      <c r="F43" s="239"/>
      <c r="G43" s="3775"/>
    </row>
    <row r="44" spans="1:7" ht="13.5" customHeight="1">
      <c r="A44" s="780" t="s">
        <v>348</v>
      </c>
      <c r="B44" s="215" t="s">
        <v>428</v>
      </c>
      <c r="C44" s="238">
        <f ca="1">ROUND(IF('数据-取费表'!B22&lt;=1,C40*F22*'数据-取费表'!B21/2,C40*(POWER((1+F22),'数据-取费表'!B21/2)-1)),4)</f>
        <v>0</v>
      </c>
      <c r="D44" s="238"/>
      <c r="E44" s="238"/>
      <c r="F44" s="239"/>
      <c r="G44" s="3776"/>
    </row>
    <row r="45" spans="1:7" s="214" customFormat="1" ht="13.5" customHeight="1">
      <c r="A45" s="777" t="s">
        <v>341</v>
      </c>
      <c r="B45" s="244" t="s">
        <v>85</v>
      </c>
      <c r="C45" s="245">
        <f>C46</f>
        <v>1014</v>
      </c>
      <c r="D45" s="235">
        <f>C47</f>
        <v>0</v>
      </c>
      <c r="E45" s="236" t="s">
        <v>102</v>
      </c>
      <c r="F45" s="246"/>
      <c r="G45" s="247" t="s">
        <v>434</v>
      </c>
    </row>
    <row r="46" spans="1:7" s="214" customFormat="1" ht="13.5" customHeight="1">
      <c r="A46" s="780" t="s">
        <v>349</v>
      </c>
      <c r="B46" s="248" t="s">
        <v>427</v>
      </c>
      <c r="C46" s="249">
        <f>ROUND((C33+C39)*F27,0)</f>
        <v>1014</v>
      </c>
      <c r="D46" s="263"/>
      <c r="E46" s="236"/>
      <c r="F46" s="246"/>
      <c r="G46" s="247"/>
    </row>
    <row r="47" spans="1:7" s="214" customFormat="1" ht="13.5" customHeight="1">
      <c r="A47" s="780" t="s">
        <v>347</v>
      </c>
      <c r="B47" s="248" t="s">
        <v>429</v>
      </c>
      <c r="C47" s="238">
        <f>ROUND(C40*F27,4)</f>
        <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36422</v>
      </c>
      <c r="D49" s="232"/>
      <c r="E49" s="232"/>
      <c r="F49" s="264"/>
      <c r="G49" s="234" t="s">
        <v>435</v>
      </c>
    </row>
    <row r="50" spans="1:7" s="258" customFormat="1" ht="24">
      <c r="A50" s="777" t="s">
        <v>344</v>
      </c>
      <c r="B50" s="210" t="s">
        <v>97</v>
      </c>
      <c r="C50" s="232"/>
      <c r="D50" s="232"/>
      <c r="E50" s="232"/>
      <c r="F50" s="264">
        <f>IF('数据-取费表'!B24=0,'数据-取费表'!N16,1)</f>
        <v>0.84899999999999998</v>
      </c>
      <c r="G50" s="247" t="s">
        <v>98</v>
      </c>
    </row>
    <row r="51" spans="1:7" ht="16.5" customHeight="1">
      <c r="A51" s="777" t="s">
        <v>345</v>
      </c>
      <c r="B51" s="210" t="s">
        <v>105</v>
      </c>
      <c r="C51" s="232">
        <f ca="1">ROUND(C49*F50,0)</f>
        <v>30922</v>
      </c>
      <c r="D51" s="232"/>
      <c r="E51" s="232"/>
      <c r="F51" s="264"/>
      <c r="G51" s="234" t="s">
        <v>37</v>
      </c>
    </row>
    <row r="52" spans="1:7" s="208" customFormat="1" ht="16.5" thickBot="1">
      <c r="A52" s="265" t="s">
        <v>38</v>
      </c>
      <c r="B52" s="266"/>
      <c r="C52" s="267">
        <f ca="1">C31+C51</f>
        <v>57339</v>
      </c>
      <c r="D52" s="266"/>
      <c r="E52" s="266"/>
      <c r="F52" s="266"/>
      <c r="G52" s="268"/>
    </row>
    <row r="55" spans="1:7" ht="15">
      <c r="B55" s="270" t="s">
        <v>39</v>
      </c>
      <c r="C55" s="271"/>
    </row>
    <row r="56" spans="1:7">
      <c r="B56" s="273" t="s">
        <v>40</v>
      </c>
      <c r="C56" s="274">
        <f ca="1">ROUND(C51/C52,3)</f>
        <v>0.53900000000000003</v>
      </c>
    </row>
    <row r="57" spans="1:7">
      <c r="B57" s="273" t="s">
        <v>41</v>
      </c>
      <c r="C57" s="275">
        <f ca="1">1-C56</f>
        <v>0.46099999999999997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912" t="s">
        <v>2842</v>
      </c>
      <c r="B1" s="3912"/>
      <c r="C1" s="3912"/>
      <c r="D1" s="3912"/>
      <c r="E1" s="3912"/>
      <c r="F1" s="3912"/>
      <c r="G1" s="3913"/>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910"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911"/>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914" t="s">
        <v>3184</v>
      </c>
      <c r="B1" s="3914"/>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915" t="s">
        <v>3235</v>
      </c>
      <c r="B1" s="3915"/>
      <c r="C1" s="3915"/>
      <c r="D1" s="3915"/>
      <c r="E1" s="3915"/>
      <c r="F1" s="3916"/>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02" t="str">
        <f>IF(项目基本情况!B9="房地产市场价值","估价结果一览表","结果表-2")</f>
        <v>结果表-2</v>
      </c>
      <c r="B1" s="3602"/>
      <c r="C1" s="3602"/>
      <c r="D1" s="3602"/>
      <c r="E1" s="3602"/>
      <c r="F1" s="3602"/>
      <c r="G1" s="3602"/>
      <c r="H1" s="3602"/>
      <c r="I1" s="3602"/>
    </row>
    <row r="2" spans="1:9" ht="30" customHeight="1" thickTop="1">
      <c r="A2" s="3603" t="s">
        <v>928</v>
      </c>
      <c r="B2" s="3603" t="s">
        <v>929</v>
      </c>
      <c r="C2" s="3603" t="s">
        <v>930</v>
      </c>
      <c r="D2" s="3603" t="str">
        <f>结果表!D116</f>
        <v>出让国有建设用地使用权价值</v>
      </c>
      <c r="E2" s="3603"/>
      <c r="F2" s="3603" t="str">
        <f>结果表!F116</f>
        <v>在建建筑物价值</v>
      </c>
      <c r="G2" s="3603"/>
      <c r="H2" s="3603" t="str">
        <f>IF(项目基本情况!B9="房地产市场价值","房地产市场价值","房地产价值")</f>
        <v>房地产价值</v>
      </c>
      <c r="I2" s="3603"/>
    </row>
    <row r="3" spans="1:9" ht="15">
      <c r="A3" s="3598"/>
      <c r="B3" s="3598"/>
      <c r="C3" s="3598"/>
      <c r="D3" s="854" t="s">
        <v>925</v>
      </c>
      <c r="E3" s="854" t="s">
        <v>931</v>
      </c>
      <c r="F3" s="854" t="s">
        <v>925</v>
      </c>
      <c r="G3" s="854" t="s">
        <v>926</v>
      </c>
      <c r="H3" s="854" t="s">
        <v>925</v>
      </c>
      <c r="I3" s="854" t="s">
        <v>926</v>
      </c>
    </row>
    <row r="4" spans="1:9" ht="15">
      <c r="A4" s="1504" t="str">
        <f>项目基本情况!S2</f>
        <v>北京市房地产</v>
      </c>
      <c r="B4" s="854">
        <f>项目基本情况!C17</f>
        <v>70468</v>
      </c>
      <c r="C4" s="854">
        <f>项目基本情况!C18</f>
        <v>21500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8" t="s">
        <v>927</v>
      </c>
      <c r="B5" s="3598"/>
      <c r="C5" s="3598"/>
      <c r="D5" s="3598" t="e">
        <f ca="1">结果表!D119</f>
        <v>#REF!</v>
      </c>
      <c r="E5" s="3598"/>
      <c r="F5" s="3598" t="e">
        <f ca="1">结果表!F119</f>
        <v>#REF!</v>
      </c>
      <c r="G5" s="3598"/>
      <c r="H5" s="3598" t="e">
        <f ca="1">结果表!H119</f>
        <v>#REF!</v>
      </c>
      <c r="I5" s="3598"/>
    </row>
    <row r="6" spans="1:9" ht="15.75">
      <c r="A6" s="3597" t="str">
        <f>结果表!A120</f>
        <v>估价师知悉的法定优先受偿款</v>
      </c>
      <c r="B6" s="3597"/>
      <c r="C6" s="3597"/>
      <c r="D6" s="3597">
        <f>结果表!D120</f>
        <v>0</v>
      </c>
      <c r="E6" s="3597"/>
      <c r="F6" s="3597"/>
      <c r="G6" s="3597"/>
      <c r="H6" s="3597"/>
      <c r="I6" s="3597"/>
    </row>
    <row r="7" spans="1:9" ht="15">
      <c r="A7" s="3598" t="s">
        <v>927</v>
      </c>
      <c r="B7" s="3598"/>
      <c r="C7" s="3598"/>
      <c r="D7" s="3599" t="str">
        <f>结果表!D121</f>
        <v>零元整</v>
      </c>
      <c r="E7" s="3600"/>
      <c r="F7" s="3600"/>
      <c r="G7" s="3600"/>
      <c r="H7" s="3600"/>
      <c r="I7" s="3601"/>
    </row>
    <row r="8" spans="1:9" ht="15.75">
      <c r="A8" s="3597" t="str">
        <f>结果表!A122</f>
        <v>房地产抵押价值</v>
      </c>
      <c r="B8" s="3597"/>
      <c r="C8" s="3597"/>
      <c r="D8" s="3597" t="e">
        <f ca="1">结果表!D122</f>
        <v>#REF!</v>
      </c>
      <c r="E8" s="3597"/>
      <c r="F8" s="3597"/>
      <c r="G8" s="3597"/>
      <c r="H8" s="3597"/>
      <c r="I8" s="3597"/>
    </row>
    <row r="9" spans="1:9" ht="15">
      <c r="A9" s="3598" t="s">
        <v>927</v>
      </c>
      <c r="B9" s="3598"/>
      <c r="C9" s="3598"/>
      <c r="D9" s="3598" t="e">
        <f ca="1">结果表!D123</f>
        <v>#REF!</v>
      </c>
      <c r="E9" s="3598"/>
      <c r="F9" s="3598"/>
      <c r="G9" s="3598"/>
      <c r="H9" s="3598"/>
      <c r="I9" s="3598"/>
    </row>
    <row r="10" spans="1:9" ht="15.75">
      <c r="A10" s="3597" t="str">
        <f>结果表!A124</f>
        <v/>
      </c>
      <c r="B10" s="3597"/>
      <c r="C10" s="3597"/>
      <c r="D10" s="3597" t="str">
        <f>结果表!D124</f>
        <v>——</v>
      </c>
      <c r="E10" s="3597"/>
      <c r="F10" s="3597"/>
      <c r="G10" s="3597"/>
      <c r="H10" s="3597"/>
      <c r="I10" s="3597"/>
    </row>
    <row r="11" spans="1:9" ht="15">
      <c r="A11" s="3598" t="s">
        <v>927</v>
      </c>
      <c r="B11" s="3598"/>
      <c r="C11" s="3598"/>
      <c r="D11" s="3598" t="e">
        <f>结果表!D125</f>
        <v>#VALUE!</v>
      </c>
      <c r="E11" s="3598"/>
      <c r="F11" s="3598"/>
      <c r="G11" s="3598"/>
      <c r="H11" s="3598"/>
      <c r="I11" s="3598"/>
    </row>
    <row r="12" spans="1:9" ht="15.75">
      <c r="A12" s="3597" t="str">
        <f>结果表!A126</f>
        <v/>
      </c>
      <c r="B12" s="3597"/>
      <c r="C12" s="3597"/>
      <c r="D12" s="3597" t="str">
        <f>结果表!D126</f>
        <v>——</v>
      </c>
      <c r="E12" s="3597"/>
      <c r="F12" s="3597"/>
      <c r="G12" s="3597"/>
      <c r="H12" s="3597"/>
      <c r="I12" s="3597"/>
    </row>
    <row r="13" spans="1:9" ht="15.75" thickBot="1">
      <c r="A13" s="3595" t="s">
        <v>927</v>
      </c>
      <c r="B13" s="3595"/>
      <c r="C13" s="3595"/>
      <c r="D13" s="3595" t="e">
        <f>结果表!D127</f>
        <v>#VALUE!</v>
      </c>
      <c r="E13" s="3595"/>
      <c r="F13" s="3595"/>
      <c r="G13" s="3595"/>
      <c r="H13" s="3595"/>
      <c r="I13" s="3595"/>
    </row>
    <row r="14" spans="1:9" ht="15" thickTop="1">
      <c r="A14" s="3596" t="s">
        <v>932</v>
      </c>
      <c r="B14" s="3596"/>
      <c r="C14" s="3596"/>
      <c r="D14" s="3596"/>
      <c r="E14" s="3596"/>
      <c r="F14" s="3596"/>
      <c r="G14" s="3596"/>
      <c r="H14" s="3596"/>
      <c r="I14" s="35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7"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0">
        <f>基准地价修正!G23</f>
        <v>45399</v>
      </c>
      <c r="B1" s="3209" t="s">
        <v>3373</v>
      </c>
      <c r="C1" s="3210"/>
      <c r="D1" s="3210"/>
      <c r="E1" s="3210"/>
      <c r="F1" s="3210"/>
      <c r="G1" s="3210"/>
      <c r="H1" s="3210"/>
      <c r="I1" s="3210"/>
      <c r="J1" s="3164"/>
      <c r="K1" s="3210" t="s">
        <v>454</v>
      </c>
      <c r="L1" s="3210"/>
      <c r="M1" s="3210"/>
      <c r="N1" s="3210"/>
      <c r="O1" s="3210"/>
      <c r="P1" s="3210"/>
      <c r="Q1" s="3164"/>
      <c r="R1" s="3917" t="s">
        <v>456</v>
      </c>
      <c r="S1" s="3918"/>
      <c r="T1" s="3918"/>
      <c r="U1" s="3918"/>
      <c r="V1" s="3918"/>
      <c r="W1" s="3918"/>
      <c r="X1" s="3164"/>
      <c r="Y1" s="3917" t="s">
        <v>457</v>
      </c>
      <c r="Z1" s="3918"/>
      <c r="AA1" s="3918"/>
      <c r="AB1" s="3918"/>
      <c r="AC1" s="3918"/>
      <c r="AD1" s="391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917" t="s">
        <v>2830</v>
      </c>
      <c r="S23" s="3918"/>
      <c r="T23" s="3918"/>
      <c r="U23" s="3918"/>
      <c r="V23" s="3918"/>
      <c r="W23" s="3918"/>
      <c r="X23" s="3164"/>
      <c r="Y23" s="3917" t="s">
        <v>2831</v>
      </c>
      <c r="Z23" s="3918"/>
      <c r="AA23" s="3918"/>
      <c r="AB23" s="3918"/>
      <c r="AC23" s="3918"/>
      <c r="AD23" s="3918"/>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sqref="A1:XFD104857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24" t="s">
        <v>452</v>
      </c>
      <c r="C1" s="3924"/>
      <c r="D1" s="3924"/>
      <c r="E1" s="3924"/>
      <c r="F1" s="3924"/>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2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2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1" sqref="C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46810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45399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32041</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结果!E5</f>
        <v>46810</v>
      </c>
      <c r="C14" s="2517"/>
      <c r="D14" s="2517">
        <f ca="1">结果!G5</f>
        <v>32041</v>
      </c>
      <c r="E14" s="2517">
        <f ca="1">ROUND(D14*10000/B14,0)</f>
        <v>6845</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45399</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10" t="s">
        <v>949</v>
      </c>
      <c r="B1" s="3610"/>
      <c r="C1" s="3610"/>
      <c r="D1" s="3610"/>
    </row>
    <row r="2" spans="1:4" ht="18">
      <c r="A2" s="3611" t="s">
        <v>933</v>
      </c>
      <c r="B2" s="3611"/>
      <c r="C2" s="3611"/>
      <c r="D2" s="361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611" t="s">
        <v>939</v>
      </c>
      <c r="B6" s="3611"/>
      <c r="C6" s="3611"/>
      <c r="D6" s="361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612" t="s">
        <v>942</v>
      </c>
      <c r="B11" s="3604"/>
      <c r="C11" s="3604"/>
      <c r="D11" s="3604"/>
    </row>
    <row r="12" spans="1:4" ht="15.75">
      <c r="A12" s="36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9"/>
      <c r="C12" s="3609"/>
      <c r="D12" s="3609"/>
    </row>
    <row r="13" spans="1:4" ht="30" customHeight="1">
      <c r="A13" s="3604" t="str">
        <f>IF(项目基本情况!B8="抵押","3.抵押双方在办理抵押登记手续时，应使用本公司出具的正式《房地产评估报告》，特提醒报告使用者注意。","——")</f>
        <v>——</v>
      </c>
      <c r="B13" s="3609"/>
      <c r="C13" s="3609"/>
      <c r="D13" s="3609"/>
    </row>
    <row r="14" spans="1:4" ht="15.75" customHeight="1">
      <c r="A14" s="3604" t="str">
        <f>IF(项目基本情况!B8="抵押","4.本次评估估价师所知悉的法定优先受偿款情况说明如下：","——")</f>
        <v>——</v>
      </c>
      <c r="B14" s="3609"/>
      <c r="C14" s="3609"/>
      <c r="D14" s="3609"/>
    </row>
    <row r="15" spans="1:4" ht="42" customHeight="1">
      <c r="A15" s="3604" t="str">
        <f>IF(项目基本情况!B8="抵押","（1）"&amp;CONCATENATE(项目基本情况!L20,项目基本情况!L21,项目基本情况!L22),"——")</f>
        <v>——</v>
      </c>
      <c r="B15" s="3604"/>
      <c r="C15" s="3604"/>
      <c r="D15" s="3604"/>
    </row>
    <row r="16" spans="1:4" ht="30" customHeight="1">
      <c r="A16" s="3606" t="s">
        <v>943</v>
      </c>
      <c r="B16" s="3606"/>
      <c r="C16" s="3606"/>
      <c r="D16" s="3606"/>
    </row>
    <row r="17" spans="1:4" ht="144" customHeight="1">
      <c r="A17" s="3606" t="s">
        <v>944</v>
      </c>
      <c r="B17" s="3606"/>
      <c r="C17" s="3606"/>
      <c r="D17" s="3606"/>
    </row>
    <row r="18" spans="1:4" ht="15.75" customHeight="1">
      <c r="A18" s="3604" t="str">
        <f>IF(项目基本情况!B8="抵押",结果表!K120,"——")</f>
        <v>——</v>
      </c>
      <c r="B18" s="3604"/>
      <c r="C18" s="3604"/>
      <c r="D18" s="3604"/>
    </row>
    <row r="19" spans="1:4" ht="46.5" customHeight="1">
      <c r="A19" s="36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4"/>
      <c r="C19" s="3604"/>
      <c r="D19" s="3604"/>
    </row>
    <row r="20" spans="1:4" ht="57.75" customHeight="1">
      <c r="A20" s="36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4"/>
      <c r="C20" s="3604"/>
      <c r="D20" s="3604"/>
    </row>
    <row r="21" spans="1:4" ht="57.75" customHeight="1">
      <c r="A21" s="36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7"/>
      <c r="C21" s="3607"/>
      <c r="D21" s="3607"/>
    </row>
    <row r="22" spans="1:4" ht="18.75" customHeight="1">
      <c r="A22" s="3608" t="s">
        <v>945</v>
      </c>
      <c r="B22" s="3608"/>
      <c r="C22" s="3608"/>
      <c r="D22" s="36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05">
        <v>42551</v>
      </c>
      <c r="D31" s="36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18" t="s">
        <v>956</v>
      </c>
      <c r="B15" s="3613" t="s">
        <v>109</v>
      </c>
      <c r="C15" s="3614"/>
    </row>
    <row r="16" spans="1:7" ht="13.5">
      <c r="A16" s="3619"/>
      <c r="B16" s="3613" t="s">
        <v>42</v>
      </c>
      <c r="C16" s="3614"/>
    </row>
    <row r="17" spans="1:3" ht="13.5">
      <c r="A17" s="3619"/>
      <c r="B17" s="3616" t="s">
        <v>957</v>
      </c>
      <c r="C17" s="1531" t="s">
        <v>956</v>
      </c>
    </row>
    <row r="18" spans="1:3" ht="13.5">
      <c r="A18" s="3619"/>
      <c r="B18" s="3616"/>
      <c r="C18" s="1531" t="s">
        <v>958</v>
      </c>
    </row>
    <row r="19" spans="1:3" ht="13.5">
      <c r="A19" s="3619"/>
      <c r="B19" s="3616"/>
      <c r="C19" s="1531" t="s">
        <v>959</v>
      </c>
    </row>
    <row r="20" spans="1:3" ht="13.5">
      <c r="A20" s="3620"/>
      <c r="B20" s="3615" t="s">
        <v>960</v>
      </c>
      <c r="C20" s="3614"/>
    </row>
    <row r="21" spans="1:3" ht="13.5">
      <c r="A21" s="1532" t="s">
        <v>961</v>
      </c>
      <c r="B21" s="1533"/>
      <c r="C21" s="1534"/>
    </row>
    <row r="22" spans="1:3" ht="13.5">
      <c r="A22" s="3617" t="s">
        <v>962</v>
      </c>
      <c r="B22" s="3615" t="s">
        <v>963</v>
      </c>
      <c r="C22" s="3614"/>
    </row>
    <row r="23" spans="1:3" ht="13.5">
      <c r="A23" s="3617"/>
      <c r="B23" s="3615" t="s">
        <v>964</v>
      </c>
      <c r="C23" s="3614"/>
    </row>
    <row r="24" spans="1:3" ht="13.5">
      <c r="A24" s="3617"/>
      <c r="B24" s="3615" t="s">
        <v>965</v>
      </c>
      <c r="C24" s="3614"/>
    </row>
    <row r="25" spans="1:3" ht="13.5">
      <c r="A25" s="3617"/>
      <c r="B25" s="3616" t="s">
        <v>966</v>
      </c>
      <c r="C25" s="1531" t="s">
        <v>967</v>
      </c>
    </row>
    <row r="26" spans="1:3" ht="13.5">
      <c r="A26" s="3617"/>
      <c r="B26" s="3616"/>
      <c r="C26" s="1531" t="s">
        <v>968</v>
      </c>
    </row>
    <row r="27" spans="1:3" ht="13.5">
      <c r="A27" s="3617"/>
      <c r="B27" s="3616"/>
      <c r="C27" s="1531" t="s">
        <v>969</v>
      </c>
    </row>
    <row r="28" spans="1:3" ht="13.5">
      <c r="A28" s="3617"/>
      <c r="B28" s="3616"/>
      <c r="C28" s="1531" t="s">
        <v>970</v>
      </c>
    </row>
    <row r="29" spans="1:3" ht="13.5">
      <c r="A29" s="3617"/>
      <c r="B29" s="3616"/>
      <c r="C29" s="1531" t="s">
        <v>971</v>
      </c>
    </row>
    <row r="30" spans="1:3" ht="13.5">
      <c r="A30" s="3617"/>
      <c r="B30" s="3616"/>
      <c r="C30" s="1531" t="s">
        <v>972</v>
      </c>
    </row>
    <row r="31" spans="1:3" ht="13.5">
      <c r="A31" s="3617"/>
      <c r="B31" s="3616"/>
      <c r="C31" s="1531" t="s">
        <v>973</v>
      </c>
    </row>
    <row r="32" spans="1:3" ht="13.5">
      <c r="A32" s="3617"/>
      <c r="B32" s="3616"/>
      <c r="C32" s="1531" t="s">
        <v>974</v>
      </c>
    </row>
    <row r="33" spans="1:3" ht="13.5">
      <c r="A33" s="3617"/>
      <c r="B33" s="36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45448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21" t="s">
        <v>2160</v>
      </c>
      <c r="B17" s="3621"/>
      <c r="C17" s="3621"/>
      <c r="D17" s="3621"/>
      <c r="E17" s="3621"/>
      <c r="F17" s="3621"/>
      <c r="G17" s="3621"/>
      <c r="H17" s="3621"/>
    </row>
    <row r="18" spans="1:8" ht="24" customHeight="1">
      <c r="A18" s="3622" t="s">
        <v>2161</v>
      </c>
      <c r="B18" s="3622"/>
      <c r="C18" s="3622"/>
      <c r="D18" s="2342"/>
      <c r="E18" s="3623" t="s">
        <v>2162</v>
      </c>
      <c r="F18" s="3622"/>
      <c r="G18" s="362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土地级别</vt:lpstr>
      <vt:lpstr>资料</vt:lpstr>
      <vt:lpstr>定义</vt:lpstr>
      <vt:lpstr>常用公式</vt:lpstr>
      <vt:lpstr>项目基本情况</vt:lpstr>
      <vt:lpstr>数据-基础表</vt:lpstr>
      <vt:lpstr>面积整理</vt:lpstr>
      <vt:lpstr>数据-汇总表</vt:lpstr>
      <vt:lpstr>数据-取费表</vt:lpstr>
      <vt:lpstr>估价对象房地状况</vt:lpstr>
      <vt:lpstr>结果</vt:lpstr>
      <vt:lpstr>结果表</vt:lpstr>
      <vt:lpstr>比较法-住宅</vt:lpstr>
      <vt:lpstr>指数</vt:lpstr>
      <vt:lpstr>成交案例</vt:lpstr>
      <vt:lpstr>成本法</vt:lpstr>
      <vt:lpstr>成本法 (元)</vt:lpstr>
      <vt:lpstr>假设开发法</vt:lpstr>
      <vt:lpstr>基准地价修正</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成本逼近法</vt:lpstr>
      <vt:lpstr>土地比较法-住宅、综合</vt:lpstr>
      <vt:lpstr>土地比较法-工业</vt:lpstr>
      <vt:lpstr>典型户型修正</vt:lpstr>
      <vt:lpstr>基准地价（汇总）</vt:lpstr>
      <vt:lpstr>一级开发成本案例</vt:lpstr>
      <vt:lpstr>修正</vt:lpstr>
      <vt:lpstr>容积率修正</vt:lpstr>
      <vt:lpstr>成本法（废）</vt:lpstr>
      <vt:lpstr>区片价</vt:lpstr>
      <vt:lpstr>因素修正幅度</vt:lpstr>
      <vt:lpstr>区片价（范围）</vt:lpstr>
      <vt:lpstr>地价-分区</vt:lpstr>
      <vt:lpstr>地价</vt:lpstr>
      <vt:lpstr>系统读取表</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2024-06-04T01:51:13Z</cp:lastPrinted>
  <dcterms:created xsi:type="dcterms:W3CDTF">2015-07-13T07:17:23Z</dcterms:created>
  <dcterms:modified xsi:type="dcterms:W3CDTF">2024-06-05T05:56:17Z</dcterms:modified>
</cp:coreProperties>
</file>