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400" windowHeight="13995"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state="hidden" r:id="rId19"/>
    <sheet name="结果表" sheetId="9" r:id="rId20"/>
    <sheet name="成本法" sheetId="68" r:id="rId21"/>
    <sheet name="成本法 (元)" sheetId="69" state="hidden" r:id="rId22"/>
    <sheet name="假设开发法" sheetId="12" r:id="rId23"/>
    <sheet name="土地比较法-工业" sheetId="40" r:id="rId24"/>
    <sheet name="土地案例" sheetId="81" state="hidden"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47" i="77" l="1"/>
  <c r="N6" i="1" s="1"/>
  <c r="G21" i="6" l="1"/>
  <c r="G20" i="6"/>
  <c r="F19" i="6"/>
  <c r="AY3" i="3"/>
  <c r="G2" i="82" l="1"/>
  <c r="B2" i="82"/>
  <c r="C2" i="82"/>
  <c r="D2" i="82"/>
  <c r="E2" i="82"/>
  <c r="F2" i="82"/>
  <c r="B12" i="82"/>
  <c r="B14" i="82"/>
  <c r="B15" i="82"/>
  <c r="B16" i="82"/>
  <c r="B13" i="82"/>
  <c r="B38" i="82" s="1"/>
  <c r="B37" i="82"/>
  <c r="B36" i="82"/>
  <c r="I34" i="40"/>
  <c r="G34" i="40"/>
  <c r="E34" i="40"/>
  <c r="I41" i="40"/>
  <c r="G41" i="40"/>
  <c r="E41" i="40"/>
  <c r="C11" i="40"/>
  <c r="P66" i="40"/>
  <c r="Q66" i="40" s="1"/>
  <c r="Q65" i="40"/>
  <c r="P65" i="40"/>
  <c r="I7" i="40"/>
  <c r="G7" i="40"/>
  <c r="E7" i="40"/>
  <c r="I6" i="40"/>
  <c r="G6" i="40"/>
  <c r="E6" i="40"/>
  <c r="I5" i="40"/>
  <c r="E5" i="40"/>
  <c r="G5" i="40"/>
  <c r="C34" i="40"/>
  <c r="D66" i="40"/>
  <c r="E66" i="40" s="1"/>
  <c r="F66" i="40" s="1"/>
  <c r="G66" i="40" s="1"/>
  <c r="H66" i="40" s="1"/>
  <c r="I66" i="40" s="1"/>
  <c r="J66" i="40" s="1"/>
  <c r="K66" i="40" s="1"/>
  <c r="L66" i="40" s="1"/>
  <c r="M66" i="40" s="1"/>
  <c r="N66" i="40" s="1"/>
  <c r="O66" i="40" s="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N14" i="1"/>
  <c r="N8" i="1"/>
  <c r="N7" i="1"/>
  <c r="L14" i="1"/>
  <c r="L8" i="1"/>
  <c r="L7" i="1"/>
  <c r="I8" i="1"/>
  <c r="I7" i="1"/>
  <c r="AL54" i="3"/>
  <c r="AL62" i="3"/>
  <c r="AN71" i="3"/>
  <c r="M70" i="3"/>
  <c r="C76" i="79"/>
  <c r="F6" i="80"/>
  <c r="D24" i="80" l="1"/>
  <c r="P61" i="80"/>
  <c r="D22" i="80"/>
  <c r="Q71" i="79"/>
  <c r="D24" i="79"/>
  <c r="P61" i="79"/>
  <c r="D22" i="79"/>
  <c r="F8" i="80"/>
  <c r="M24" i="79"/>
  <c r="M26" i="79"/>
  <c r="J15" i="79"/>
  <c r="M27" i="79"/>
  <c r="F38" i="79"/>
  <c r="M22" i="79"/>
  <c r="F13" i="79"/>
  <c r="F6" i="79"/>
  <c r="F37" i="79"/>
  <c r="F9" i="79"/>
  <c r="F16" i="80"/>
  <c r="F26" i="80"/>
  <c r="L47" i="80"/>
  <c r="M23" i="79"/>
  <c r="L47" i="79"/>
  <c r="F36" i="80"/>
  <c r="F42" i="80"/>
  <c r="M8" i="80"/>
  <c r="M23" i="80"/>
  <c r="M27" i="80"/>
  <c r="F40" i="79"/>
  <c r="F26" i="79"/>
  <c r="M28" i="79"/>
  <c r="F9" i="80"/>
  <c r="C76" i="80"/>
  <c r="M24" i="80"/>
  <c r="F13" i="80"/>
  <c r="M6" i="80"/>
  <c r="M8" i="79"/>
  <c r="F8" i="79"/>
  <c r="M28" i="80"/>
  <c r="F40" i="80"/>
  <c r="M9" i="79"/>
  <c r="M26" i="80"/>
  <c r="M6" i="79"/>
  <c r="F42" i="79"/>
  <c r="J15" i="80"/>
  <c r="F38" i="80"/>
  <c r="F36" i="79"/>
  <c r="M9" i="80"/>
  <c r="F37" i="80"/>
  <c r="F16" i="79"/>
  <c r="M22" i="80"/>
  <c r="C27" i="80" l="1"/>
  <c r="F65" i="80"/>
  <c r="F51" i="80"/>
  <c r="F68" i="80"/>
  <c r="F64" i="80"/>
  <c r="F66" i="80"/>
  <c r="Q71" i="80"/>
  <c r="F65" i="79"/>
  <c r="C27" i="79"/>
  <c r="F68" i="79"/>
  <c r="F51" i="79"/>
  <c r="F66" i="79"/>
  <c r="F64" i="79"/>
  <c r="C106" i="78" l="1"/>
  <c r="B106" i="78"/>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H66" i="43"/>
  <c r="H65" i="43"/>
  <c r="H64" i="43"/>
  <c r="H63" i="43"/>
  <c r="H55" i="43"/>
  <c r="H56" i="43"/>
  <c r="H72" i="43"/>
  <c r="L20" i="6"/>
  <c r="E56" i="39"/>
  <c r="E51" i="40"/>
  <c r="B6" i="1"/>
  <c r="E6" i="1" s="1"/>
  <c r="K11" i="1"/>
  <c r="M11" i="1" s="1"/>
  <c r="O11" i="1" s="1"/>
  <c r="AP6" i="1"/>
  <c r="B9" i="1"/>
  <c r="E9" i="1"/>
  <c r="K7" i="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D68" i="39"/>
  <c r="D70" i="39"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C20" i="43"/>
  <c r="I59" i="34"/>
  <c r="J59" i="34" s="1"/>
  <c r="D9" i="71"/>
  <c r="T11" i="71"/>
  <c r="D10" i="71"/>
  <c r="D11" i="71"/>
  <c r="U11" i="71"/>
  <c r="L48" i="80"/>
  <c r="E7" i="76"/>
  <c r="D3" i="73"/>
  <c r="M29" i="67"/>
  <c r="AO11" i="1"/>
  <c r="D6" i="73"/>
  <c r="M27" i="15"/>
  <c r="M22" i="15"/>
  <c r="F43" i="80"/>
  <c r="F13" i="15"/>
  <c r="M26" i="67"/>
  <c r="M27" i="67"/>
  <c r="F7" i="67"/>
  <c r="E9" i="76"/>
  <c r="B7" i="76"/>
  <c r="F7" i="79"/>
  <c r="M28" i="67"/>
  <c r="F26" i="15"/>
  <c r="F4" i="73"/>
  <c r="F6" i="67"/>
  <c r="E11" i="76"/>
  <c r="F38" i="67"/>
  <c r="J15" i="67"/>
  <c r="E10" i="76"/>
  <c r="M9" i="67"/>
  <c r="F37" i="67"/>
  <c r="F43" i="67"/>
  <c r="D2" i="33"/>
  <c r="F41" i="67"/>
  <c r="M24" i="67"/>
  <c r="AO9" i="1"/>
  <c r="D7" i="73"/>
  <c r="F16" i="67"/>
  <c r="F5" i="73"/>
  <c r="F8" i="15"/>
  <c r="E13" i="76"/>
  <c r="F6" i="15"/>
  <c r="D4" i="73"/>
  <c r="L47" i="15"/>
  <c r="C76" i="67"/>
  <c r="M8" i="15"/>
  <c r="D2" i="34"/>
  <c r="B13" i="76"/>
  <c r="D5" i="73"/>
  <c r="E2" i="68"/>
  <c r="F42" i="15"/>
  <c r="F7" i="80"/>
  <c r="M6" i="15"/>
  <c r="F40" i="67"/>
  <c r="M22" i="67"/>
  <c r="D2" i="37"/>
  <c r="L48" i="79"/>
  <c r="B8" i="76"/>
  <c r="M29" i="15"/>
  <c r="F26" i="67"/>
  <c r="F9" i="15"/>
  <c r="B11" i="76"/>
  <c r="F43" i="15"/>
  <c r="M29" i="79"/>
  <c r="M26" i="15"/>
  <c r="AO12" i="1"/>
  <c r="L47" i="67"/>
  <c r="AO10" i="1"/>
  <c r="F36" i="67"/>
  <c r="M6" i="67"/>
  <c r="M8" i="67"/>
  <c r="M23" i="67"/>
  <c r="F9" i="67"/>
  <c r="J15" i="15"/>
  <c r="B9" i="76"/>
  <c r="F3" i="73"/>
  <c r="F38" i="15"/>
  <c r="F35" i="67"/>
  <c r="F36" i="15"/>
  <c r="E8" i="76"/>
  <c r="L48" i="15"/>
  <c r="F20" i="31"/>
  <c r="AO13" i="1"/>
  <c r="B12" i="76"/>
  <c r="M24" i="15"/>
  <c r="F13" i="67"/>
  <c r="D2" i="36"/>
  <c r="E12" i="76"/>
  <c r="F43" i="79"/>
  <c r="D2" i="21"/>
  <c r="F16" i="15"/>
  <c r="L48" i="67"/>
  <c r="D2" i="35"/>
  <c r="F7" i="15"/>
  <c r="F8" i="67"/>
  <c r="F42" i="67"/>
  <c r="M9" i="15"/>
  <c r="F7" i="73"/>
  <c r="M28" i="15"/>
  <c r="F40" i="15"/>
  <c r="F6" i="73"/>
  <c r="E2" i="69"/>
  <c r="F37" i="15"/>
  <c r="M29" i="80"/>
  <c r="C76" i="15"/>
  <c r="M23" i="15"/>
  <c r="B10" i="76"/>
  <c r="M21" i="67"/>
  <c r="L58" i="80" l="1"/>
  <c r="L58" i="79"/>
  <c r="G8" i="1"/>
  <c r="E68" i="39"/>
  <c r="C13" i="12"/>
  <c r="C28" i="79"/>
  <c r="C28" i="80"/>
  <c r="C77" i="9"/>
  <c r="C74" i="9" s="1"/>
  <c r="G7" i="1"/>
  <c r="G16" i="1" s="1"/>
  <c r="F10" i="40" s="1"/>
  <c r="J51" i="79"/>
  <c r="J51" i="80"/>
  <c r="L57" i="80" s="1"/>
  <c r="J51" i="15"/>
  <c r="AZ14" i="3"/>
  <c r="BL15" i="3"/>
  <c r="AZ15" i="3" s="1"/>
  <c r="BL22" i="3"/>
  <c r="BL25" i="3"/>
  <c r="AZ25" i="3" s="1"/>
  <c r="BL26" i="3"/>
  <c r="BA28" i="3"/>
  <c r="AZ28" i="3" s="1"/>
  <c r="BA29" i="3"/>
  <c r="AZ29" i="3" s="1"/>
  <c r="BL30" i="3"/>
  <c r="AZ30" i="3" s="1"/>
  <c r="BA32" i="3"/>
  <c r="F71" i="79"/>
  <c r="M7" i="79"/>
  <c r="J6" i="79" s="1"/>
  <c r="J18" i="79" s="1"/>
  <c r="C6" i="79"/>
  <c r="F50" i="79"/>
  <c r="C49" i="79" s="1"/>
  <c r="F50" i="80"/>
  <c r="C49" i="80" s="1"/>
  <c r="M7" i="80"/>
  <c r="J6" i="80" s="1"/>
  <c r="J18" i="80" s="1"/>
  <c r="C6" i="80"/>
  <c r="F71" i="80"/>
  <c r="M7" i="1"/>
  <c r="M8" i="1"/>
  <c r="BL54" i="3"/>
  <c r="BA34" i="3"/>
  <c r="AZ34" i="3" s="1"/>
  <c r="BA45" i="3"/>
  <c r="BL45" i="3"/>
  <c r="BL48" i="3"/>
  <c r="BL52" i="3"/>
  <c r="AZ52" i="3" s="1"/>
  <c r="BA58" i="3"/>
  <c r="AZ58" i="3" s="1"/>
  <c r="BA59" i="3"/>
  <c r="AZ59" i="3" s="1"/>
  <c r="BL61" i="3"/>
  <c r="BA62" i="3"/>
  <c r="BL62" i="3"/>
  <c r="BL64" i="3"/>
  <c r="AZ64" i="3" s="1"/>
  <c r="BL68" i="3"/>
  <c r="AZ68" i="3" s="1"/>
  <c r="BA70" i="3"/>
  <c r="AZ70" i="3" s="1"/>
  <c r="F92" i="40"/>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AZ33" i="3" s="1"/>
  <c r="BL32" i="3"/>
  <c r="G32" i="3"/>
  <c r="AZ32" i="3"/>
  <c r="AZ26" i="3"/>
  <c r="G5" i="3"/>
  <c r="B3" i="3" s="1"/>
  <c r="AT6" i="3" s="1"/>
  <c r="AZ31" i="3"/>
  <c r="E12" i="6"/>
  <c r="E62" i="39" s="1"/>
  <c r="E13" i="6"/>
  <c r="E15" i="6"/>
  <c r="E60" i="40" s="1"/>
  <c r="E59" i="40"/>
  <c r="C36" i="69"/>
  <c r="D9" i="68"/>
  <c r="C9" i="68" s="1"/>
  <c r="D9" i="69"/>
  <c r="C9" i="69" s="1"/>
  <c r="E56" i="40"/>
  <c r="AZ48" i="3"/>
  <c r="AZ18" i="3"/>
  <c r="AZ22" i="3"/>
  <c r="O7" i="1"/>
  <c r="P7" i="1" s="1"/>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6" i="80"/>
  <c r="C16" i="15"/>
  <c r="C17" i="67"/>
  <c r="C16" i="79"/>
  <c r="G1" i="73"/>
  <c r="C14" i="67"/>
  <c r="C16" i="67"/>
  <c r="F7" i="37" l="1"/>
  <c r="N59" i="79"/>
  <c r="I54" i="79"/>
  <c r="J57" i="79"/>
  <c r="J55" i="79" s="1"/>
  <c r="J58" i="79" s="1"/>
  <c r="Q50" i="79" s="1"/>
  <c r="E70" i="39"/>
  <c r="F68" i="39"/>
  <c r="L57" i="79"/>
  <c r="L56" i="79"/>
  <c r="Q73" i="80"/>
  <c r="Q60" i="80"/>
  <c r="I54" i="80"/>
  <c r="N59" i="80"/>
  <c r="J57" i="80"/>
  <c r="J55" i="80" s="1"/>
  <c r="J58" i="80" s="1"/>
  <c r="Q50" i="80" s="1"/>
  <c r="L60" i="79"/>
  <c r="Q73" i="79"/>
  <c r="Q60" i="79"/>
  <c r="L60" i="80"/>
  <c r="L56" i="80"/>
  <c r="BA5" i="3"/>
  <c r="E27" i="6" s="1"/>
  <c r="BL5" i="3"/>
  <c r="C32" i="80"/>
  <c r="C33" i="80"/>
  <c r="C33" i="79"/>
  <c r="C32" i="79"/>
  <c r="T11" i="43"/>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AA10" i="39" s="1"/>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G37" i="43"/>
  <c r="I37" i="43" s="1"/>
  <c r="AC10" i="39"/>
  <c r="U10" i="40"/>
  <c r="S10" i="39"/>
  <c r="E58" i="21"/>
  <c r="F58" i="21" s="1"/>
  <c r="G58" i="21" s="1"/>
  <c r="H58" i="21" s="1"/>
  <c r="I58" i="21" s="1"/>
  <c r="J58" i="21" s="1"/>
  <c r="K58" i="21" s="1"/>
  <c r="L58" i="21" s="1"/>
  <c r="M58" i="21" s="1"/>
  <c r="N58" i="21" s="1"/>
  <c r="O58" i="21" s="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C17" i="15"/>
  <c r="J7" i="21" l="1"/>
  <c r="Q57" i="79"/>
  <c r="Q66" i="79"/>
  <c r="G68" i="39"/>
  <c r="F70" i="39"/>
  <c r="Q57" i="80"/>
  <c r="Q66" i="80"/>
  <c r="E6" i="70"/>
  <c r="F24" i="79"/>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7" i="79"/>
  <c r="C17" i="80"/>
  <c r="G70" i="39" l="1"/>
  <c r="H68" i="39"/>
  <c r="C18" i="15"/>
  <c r="C15" i="15"/>
  <c r="E7" i="70"/>
  <c r="E2" i="70" s="1"/>
  <c r="S16" i="1"/>
  <c r="E8" i="70"/>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B6" i="76"/>
  <c r="C14" i="80"/>
  <c r="E6" i="76"/>
  <c r="C14" i="79"/>
  <c r="I68" i="39" l="1"/>
  <c r="H70" i="39"/>
  <c r="C19" i="15"/>
  <c r="C20" i="15" s="1"/>
  <c r="C15" i="79"/>
  <c r="C18" i="79"/>
  <c r="C15" i="80"/>
  <c r="C18" i="80"/>
  <c r="J59" i="79"/>
  <c r="J60" i="79" s="1"/>
  <c r="D19" i="69"/>
  <c r="D37" i="69" s="1"/>
  <c r="C37" i="69" s="1"/>
  <c r="C33" i="69" s="1"/>
  <c r="P14" i="1"/>
  <c r="P16" i="1" s="1"/>
  <c r="C11" i="12" s="1"/>
  <c r="C15" i="12"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C48" i="21"/>
  <c r="C49" i="21"/>
  <c r="B2" i="21" s="1"/>
  <c r="B3" i="21" s="1"/>
  <c r="B2" i="76"/>
  <c r="B3" i="43"/>
  <c r="C33" i="15"/>
  <c r="J59" i="15"/>
  <c r="C36" i="67"/>
  <c r="C33" i="67"/>
  <c r="C31" i="67" s="1"/>
  <c r="J14" i="67"/>
  <c r="C13" i="67"/>
  <c r="J19" i="67"/>
  <c r="J17" i="67" s="1"/>
  <c r="C57" i="67"/>
  <c r="Q49" i="67"/>
  <c r="J59" i="67"/>
  <c r="J68" i="39" l="1"/>
  <c r="I70" i="39"/>
  <c r="C19" i="69"/>
  <c r="C24" i="69" s="1"/>
  <c r="C19" i="80"/>
  <c r="C20" i="80" s="1"/>
  <c r="C26" i="80" s="1"/>
  <c r="C19" i="79"/>
  <c r="C20" i="79" s="1"/>
  <c r="C26" i="79" s="1"/>
  <c r="C26" i="15"/>
  <c r="C23" i="15"/>
  <c r="J59" i="80"/>
  <c r="J60" i="80" s="1"/>
  <c r="Q48" i="79"/>
  <c r="L46" i="79"/>
  <c r="B24" i="1"/>
  <c r="B23" i="1"/>
  <c r="C29" i="11"/>
  <c r="D27" i="11" s="1"/>
  <c r="C29" i="68"/>
  <c r="D27" i="68" s="1"/>
  <c r="C28" i="11"/>
  <c r="C27" i="11" s="1"/>
  <c r="C44" i="11"/>
  <c r="D41" i="11" s="1"/>
  <c r="C24" i="11"/>
  <c r="C44" i="68"/>
  <c r="D41" i="68" s="1"/>
  <c r="C20" i="69"/>
  <c r="C25" i="69" s="1"/>
  <c r="C22" i="69" s="1"/>
  <c r="C12" i="12"/>
  <c r="B3" i="76"/>
  <c r="C39" i="69"/>
  <c r="C43" i="69" s="1"/>
  <c r="C42" i="69"/>
  <c r="R19" i="6"/>
  <c r="H27" i="6"/>
  <c r="C24" i="68"/>
  <c r="H65" i="40"/>
  <c r="I63" i="40"/>
  <c r="J13" i="67"/>
  <c r="J23" i="67" s="1"/>
  <c r="J22" i="67"/>
  <c r="C61" i="67"/>
  <c r="C59" i="67" s="1"/>
  <c r="C64" i="67"/>
  <c r="C56" i="67"/>
  <c r="C65" i="67" s="1"/>
  <c r="C75" i="67"/>
  <c r="Q70" i="67"/>
  <c r="C37" i="67"/>
  <c r="C30" i="67" s="1"/>
  <c r="C39" i="67" s="1"/>
  <c r="L51" i="67"/>
  <c r="K68" i="39" l="1"/>
  <c r="J70" i="39"/>
  <c r="F50" i="11"/>
  <c r="J53" i="80"/>
  <c r="J53" i="79"/>
  <c r="F50" i="68"/>
  <c r="C29" i="15"/>
  <c r="J14" i="15" s="1"/>
  <c r="F50" i="69"/>
  <c r="C23" i="80"/>
  <c r="C29" i="80" s="1"/>
  <c r="C57" i="80" s="1"/>
  <c r="M59" i="80"/>
  <c r="L59" i="80" s="1"/>
  <c r="M59" i="79"/>
  <c r="L59" i="79" s="1"/>
  <c r="C23" i="79"/>
  <c r="C29" i="79" s="1"/>
  <c r="Q48" i="80"/>
  <c r="L46" i="80"/>
  <c r="C28" i="69"/>
  <c r="C27" i="69" s="1"/>
  <c r="C31" i="69" s="1"/>
  <c r="F34" i="11"/>
  <c r="F34" i="68"/>
  <c r="F11" i="12"/>
  <c r="J53" i="15"/>
  <c r="J53" i="67"/>
  <c r="M59" i="15"/>
  <c r="L59" i="15" s="1"/>
  <c r="M59" i="67"/>
  <c r="C29" i="12"/>
  <c r="D28" i="12" s="1"/>
  <c r="C26" i="12"/>
  <c r="D25" i="12" s="1"/>
  <c r="C25" i="11"/>
  <c r="C26" i="11"/>
  <c r="D22" i="11" s="1"/>
  <c r="C26" i="68"/>
  <c r="D22" i="68" s="1"/>
  <c r="C23" i="11"/>
  <c r="C41" i="69"/>
  <c r="R27" i="6"/>
  <c r="R6" i="1"/>
  <c r="C46" i="69"/>
  <c r="C45" i="69" s="1"/>
  <c r="I65" i="40"/>
  <c r="J63" i="40"/>
  <c r="J16" i="67"/>
  <c r="J25" i="67" s="1"/>
  <c r="C80" i="67"/>
  <c r="C79" i="67" s="1"/>
  <c r="C58" i="67"/>
  <c r="C67" i="67" s="1"/>
  <c r="C68" i="67" s="1"/>
  <c r="Q69" i="67"/>
  <c r="Q68" i="67" s="1"/>
  <c r="C40" i="67"/>
  <c r="F35" i="15"/>
  <c r="M21" i="15"/>
  <c r="F35" i="79"/>
  <c r="M21" i="79"/>
  <c r="F35" i="80"/>
  <c r="M21" i="80"/>
  <c r="L68" i="39" l="1"/>
  <c r="K70" i="39"/>
  <c r="Q52" i="80"/>
  <c r="F1" i="80"/>
  <c r="Q52" i="79"/>
  <c r="F1" i="79"/>
  <c r="Q74" i="79"/>
  <c r="Q61" i="79"/>
  <c r="Q74" i="80"/>
  <c r="Q61" i="80"/>
  <c r="Q61" i="15"/>
  <c r="Q74" i="15"/>
  <c r="J19" i="15"/>
  <c r="Q49" i="15"/>
  <c r="C36" i="15"/>
  <c r="C57" i="15"/>
  <c r="C64" i="15" s="1"/>
  <c r="C13" i="15"/>
  <c r="Q70" i="15" s="1"/>
  <c r="C61" i="15"/>
  <c r="J13" i="15"/>
  <c r="J23" i="15" s="1"/>
  <c r="J22" i="15"/>
  <c r="C36" i="80"/>
  <c r="Q49" i="80"/>
  <c r="J19" i="80"/>
  <c r="C64" i="80"/>
  <c r="C61" i="80"/>
  <c r="J14" i="80"/>
  <c r="C13" i="80"/>
  <c r="C36" i="79"/>
  <c r="J14" i="79"/>
  <c r="Q49" i="79"/>
  <c r="C57" i="79"/>
  <c r="J19" i="79"/>
  <c r="C13" i="79"/>
  <c r="F63" i="80"/>
  <c r="C62" i="80" s="1"/>
  <c r="C34" i="80"/>
  <c r="C31" i="80" s="1"/>
  <c r="J20" i="80"/>
  <c r="J20" i="79"/>
  <c r="F63" i="79"/>
  <c r="C62" i="79" s="1"/>
  <c r="C34" i="79"/>
  <c r="C31" i="79" s="1"/>
  <c r="C49" i="69"/>
  <c r="C51" i="69" s="1"/>
  <c r="C22" i="11"/>
  <c r="C31" i="11" s="1"/>
  <c r="C34" i="15"/>
  <c r="C31" i="15" s="1"/>
  <c r="F63" i="15"/>
  <c r="C62" i="15" s="1"/>
  <c r="J20" i="15"/>
  <c r="R16" i="1"/>
  <c r="C52" i="69"/>
  <c r="B2" i="69" s="1"/>
  <c r="B3" i="69" s="1"/>
  <c r="L56" i="15"/>
  <c r="Q52" i="15"/>
  <c r="F1" i="15"/>
  <c r="J60" i="15"/>
  <c r="C36" i="68"/>
  <c r="C34" i="68"/>
  <c r="C37" i="68"/>
  <c r="F1" i="67"/>
  <c r="Q52" i="67"/>
  <c r="J60" i="67"/>
  <c r="C14" i="12"/>
  <c r="C16" i="12" s="1"/>
  <c r="C36" i="11"/>
  <c r="C37" i="11"/>
  <c r="C34" i="11"/>
  <c r="K63" i="40"/>
  <c r="J65" i="40"/>
  <c r="Q67" i="67"/>
  <c r="L57" i="67"/>
  <c r="L60" i="67" s="1"/>
  <c r="C45" i="67"/>
  <c r="C46" i="67" s="1"/>
  <c r="C71" i="67"/>
  <c r="C43" i="67"/>
  <c r="Q47" i="67"/>
  <c r="Q56" i="67"/>
  <c r="Q65" i="67"/>
  <c r="C83" i="67"/>
  <c r="C82" i="67" s="1"/>
  <c r="AE6" i="1"/>
  <c r="AE8" i="1"/>
  <c r="AE7" i="1"/>
  <c r="M68" i="39" l="1"/>
  <c r="L70" i="39"/>
  <c r="C59" i="15"/>
  <c r="J17" i="15"/>
  <c r="J16" i="15" s="1"/>
  <c r="J25" i="15" s="1"/>
  <c r="J17" i="80"/>
  <c r="C37" i="15"/>
  <c r="C30" i="15" s="1"/>
  <c r="C39" i="15" s="1"/>
  <c r="C75" i="15"/>
  <c r="C56" i="15"/>
  <c r="C65" i="15" s="1"/>
  <c r="C57" i="69"/>
  <c r="C56" i="69" s="1"/>
  <c r="C59" i="80"/>
  <c r="J17" i="79"/>
  <c r="C75" i="80"/>
  <c r="Q70" i="80"/>
  <c r="C56" i="80"/>
  <c r="C65" i="80" s="1"/>
  <c r="C37" i="80"/>
  <c r="C30" i="80" s="1"/>
  <c r="C39" i="80" s="1"/>
  <c r="Q69" i="80" s="1"/>
  <c r="Q68" i="80" s="1"/>
  <c r="J13" i="80"/>
  <c r="J23" i="80" s="1"/>
  <c r="J22" i="80"/>
  <c r="Q70" i="79"/>
  <c r="C56" i="79"/>
  <c r="C65" i="79" s="1"/>
  <c r="C75" i="79"/>
  <c r="C37" i="79"/>
  <c r="C30" i="79" s="1"/>
  <c r="C39" i="79" s="1"/>
  <c r="C61" i="79"/>
  <c r="C59" i="79" s="1"/>
  <c r="C64" i="79"/>
  <c r="J22" i="79"/>
  <c r="J13" i="79"/>
  <c r="J23" i="79" s="1"/>
  <c r="L57" i="15"/>
  <c r="L60" i="15" s="1"/>
  <c r="L46" i="15" s="1"/>
  <c r="C35" i="11"/>
  <c r="C38" i="11"/>
  <c r="C35" i="68"/>
  <c r="C38" i="68"/>
  <c r="Q48" i="15"/>
  <c r="L46" i="67"/>
  <c r="D2" i="67" s="1"/>
  <c r="B2" i="67" s="1"/>
  <c r="Q48" i="67"/>
  <c r="Q53" i="67" s="1"/>
  <c r="L63" i="40"/>
  <c r="K65" i="40"/>
  <c r="Q66" i="67"/>
  <c r="Q75" i="67" s="1"/>
  <c r="Q57" i="67"/>
  <c r="Q62" i="67" s="1"/>
  <c r="F41" i="80"/>
  <c r="L51" i="15"/>
  <c r="F41" i="15"/>
  <c r="L51" i="79"/>
  <c r="L51" i="80"/>
  <c r="F41" i="79"/>
  <c r="M70" i="39" l="1"/>
  <c r="N68" i="39"/>
  <c r="F69" i="79"/>
  <c r="J29" i="79"/>
  <c r="F69" i="15"/>
  <c r="J29" i="15"/>
  <c r="C58" i="15"/>
  <c r="C67" i="15" s="1"/>
  <c r="C68" i="15" s="1"/>
  <c r="C71" i="15" s="1"/>
  <c r="Q67" i="15"/>
  <c r="Q69" i="15"/>
  <c r="Q68" i="15" s="1"/>
  <c r="C40" i="15"/>
  <c r="Q47" i="15" s="1"/>
  <c r="Q53" i="15" s="1"/>
  <c r="C80" i="15"/>
  <c r="C79" i="15" s="1"/>
  <c r="C58" i="80"/>
  <c r="C67" i="80" s="1"/>
  <c r="J16" i="80"/>
  <c r="J25" i="80" s="1"/>
  <c r="C80" i="80"/>
  <c r="C79" i="80" s="1"/>
  <c r="C40" i="79"/>
  <c r="Q47" i="79" s="1"/>
  <c r="Q53" i="79" s="1"/>
  <c r="Q69" i="79"/>
  <c r="Q68" i="79" s="1"/>
  <c r="C80" i="79"/>
  <c r="C79" i="79" s="1"/>
  <c r="J16" i="79"/>
  <c r="J25" i="79" s="1"/>
  <c r="C58" i="79"/>
  <c r="C67" i="79" s="1"/>
  <c r="C68" i="79" s="1"/>
  <c r="C71" i="79" s="1"/>
  <c r="J29" i="80"/>
  <c r="F69" i="80"/>
  <c r="C40" i="80"/>
  <c r="Q47" i="80" s="1"/>
  <c r="Q53" i="80" s="1"/>
  <c r="Q57" i="15"/>
  <c r="Q67" i="80"/>
  <c r="Q67" i="79"/>
  <c r="Q66" i="15"/>
  <c r="C33" i="68"/>
  <c r="C42" i="68" s="1"/>
  <c r="C33" i="11"/>
  <c r="C42" i="11" s="1"/>
  <c r="B3" i="67"/>
  <c r="D19" i="53"/>
  <c r="D126" i="9"/>
  <c r="M63" i="40"/>
  <c r="L65" i="40"/>
  <c r="O68" i="39" l="1"/>
  <c r="O70" i="39" s="1"/>
  <c r="N70" i="39"/>
  <c r="F7" i="39" s="1"/>
  <c r="J7" i="39"/>
  <c r="H7" i="39"/>
  <c r="C83" i="15"/>
  <c r="C82" i="15" s="1"/>
  <c r="C39" i="68"/>
  <c r="C43" i="68" s="1"/>
  <c r="C41" i="68" s="1"/>
  <c r="C39" i="11"/>
  <c r="C43" i="11" s="1"/>
  <c r="C41" i="11" s="1"/>
  <c r="Q65" i="15"/>
  <c r="Q75" i="15" s="1"/>
  <c r="B2" i="15"/>
  <c r="B3" i="15" s="1"/>
  <c r="C6" i="12" s="1"/>
  <c r="C46" i="15"/>
  <c r="Q56" i="15"/>
  <c r="Q62" i="15" s="1"/>
  <c r="B2" i="79"/>
  <c r="B3" i="79" s="1"/>
  <c r="D6" i="12" s="1"/>
  <c r="Q56" i="80"/>
  <c r="Q62" i="80" s="1"/>
  <c r="C68" i="80"/>
  <c r="C71" i="80" s="1"/>
  <c r="C43" i="15"/>
  <c r="C83" i="79"/>
  <c r="C82" i="79" s="1"/>
  <c r="Q56" i="79"/>
  <c r="Q62" i="79" s="1"/>
  <c r="C83" i="80"/>
  <c r="C82" i="80" s="1"/>
  <c r="B2" i="80"/>
  <c r="B3" i="80" s="1"/>
  <c r="E6" i="12" s="1"/>
  <c r="C46" i="79"/>
  <c r="C43" i="79"/>
  <c r="Q65" i="79"/>
  <c r="Q75" i="79" s="1"/>
  <c r="C46" i="11"/>
  <c r="C45" i="11" s="1"/>
  <c r="C43" i="80"/>
  <c r="Q65" i="80"/>
  <c r="Q75" i="80" s="1"/>
  <c r="C46" i="68"/>
  <c r="C45" i="68" s="1"/>
  <c r="I14" i="74"/>
  <c r="B8" i="74" s="1"/>
  <c r="D12" i="52"/>
  <c r="D127" i="9"/>
  <c r="D13" i="52" s="1"/>
  <c r="D20" i="53"/>
  <c r="B40" i="72" s="1"/>
  <c r="B38" i="72"/>
  <c r="N63" i="40"/>
  <c r="M65" i="40"/>
  <c r="AO6" i="1"/>
  <c r="AO8" i="1"/>
  <c r="AO7" i="1"/>
  <c r="U7" i="39" l="1"/>
  <c r="AB7" i="39"/>
  <c r="T47" i="39" s="1"/>
  <c r="G47" i="39" s="1"/>
  <c r="G51" i="39" s="1"/>
  <c r="H51" i="39" s="1"/>
  <c r="S7" i="39"/>
  <c r="AA7" i="39"/>
  <c r="R47" i="39" s="1"/>
  <c r="AC7" i="39"/>
  <c r="V47" i="39" s="1"/>
  <c r="I47" i="39" s="1"/>
  <c r="W7" i="39"/>
  <c r="C49" i="11"/>
  <c r="C51" i="11" s="1"/>
  <c r="C52" i="11" s="1"/>
  <c r="B2" i="11" s="1"/>
  <c r="B3" i="11" s="1"/>
  <c r="C8" i="12"/>
  <c r="B6" i="70"/>
  <c r="B7" i="70"/>
  <c r="D8" i="12"/>
  <c r="C46" i="80"/>
  <c r="B8" i="70"/>
  <c r="E8" i="12"/>
  <c r="C49" i="68"/>
  <c r="C51" i="68" s="1"/>
  <c r="C8" i="74"/>
  <c r="D8" i="74"/>
  <c r="O63" i="40"/>
  <c r="O65" i="40" s="1"/>
  <c r="N65" i="40"/>
  <c r="E47" i="39" l="1"/>
  <c r="R48" i="39"/>
  <c r="G52" i="39"/>
  <c r="H52" i="39" s="1"/>
  <c r="I52" i="39"/>
  <c r="J52" i="39" s="1"/>
  <c r="I51" i="39"/>
  <c r="J51" i="39" s="1"/>
  <c r="C56" i="11"/>
  <c r="C57" i="11" s="1"/>
  <c r="B2" i="70"/>
  <c r="B3" i="70" s="1"/>
  <c r="C4" i="12"/>
  <c r="C31" i="12" s="1"/>
  <c r="F7" i="40"/>
  <c r="J7" i="40"/>
  <c r="H7" i="40"/>
  <c r="C48" i="39" l="1"/>
  <c r="C47" i="39"/>
  <c r="E52" i="39"/>
  <c r="F52" i="39" s="1"/>
  <c r="E51" i="39"/>
  <c r="F51" i="39" s="1"/>
  <c r="C23" i="12"/>
  <c r="AC7" i="40"/>
  <c r="V42" i="40" s="1"/>
  <c r="I42" i="40" s="1"/>
  <c r="W7" i="40"/>
  <c r="U7" i="40"/>
  <c r="AB7" i="40"/>
  <c r="T42" i="40" s="1"/>
  <c r="G42" i="40" s="1"/>
  <c r="AA7" i="40"/>
  <c r="R42" i="40" s="1"/>
  <c r="S7" i="40"/>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R43" i="40"/>
  <c r="E42" i="40"/>
  <c r="G47" i="40"/>
  <c r="H47" i="40" s="1"/>
  <c r="G46" i="40"/>
  <c r="H46" i="40" s="1"/>
  <c r="I46" i="40"/>
  <c r="J46" i="40" s="1"/>
  <c r="I47" i="40"/>
  <c r="J47" i="40" s="1"/>
  <c r="E47" i="40" l="1"/>
  <c r="F47" i="40" s="1"/>
  <c r="E46" i="40"/>
  <c r="F46" i="40" s="1"/>
  <c r="C42" i="40"/>
  <c r="C43" i="40"/>
  <c r="B55" i="40" l="1"/>
  <c r="F55" i="40" s="1"/>
  <c r="B58" i="40"/>
  <c r="F58" i="40" s="1"/>
  <c r="D3" i="82" s="1"/>
  <c r="B54" i="40"/>
  <c r="F54" i="40" s="1"/>
  <c r="B53" i="40"/>
  <c r="F53" i="40" s="1"/>
  <c r="B59" i="40"/>
  <c r="F59" i="40" s="1"/>
  <c r="B52" i="40"/>
  <c r="F52" i="40" s="1"/>
  <c r="B56" i="40"/>
  <c r="F56" i="40" s="1"/>
  <c r="B60" i="40"/>
  <c r="F60" i="40" s="1"/>
  <c r="B57" i="40"/>
  <c r="F57" i="40" s="1"/>
  <c r="C3" i="82" s="1"/>
  <c r="B51" i="40"/>
  <c r="F51" i="40" s="1"/>
  <c r="H112" i="9"/>
  <c r="D21" i="53"/>
  <c r="B39" i="72"/>
  <c r="H111" i="9"/>
  <c r="F61" i="40" l="1"/>
  <c r="B2" i="40" s="1"/>
  <c r="C6" i="68" s="1"/>
  <c r="B3" i="82"/>
  <c r="F3" i="82" s="1"/>
  <c r="B3" i="40"/>
  <c r="C7" i="68" l="1"/>
  <c r="C8" i="68"/>
  <c r="C18" i="12"/>
  <c r="C21" i="12" s="1"/>
  <c r="C5" i="68" l="1"/>
  <c r="C20" i="68" s="1"/>
  <c r="C25" i="68" s="1"/>
  <c r="C22" i="12"/>
  <c r="C27" i="12" s="1"/>
  <c r="C25" i="12" s="1"/>
  <c r="C23" i="68" l="1"/>
  <c r="C22" i="68" s="1"/>
  <c r="C28" i="68"/>
  <c r="C27" i="68" s="1"/>
  <c r="C30" i="12"/>
  <c r="C28" i="12" s="1"/>
  <c r="C32" i="12" s="1"/>
  <c r="B2" i="12" s="1"/>
  <c r="D19" i="9"/>
  <c r="D102" i="9" l="1"/>
  <c r="D21" i="9"/>
  <c r="B3" i="12"/>
  <c r="C31" i="68"/>
  <c r="C52" i="68" s="1"/>
  <c r="B2" i="68" s="1"/>
  <c r="C19" i="9"/>
  <c r="D20" i="9"/>
  <c r="D103" i="9" l="1"/>
  <c r="C57" i="68"/>
  <c r="C56" i="68" s="1"/>
  <c r="G19" i="9"/>
  <c r="C21" i="9"/>
  <c r="D22" i="9"/>
  <c r="B3" i="68"/>
  <c r="C102" i="9"/>
  <c r="D34" i="9"/>
  <c r="C20" i="9"/>
  <c r="D35"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B5" i="74"/>
  <c r="F14" i="74"/>
  <c r="B5" i="82"/>
  <c r="B6"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C5" i="74"/>
  <c r="D5" i="74"/>
  <c r="D6" i="53"/>
  <c r="B22" i="72" s="1"/>
  <c r="B20" i="72"/>
  <c r="D13" i="53"/>
  <c r="M49" i="9"/>
  <c r="H108" i="9"/>
  <c r="D15" i="53" s="1"/>
  <c r="B31" i="72" s="1"/>
  <c r="D122" i="9"/>
  <c r="D15" i="82"/>
  <c r="D34" i="82"/>
  <c r="D12" i="82"/>
  <c r="D17" i="82"/>
  <c r="D19" i="82"/>
  <c r="D21" i="82"/>
  <c r="D23" i="82"/>
  <c r="D25" i="82"/>
  <c r="D27" i="82"/>
  <c r="D29" i="82"/>
  <c r="D31" i="82"/>
  <c r="D36" i="82"/>
  <c r="D11" i="82"/>
  <c r="D18" i="82"/>
  <c r="D20" i="82"/>
  <c r="D22" i="82"/>
  <c r="D24" i="82"/>
  <c r="D26" i="82"/>
  <c r="D28" i="82"/>
  <c r="D30" i="82"/>
  <c r="D32" i="82"/>
  <c r="E35" i="82" l="1"/>
  <c r="E16"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B6" i="74"/>
  <c r="C6" i="74" s="1"/>
  <c r="M69" i="9"/>
  <c r="N69" i="9" s="1"/>
  <c r="C81" i="9"/>
  <c r="C97" i="9"/>
  <c r="D58" i="9" s="1"/>
  <c r="D56" i="9" s="1"/>
  <c r="M54" i="9" s="1"/>
  <c r="N57" i="9" s="1"/>
  <c r="D6" i="74"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<sst xmlns="http://schemas.openxmlformats.org/spreadsheetml/2006/main" count="9304" uniqueCount="3459">
  <si>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</si>
  <si>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</si>
  <si>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</si>
  <si>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</si>
  <si>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</si>
  <si>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</si>
  <si>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</si>
  <si>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</si>
  <si>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</si>
  <si>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</si>
  <si>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</si>
  <si>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</si>
  <si>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</si>
  <si>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</si>
  <si>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</si>
  <si>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</si>
  <si>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</si>
  <si>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</si>
  <si>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</si>
  <si>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</si>
  <si>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</si>
  <si>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</si>
  <si>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</si>
  <si>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</si>
  <si>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</si>
  <si>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</si>
  <si>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</si>
  <si>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</si>
  <si>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</si>
  <si>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</si>
  <si>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</si>
  <si>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</si>
  <si>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</si>
  <si>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</si>
  <si>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</si>
  <si>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</si>
  <si>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</si>
  <si>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</si>
  <si>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</si>
  <si>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</si>
  <si>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</si>
  <si>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</si>
  <si>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</si>
  <si>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</si>
  <si>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</si>
  <si>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</si>
  <si>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</si>
  <si>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</si>
  <si>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</si>
  <si>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</si>
  <si>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</si>
  <si>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</si>
  <si>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</si>
  <si>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</si>
  <si>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</si>
  <si>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</si>
  <si>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</si>
  <si>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</si>
  <si>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</si>
  <si>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</si>
  <si>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</si>
  <si>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</si>
  <si>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</si>
  <si>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</si>
  <si>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</si>
  <si>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</si>
  <si>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</si>
  <si>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</si>
  <si>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</si>
  <si>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</si>
  <si>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</si>
  <si>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</si>
  <si>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</si>
  <si>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</si>
  <si>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</si>
  <si>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</si>
  <si>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</si>
  <si>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</si>
  <si>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</si>
  <si>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</si>
  <si>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</si>
  <si>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</si>
  <si>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</si>
  <si>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</si>
  <si>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</si>
  <si>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</si>
  <si>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</si>
  <si>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</si>
  <si>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</si>
  <si>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</si>
  <si>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</si>
  <si>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</si>
  <si>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</si>
  <si>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</si>
  <si>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</si>
  <si>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</si>
  <si>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</si>
  <si>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</si>
  <si>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</si>
  <si>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</si>
  <si>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</si>
  <si>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</si>
  <si>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</si>
  <si>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</si>
  <si>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</si>
  <si>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</si>
  <si>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</si>
  <si>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</si>
  <si>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</si>
  <si>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</si>
  <si>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</si>
  <si>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</si>
  <si>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</si>
  <si>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</si>
  <si>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</si>
  <si>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</si>
  <si>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</si>
  <si>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</si>
  <si>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</si>
  <si>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</si>
  <si>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</si>
  <si>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</si>
  <si>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</si>
  <si>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</si>
  <si>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</si>
  <si>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</si>
  <si>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</si>
  <si>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</si>
  <si>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</si>
  <si>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</si>
  <si>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</si>
  <si>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</si>
  <si>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</si>
  <si>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</si>
  <si>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</si>
  <si>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</si>
  <si>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</si>
  <si>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</si>
  <si>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</si>
  <si>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</si>
  <si>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</si>
  <si>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</si>
  <si>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</si>
  <si>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</si>
  <si>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</si>
  <si>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</si>
  <si>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</si>
  <si>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</si>
  <si>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</si>
  <si>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</si>
  <si>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</si>
  <si>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</si>
  <si>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</si>
  <si>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</si>
  <si>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</si>
  <si>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</si>
  <si>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</si>
  <si>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</si>
  <si>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</si>
  <si>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</si>
  <si>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</si>
  <si>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</si>
  <si>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</si>
  <si>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</si>
  <si>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</si>
  <si>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</si>
  <si>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</si>
  <si>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</si>
  <si>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</si>
  <si>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</si>
  <si>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</si>
  <si>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</si>
  <si>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</si>
  <si>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</si>
  <si>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</si>
  <si>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</si>
  <si>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</si>
  <si>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</si>
  <si>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</si>
  <si>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</si>
  <si>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</si>
  <si>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</si>
  <si>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</si>
  <si>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</si>
  <si>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</si>
  <si>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</si>
  <si>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</si>
  <si>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</si>
  <si>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</si>
  <si>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</si>
  <si>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</si>
  <si>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</si>
  <si>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</si>
  <si>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</si>
  <si>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</si>
  <si>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</si>
  <si>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</si>
  <si>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</si>
  <si>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</si>
  <si>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</si>
  <si>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</si>
  <si>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</si>
  <si>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</si>
  <si>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</si>
  <si>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</si>
  <si>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</si>
  <si>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</si>
  <si>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</si>
  <si>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</si>
  <si>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</si>
  <si>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</si>
  <si>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</si>
  <si>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</si>
  <si>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</si>
  <si>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</si>
  <si>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</si>
  <si>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</si>
  <si>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</si>
  <si>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</si>
  <si>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</si>
  <si>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</si>
  <si>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</si>
  <si>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</si>
  <si>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</si>
  <si>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</si>
  <si>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</si>
  <si>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</si>
  <si>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</si>
  <si>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</si>
  <si>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</si>
  <si>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</si>
  <si>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</si>
  <si>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</si>
  <si>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</si>
  <si>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</si>
  <si>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</si>
  <si>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</si>
  <si>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</si>
  <si>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</si>
  <si>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</si>
  <si>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</si>
  <si>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</si>
  <si>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</si>
  <si>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</si>
  <si>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</si>
  <si>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</si>
  <si>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</si>
  <si>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</si>
  <si>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</si>
  <si>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</si>
  <si>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</si>
  <si>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</si>
  <si>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</si>
  <si>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</si>
  <si>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</si>
  <si>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</si>
  <si>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</si>
  <si>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</si>
  <si>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</si>
  <si>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</si>
  <si>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</si>
  <si>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</si>
  <si>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</si>
  <si>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</si>
  <si>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</si>
  <si>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</si>
  <si>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</si>
  <si>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</si>
  <si>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</si>
  <si>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</si>
  <si>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</si>
  <si>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</si>
  <si>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</si>
  <si>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</si>
  <si>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</si>
  <si>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</si>
  <si>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</si>
  <si>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</si>
  <si>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</si>
  <si>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</si>
  <si>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</si>
  <si>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</si>
  <si>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</si>
  <si>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</si>
  <si>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</si>
  <si>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</si>
  <si>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</si>
  <si>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</si>
  <si>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</si>
  <si>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</si>
  <si>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</si>
  <si>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</si>
  <si>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</si>
  <si>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</si>
  <si>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</si>
  <si>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</si>
  <si>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</si>
  <si>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</si>
  <si>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</si>
  <si>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</si>
  <si>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</si>
  <si>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</si>
  <si>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</si>
  <si>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</si>
  <si>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</si>
  <si>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</si>
  <si>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</si>
  <si>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</si>
  <si>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</si>
  <si>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</si>
  <si>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</si>
  <si>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</si>
  <si>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</si>
  <si>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</si>
  <si>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</si>
  <si>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</si>
  <si>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</si>
  <si>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</si>
  <si>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</si>
  <si>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</si>
  <si>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</si>
  <si>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</si>
  <si>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</si>
  <si>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</si>
  <si>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</si>
  <si>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</si>
  <si>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</si>
  <si>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</si>
  <si>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</si>
  <si>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</si>
  <si>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</si>
  <si>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</si>
  <si>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</si>
  <si>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</si>
  <si>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</si>
  <si>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</si>
  <si>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</si>
  <si>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</si>
  <si>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</si>
  <si>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</si>
  <si>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</si>
  <si>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</si>
  <si>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</si>
  <si>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</si>
  <si>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</si>
  <si>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</si>
  <si>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</si>
  <si>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</si>
  <si>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</si>
  <si>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</si>
  <si>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</si>
  <si>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</si>
  <si>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</si>
  <si>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</si>
  <si>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</si>
  <si>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</si>
  <si>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</si>
  <si>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</si>
  <si>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</si>
  <si>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</si>
  <si>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</si>
  <si>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</si>
  <si>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</si>
  <si>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</si>
  <si>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</si>
  <si>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</si>
  <si>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</si>
  <si>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</si>
  <si>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</si>
  <si>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</si>
  <si>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</si>
  <si>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</si>
  <si>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</si>
  <si>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</si>
  <si>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</si>
  <si>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</si>
  <si>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</si>
  <si>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</si>
  <si>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</si>
  <si>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</si>
  <si>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</si>
  <si>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</si>
  <si>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</si>
  <si>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</si>
  <si>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</si>
  <si>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</si>
  <si>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</si>
  <si>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</si>
  <si>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</si>
  <si>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</si>
  <si>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</si>
  <si>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</si>
  <si>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</si>
  <si>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</si>
  <si>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</si>
  <si>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</si>
  <si>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</si>
  <si>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</si>
  <si>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</si>
  <si>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</si>
  <si>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</si>
  <si>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</si>
  <si>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</si>
  <si>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</si>
  <si>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</si>
  <si>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</si>
  <si>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</si>
  <si>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</si>
  <si>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</si>
  <si>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</si>
  <si>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</si>
  <si>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</si>
  <si>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</si>
  <si>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</si>
  <si>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</si>
  <si>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</si>
  <si>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</si>
  <si>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</si>
  <si>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</si>
  <si>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</si>
  <si>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</si>
  <si>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</si>
  <si>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</si>
  <si>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</si>
  <si>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</si>
  <si>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</si>
  <si>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</si>
  <si>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</si>
  <si>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</si>
  <si>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</si>
  <si>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</si>
  <si>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</si>
  <si>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</si>
  <si>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</si>
  <si>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</si>
  <si>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</si>
  <si>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</si>
  <si>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</si>
  <si>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</si>
  <si>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</si>
  <si>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</si>
  <si>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</si>
  <si>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</si>
  <si>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</si>
  <si>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</si>
  <si>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</si>
  <si>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</si>
  <si>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</si>
  <si>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</si>
  <si>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</si>
  <si>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</si>
  <si>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</si>
  <si>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</si>
  <si>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</si>
  <si>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</si>
  <si>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</si>
  <si>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</si>
  <si>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</si>
  <si>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</si>
  <si>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</si>
  <si>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</si>
  <si>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</si>
  <si>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</si>
  <si>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</si>
  <si>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</si>
  <si>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</si>
  <si>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</si>
  <si>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</si>
  <si>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</si>
  <si>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</si>
  <si>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</si>
  <si>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</si>
  <si>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</si>
  <si>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</si>
  <si>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</si>
  <si>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</si>
  <si>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</si>
  <si>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</si>
  <si>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</si>
  <si>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</si>
  <si>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</si>
  <si>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</si>
  <si>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</si>
  <si>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</si>
  <si>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</si>
  <si>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</si>
  <si>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</si>
  <si>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</si>
  <si>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</si>
  <si>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</si>
  <si>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</si>
  <si>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</si>
  <si>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</si>
  <si>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</si>
  <si>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</si>
  <si>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</si>
  <si>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</si>
  <si>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</si>
  <si>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</si>
  <si>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</si>
  <si>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</si>
  <si>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</si>
  <si>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</si>
  <si>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</si>
  <si>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</si>
  <si>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</si>
  <si>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</si>
  <si>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</si>
  <si>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</si>
  <si>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</si>
  <si>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</si>
  <si>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</si>
  <si>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</si>
  <si>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</si>
  <si>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</si>
  <si>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</si>
  <si>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</si>
  <si>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</si>
  <si>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</si>
  <si>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</si>
  <si>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</si>
  <si>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</si>
  <si>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</si>
  <si>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</si>
  <si>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</si>
  <si>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</si>
  <si>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</si>
  <si>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</si>
  <si>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</si>
  <si>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</si>
  <si>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</si>
  <si>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</si>
  <si>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</si>
  <si>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</si>
  <si>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</si>
  <si>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</si>
  <si>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</si>
  <si>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</si>
  <si>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</si>
  <si>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</si>
  <si>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</si>
  <si>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</si>
  <si>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</si>
  <si>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</si>
  <si>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</si>
  <si>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</si>
  <si>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</si>
  <si>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</si>
  <si>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</si>
  <si>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</si>
  <si>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</si>
  <si>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</si>
  <si>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</si>
  <si>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</si>
  <si>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</si>
  <si>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</si>
  <si>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</si>
  <si>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</si>
  <si>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</si>
  <si>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</si>
  <si>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</si>
  <si>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</si>
  <si>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</si>
  <si>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</si>
  <si>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</si>
  <si>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</si>
  <si>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</si>
  <si>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</si>
  <si>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</si>
  <si>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</si>
  <si>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</si>
  <si>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</si>
  <si>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</si>
  <si>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</si>
  <si>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</si>
  <si>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</si>
  <si>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</si>
  <si>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</si>
  <si>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</si>
  <si>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</si>
  <si>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</si>
  <si>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</si>
  <si>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</si>
  <si>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</si>
  <si>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</si>
  <si>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</si>
  <si>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</si>
  <si>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</si>
  <si>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</si>
  <si>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</si>
  <si>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</si>
  <si>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</si>
  <si>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</si>
  <si>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</si>
  <si>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</si>
  <si>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</si>
  <si>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</si>
  <si>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</si>
  <si>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</si>
  <si>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</si>
  <si>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</si>
  <si>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</si>
  <si>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</si>
  <si>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</si>
  <si>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</si>
  <si>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</si>
  <si>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</si>
  <si>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</si>
  <si>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</si>
  <si>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</si>
  <si>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</si>
  <si>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</si>
  <si>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</si>
  <si>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</si>
  <si>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</si>
  <si>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</si>
  <si>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</si>
  <si>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</si>
  <si>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</si>
  <si>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</si>
  <si>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</si>
  <si>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</si>
  <si>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</si>
  <si>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</si>
  <si>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</si>
  <si>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</si>
  <si>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</si>
  <si>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</si>
  <si>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</si>
  <si>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</si>
  <si>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</si>
  <si>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</si>
  <si>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</si>
  <si>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</si>
  <si>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</si>
  <si>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</si>
  <si>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</si>
  <si>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</si>
  <si>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</si>
  <si>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</si>
  <si>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</si>
  <si>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</si>
  <si>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</si>
  <si>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</si>
  <si>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</si>
  <si>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</si>
  <si>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</si>
  <si>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</si>
  <si>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</si>
  <si>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</si>
  <si>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</si>
  <si>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</si>
  <si>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</si>
  <si>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</si>
  <si>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</si>
  <si>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</si>
  <si>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</si>
  <si>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</si>
  <si>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</si>
  <si>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</si>
  <si>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</si>
  <si>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</si>
  <si>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</si>
  <si>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</si>
  <si>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</si>
  <si>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</si>
  <si>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</si>
  <si>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</si>
  <si>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</si>
  <si>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</si>
  <si>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</si>
  <si>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</si>
  <si>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</si>
  <si>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</si>
  <si>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</si>
  <si>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</si>
  <si>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</si>
  <si>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</si>
  <si>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</si>
  <si>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</si>
  <si>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</si>
  <si>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</si>
  <si>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</si>
  <si>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</si>
  <si>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</si>
  <si>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</si>
  <si>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</si>
  <si>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</si>
  <si>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</si>
  <si>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</si>
  <si>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</si>
  <si>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</si>
  <si>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</si>
  <si>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</si>
  <si>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</si>
  <si>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</si>
  <si>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</si>
  <si>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</si>
  <si>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</si>
  <si>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</si>
  <si>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</si>
  <si>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</si>
  <si>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</si>
  <si>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</si>
  <si>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</si>
  <si>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</si>
  <si>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</si>
  <si>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</si>
  <si>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</si>
  <si>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</si>
  <si>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</si>
  <si>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</si>
  <si>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</si>
  <si>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</si>
  <si>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</si>
  <si>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</si>
  <si>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</si>
  <si>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</si>
  <si>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</si>
  <si>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</si>
  <si>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</si>
  <si>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</si>
  <si>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</si>
  <si>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</si>
  <si>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</si>
  <si>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</si>
  <si>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</si>
  <si>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</si>
  <si>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</si>
  <si>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</si>
  <si>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</si>
  <si>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</si>
  <si>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</si>
  <si>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</si>
  <si>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</si>
  <si>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</si>
  <si>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</si>
  <si>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</si>
  <si>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</si>
  <si>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</si>
  <si>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</si>
  <si>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</si>
  <si>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</si>
  <si>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</si>
  <si>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</si>
  <si>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</si>
  <si>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</si>
  <si>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</si>
  <si>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</si>
  <si>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</si>
  <si>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</si>
  <si>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</si>
  <si>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</si>
  <si>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</si>
  <si>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</si>
  <si>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</si>
  <si>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</si>
  <si>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</si>
  <si>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</si>
  <si>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</si>
  <si>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</si>
  <si>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</si>
  <si>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</si>
  <si>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</si>
  <si>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</si>
  <si>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</si>
  <si>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</si>
  <si>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</si>
  <si>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</si>
  <si>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</si>
  <si>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</si>
  <si>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</si>
  <si>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</si>
  <si>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</si>
  <si>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</si>
  <si>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</si>
  <si>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</si>
  <si>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</si>
  <si>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</si>
  <si>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</si>
  <si>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</si>
  <si>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</si>
  <si>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</si>
  <si>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</si>
  <si>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</si>
  <si>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</si>
  <si>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</si>
  <si>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</si>
  <si>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</si>
  <si>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</si>
  <si>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</si>
  <si>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</si>
  <si>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</si>
  <si>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</si>
  <si>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</si>
  <si>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</si>
  <si>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</si>
  <si>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</si>
  <si>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</si>
  <si>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</si>
  <si>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</si>
  <si>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</si>
  <si>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</si>
  <si>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</si>
  <si>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</si>
  <si>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</si>
  <si>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</si>
  <si>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</si>
  <si>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</si>
  <si>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</si>
  <si>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</si>
  <si>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</si>
  <si>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</si>
  <si>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</si>
  <si>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</si>
  <si>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</si>
  <si>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</si>
  <si>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</si>
  <si>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</si>
  <si>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</si>
  <si>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</si>
  <si>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</si>
  <si>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</si>
  <si>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</si>
  <si>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</si>
  <si>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</si>
  <si>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</si>
  <si>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</si>
  <si>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</si>
  <si>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</si>
  <si>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</si>
  <si>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</si>
  <si>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</si>
  <si>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</si>
  <si>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</si>
  <si>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</si>
  <si>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</si>
  <si>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</si>
  <si>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</si>
  <si>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</si>
  <si>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</si>
  <si>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</si>
  <si>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</si>
  <si>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</si>
  <si>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</si>
  <si>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</si>
  <si>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</si>
  <si>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</si>
  <si>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</si>
  <si>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</si>
  <si>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</si>
  <si>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</si>
  <si>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</si>
  <si>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</si>
  <si>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</si>
  <si>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</si>
  <si>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</si>
  <si>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</si>
  <si>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</si>
  <si>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</si>
  <si>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</si>
  <si>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</si>
  <si>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</si>
  <si>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</si>
  <si>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</si>
  <si>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</si>
  <si>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</si>
  <si>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</si>
  <si>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</si>
  <si>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</si>
  <si>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</si>
  <si>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</si>
  <si>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</si>
  <si>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</si>
  <si>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</si>
  <si>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</si>
  <si>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</si>
  <si>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</si>
  <si>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</si>
  <si>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</si>
  <si>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</si>
  <si>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</si>
  <si>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</si>
  <si>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</si>
  <si>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</si>
  <si>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</si>
  <si>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</si>
  <si>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</si>
  <si>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</si>
  <si>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</si>
  <si>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</si>
  <si>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</si>
  <si>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</si>
  <si>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</si>
  <si>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</si>
  <si>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</si>
  <si>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</si>
  <si>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</si>
  <si>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</si>
  <si>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</si>
  <si>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</si>
  <si>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</si>
  <si>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</si>
  <si>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</si>
  <si>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</si>
  <si>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</si>
  <si>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</si>
  <si>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</si>
  <si>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</si>
  <si>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</si>
  <si>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</si>
  <si>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</si>
  <si>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</si>
  <si>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</si>
  <si>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</si>
  <si>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</si>
  <si>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</si>
  <si>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</si>
  <si>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</si>
  <si>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</si>
  <si>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</si>
  <si>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</si>
  <si>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</si>
  <si>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</si>
  <si>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</si>
  <si>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</si>
  <si>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</si>
  <si>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</si>
  <si>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</si>
  <si>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</si>
  <si>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</si>
  <si>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</si>
  <si>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</si>
  <si>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</si>
  <si>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</si>
  <si>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</si>
  <si>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</si>
  <si>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</si>
  <si>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</si>
  <si>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</si>
  <si>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</si>
  <si>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</si>
  <si>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</si>
  <si>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</si>
  <si>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</si>
  <si>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</si>
  <si>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</si>
  <si>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</si>
  <si>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</si>
  <si>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</si>
  <si>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</si>
  <si>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</si>
  <si>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</si>
  <si>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</si>
  <si>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</si>
  <si>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</si>
  <si>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</si>
  <si>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</si>
  <si>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</si>
  <si>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</si>
  <si>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</si>
  <si>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</si>
  <si>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</si>
  <si>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</si>
  <si>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</si>
  <si>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</si>
  <si>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</si>
  <si>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</si>
  <si>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</si>
  <si>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</si>
  <si>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</si>
  <si>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</si>
  <si>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</si>
  <si>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</si>
  <si>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</si>
  <si>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</si>
  <si>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</si>
  <si>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</si>
  <si>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</si>
  <si>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</si>
  <si>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</si>
  <si>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</si>
  <si>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</si>
  <si>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</si>
  <si>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</si>
  <si>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</si>
  <si>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</si>
  <si>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</si>
  <si>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</si>
  <si>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</si>
  <si>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</si>
  <si>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</si>
  <si>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</si>
  <si>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</si>
  <si>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</si>
  <si>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</si>
  <si>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</si>
  <si>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</si>
  <si>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</si>
  <si>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</si>
  <si>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</si>
  <si>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</si>
  <si>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</si>
  <si>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</si>
  <si>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</si>
  <si>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</si>
  <si>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</si>
  <si>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</si>
  <si>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</si>
  <si>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</si>
  <si>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</si>
  <si>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</si>
  <si>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</si>
  <si>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</si>
  <si>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</si>
  <si>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</si>
  <si>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</si>
  <si>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</si>
  <si>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</si>
  <si>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</si>
  <si>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</si>
  <si>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</si>
  <si>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</si>
  <si>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</si>
  <si>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</si>
  <si>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</si>
  <si>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</si>
  <si>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</si>
  <si>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</si>
  <si>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</si>
  <si>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</si>
  <si>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</si>
  <si>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</si>
  <si>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</si>
  <si>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</si>
  <si>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</si>
  <si>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</si>
  <si>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</si>
  <si>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</si>
  <si>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</si>
  <si>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</si>
  <si>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</si>
  <si>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</si>
  <si>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</si>
  <si>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</si>
  <si>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</si>
  <si>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</si>
  <si>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</si>
  <si>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</si>
  <si>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</si>
  <si>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</si>
  <si>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</si>
  <si>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</si>
  <si>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</si>
  <si>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</si>
  <si>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</si>
  <si>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</si>
  <si>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</si>
  <si>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</si>
  <si>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</si>
  <si>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</si>
  <si>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</si>
  <si>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</si>
  <si>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</si>
  <si>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</si>
  <si>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</si>
  <si>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</si>
  <si>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</si>
  <si>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</si>
  <si>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</si>
  <si>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</si>
  <si>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</si>
  <si>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</si>
  <si>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</si>
  <si>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</si>
  <si>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</si>
  <si>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</si>
  <si>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</si>
  <si>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</si>
  <si>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</si>
  <si>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</si>
  <si>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</si>
  <si>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</si>
  <si>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</si>
  <si>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</si>
  <si>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</si>
  <si>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</si>
  <si>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</si>
  <si>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</si>
  <si>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</si>
  <si>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</si>
  <si>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</si>
  <si>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</si>
  <si>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</si>
  <si>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</si>
  <si>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</si>
  <si>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</si>
  <si>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</si>
  <si>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</si>
  <si>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</si>
  <si>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</si>
  <si>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</si>
  <si>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</si>
  <si>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</si>
  <si>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</si>
  <si>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</si>
  <si>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</si>
  <si>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</si>
  <si>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</si>
  <si>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</si>
  <si>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</si>
  <si>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</si>
  <si>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</si>
  <si>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</si>
  <si>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</si>
  <si>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</si>
  <si>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</si>
  <si>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</si>
  <si>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</si>
  <si>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</si>
  <si>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</si>
  <si>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</si>
  <si>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</si>
  <si>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</si>
  <si>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</si>
  <si>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</si>
  <si>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</si>
  <si>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</si>
  <si>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</si>
  <si>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</si>
  <si>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</si>
  <si>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</si>
  <si>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</si>
  <si>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</si>
  <si>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</si>
  <si>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</si>
  <si>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</si>
  <si>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</si>
  <si>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</si>
  <si>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</si>
  <si>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</si>
  <si>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</si>
  <si>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</si>
  <si>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</si>
  <si>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</si>
  <si>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</si>
  <si>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</si>
  <si>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</si>
  <si>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</si>
  <si>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</si>
  <si>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</si>
  <si>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</si>
  <si>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</si>
  <si>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</si>
  <si>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</si>
  <si>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</si>
  <si>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</si>
  <si>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</si>
  <si>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</si>
  <si>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</si>
  <si>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</si>
  <si>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</si>
  <si>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</si>
  <si>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</si>
  <si>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</si>
  <si>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</si>
  <si>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</si>
  <si>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</si>
  <si>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</si>
  <si>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</si>
  <si>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</si>
  <si>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</si>
  <si>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</si>
  <si>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</si>
  <si>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</si>
  <si>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</si>
  <si>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</si>
  <si>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</si>
  <si>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</si>
  <si>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</si>
  <si>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</si>
  <si>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</si>
  <si>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</si>
  <si>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</si>
  <si>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</si>
  <si>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</si>
  <si>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</si>
  <si>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</si>
  <si>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</si>
  <si>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</si>
  <si>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</si>
  <si>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</si>
  <si>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</si>
  <si>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</si>
  <si>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</si>
  <si>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</si>
  <si>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</si>
  <si>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</si>
  <si>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</si>
  <si>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</si>
  <si>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</si>
  <si>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</si>
  <si>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</si>
  <si>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</si>
  <si>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</si>
  <si>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</si>
  <si>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</si>
  <si>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</si>
  <si>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</si>
  <si>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</si>
  <si>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</si>
  <si>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</si>
  <si>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</si>
  <si>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</si>
  <si>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</si>
  <si>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</si>
  <si>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</si>
  <si>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</si>
  <si>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</si>
  <si>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</si>
  <si>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</si>
  <si>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</si>
  <si>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</si>
  <si>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</si>
  <si>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</si>
  <si>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</si>
  <si>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</si>
  <si>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</si>
  <si>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</si>
  <si>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</si>
  <si>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</si>
  <si>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</si>
  <si>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</si>
  <si>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</si>
  <si>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</si>
  <si>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</si>
  <si>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</si>
  <si>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</si>
  <si>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</si>
  <si>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</si>
  <si>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</si>
  <si>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</si>
  <si>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</si>
  <si>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</si>
  <si>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</si>
  <si>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</si>
  <si>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</si>
  <si>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</si>
  <si>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</si>
  <si>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</si>
  <si>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</si>
  <si>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</si>
  <si>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</si>
  <si>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</si>
  <si>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</si>
  <si>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</si>
  <si>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</si>
  <si>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</si>
  <si>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</si>
  <si>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</si>
  <si>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</si>
  <si>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</si>
  <si>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</si>
  <si>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</si>
  <si>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</si>
  <si>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</si>
  <si>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</si>
  <si>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</si>
  <si>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</si>
  <si>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</si>
  <si>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</si>
  <si>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</si>
  <si>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</si>
  <si>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</si>
  <si>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</si>
  <si>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</si>
  <si>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</si>
  <si>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</si>
  <si>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</si>
  <si>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</si>
  <si>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</si>
  <si>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</si>
  <si>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</si>
  <si>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</si>
  <si>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</si>
  <si>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</si>
  <si>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</si>
  <si>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</si>
  <si>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</si>
  <si>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</si>
  <si>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</si>
  <si>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</si>
  <si>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</si>
  <si>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</si>
  <si>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</si>
  <si>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</si>
  <si>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</si>
  <si>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</si>
  <si>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</si>
  <si>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</si>
  <si>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</si>
  <si>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</si>
  <si>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</si>
  <si>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</si>
  <si>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</si>
  <si>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</si>
  <si>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</si>
  <si>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</si>
  <si>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</si>
  <si>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</si>
  <si>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</si>
  <si>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</si>
  <si>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</si>
  <si>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</si>
  <si>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</si>
  <si>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</si>
  <si>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</si>
  <si>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</si>
  <si>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</si>
  <si>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</si>
  <si>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</si>
  <si>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</si>
  <si>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</si>
  <si>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</si>
  <si>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</si>
  <si>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</si>
  <si>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</si>
  <si>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</si>
  <si>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</si>
  <si>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</si>
  <si>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</si>
  <si>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</si>
  <si>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</si>
  <si>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</si>
  <si>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</si>
  <si>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</si>
  <si>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</si>
  <si>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</si>
  <si>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</si>
  <si>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</si>
  <si>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</si>
  <si>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</si>
  <si>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</si>
  <si>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</si>
  <si>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</si>
  <si>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</si>
  <si>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</si>
  <si>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</si>
  <si>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</si>
  <si>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</si>
  <si>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</si>
  <si>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</si>
  <si>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</si>
  <si>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</si>
  <si>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</si>
  <si>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</si>
  <si>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</si>
  <si>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</si>
  <si>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</si>
  <si>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</si>
  <si>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</si>
  <si>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</si>
  <si>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</si>
  <si>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</si>
  <si>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</si>
  <si>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</si>
  <si>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</si>
  <si>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</si>
  <si>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</si>
  <si>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</si>
  <si>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</si>
  <si>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</si>
  <si>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</si>
  <si>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</si>
  <si>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</si>
  <si>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</si>
  <si>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</si>
  <si>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</si>
  <si>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</si>
  <si>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</si>
  <si>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</si>
  <si>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</si>
  <si>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</si>
  <si>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</si>
  <si>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</si>
  <si>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</si>
  <si>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</si>
  <si>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</si>
  <si>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</si>
  <si>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</si>
  <si>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</si>
  <si>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</si>
  <si>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</si>
  <si>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</si>
  <si>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</si>
  <si>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</si>
  <si>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</si>
  <si>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</si>
  <si>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</si>
  <si>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</si>
  <si>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</si>
  <si>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</si>
  <si>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</si>
  <si>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</si>
  <si>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</si>
  <si>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</si>
  <si>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</si>
  <si>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</si>
  <si>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</si>
  <si>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</si>
  <si>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</si>
  <si>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</si>
  <si>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</si>
  <si>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</si>
  <si>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</si>
  <si>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</si>
  <si>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</si>
  <si>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</si>
  <si>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</si>
  <si>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</si>
  <si>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</si>
  <si>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</si>
  <si>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</si>
  <si>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</si>
  <si>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</si>
  <si>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</si>
  <si>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</si>
  <si>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</si>
  <si>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</si>
  <si>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</si>
  <si>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</si>
  <si>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</si>
  <si>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</si>
  <si>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</si>
  <si>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</si>
  <si>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</si>
  <si>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</si>
  <si>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</si>
  <si>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</si>
  <si>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</si>
  <si>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</si>
  <si>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</si>
  <si>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</si>
  <si>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</si>
  <si>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</si>
  <si>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</si>
  <si>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</si>
  <si>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</si>
  <si>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</si>
  <si>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</si>
  <si>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</si>
  <si>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</si>
  <si>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</si>
  <si>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</si>
  <si>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</si>
  <si>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</si>
  <si>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</si>
  <si>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</si>
  <si>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</si>
  <si>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</si>
  <si>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</si>
  <si>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</si>
  <si>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</si>
  <si>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</si>
  <si>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</si>
  <si>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</si>
  <si>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</si>
  <si>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</si>
  <si>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</si>
  <si>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</si>
  <si>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</si>
  <si>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</si>
  <si>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</si>
  <si>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</si>
  <si>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</si>
  <si>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</si>
  <si>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</si>
  <si>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</si>
  <si>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</si>
  <si>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</si>
  <si>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</si>
  <si>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</si>
  <si>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</si>
  <si>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</si>
  <si>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</si>
  <si>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</si>
  <si>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</si>
  <si>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</si>
  <si>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</si>
  <si>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</si>
  <si>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</si>
  <si>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</si>
  <si>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</si>
  <si>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</si>
  <si>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</si>
  <si>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</si>
  <si>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</si>
  <si>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</si>
  <si>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</si>
  <si>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</si>
  <si>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</si>
  <si>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</si>
  <si>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</si>
  <si>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</si>
  <si>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</si>
  <si>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</si>
  <si>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</si>
  <si>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</si>
  <si>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</si>
  <si>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</si>
  <si>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</si>
  <si>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</si>
  <si>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</si>
  <si>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</si>
  <si>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</si>
  <si>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</si>
  <si>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</si>
  <si>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</si>
  <si>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</si>
  <si>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</si>
  <si>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</si>
  <si>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</si>
  <si>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</si>
  <si>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</si>
  <si>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</si>
  <si>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</si>
  <si>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</si>
  <si>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</si>
  <si>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</si>
  <si>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</si>
  <si>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</si>
  <si>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</si>
  <si>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</si>
  <si>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</si>
  <si>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</si>
  <si>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</si>
  <si>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</si>
  <si>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</si>
  <si>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</si>
  <si>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</si>
  <si>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</si>
  <si>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</si>
  <si>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</si>
  <si>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</si>
  <si>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</si>
  <si>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</si>
  <si>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</si>
  <si>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</si>
  <si>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</si>
  <si>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</si>
  <si>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</si>
  <si>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</si>
  <si>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</si>
  <si>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</si>
  <si>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</si>
  <si>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</si>
  <si>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</si>
  <si>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</si>
  <si>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</si>
  <si>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</si>
  <si>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</si>
  <si>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</si>
  <si>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</si>
  <si>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</si>
  <si>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</si>
  <si>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</si>
  <si>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</si>
  <si>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</si>
  <si>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</si>
  <si>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</si>
  <si>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</si>
  <si>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</si>
  <si>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</si>
  <si>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</si>
  <si>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</si>
  <si>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</si>
  <si>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</si>
  <si>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</si>
  <si>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</si>
  <si>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</si>
  <si>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</si>
  <si>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</si>
  <si>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</si>
  <si>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</si>
  <si>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</si>
  <si>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</si>
  <si>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</si>
  <si>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</si>
  <si>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</si>
  <si>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</si>
  <si>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</si>
  <si>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</si>
  <si>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</si>
  <si>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</si>
  <si>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</si>
  <si>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</si>
  <si>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</si>
  <si>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</si>
  <si>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</si>
  <si>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</si>
  <si>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</si>
  <si>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</si>
  <si>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</si>
  <si>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</si>
  <si>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</si>
  <si>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</si>
  <si>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</si>
  <si>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</si>
  <si>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</si>
  <si>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</si>
  <si>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</si>
  <si>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</si>
  <si>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</si>
  <si>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</si>
  <si>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</si>
  <si>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</si>
  <si>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</si>
  <si>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</si>
  <si>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</si>
  <si>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</si>
  <si>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</si>
  <si>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</si>
  <si>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</si>
  <si>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</si>
  <si>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</si>
  <si>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</si>
  <si>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</si>
  <si>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</si>
  <si>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</si>
  <si>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</si>
  <si>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</si>
  <si>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</si>
  <si>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</si>
  <si>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</si>
  <si>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</si>
  <si>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</si>
  <si>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</si>
  <si>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</si>
  <si>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</si>
  <si>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</si>
  <si>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</si>
  <si>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</si>
  <si>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</si>
  <si>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</si>
  <si>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</si>
  <si>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</si>
  <si>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</si>
  <si>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</si>
  <si>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</si>
  <si>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</si>
  <si>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</si>
  <si>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</si>
  <si>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</si>
  <si>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</si>
  <si>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</si>
  <si>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</si>
  <si>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</si>
  <si>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</si>
  <si>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</si>
  <si>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</si>
  <si>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</si>
  <si>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</si>
  <si>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</si>
  <si>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</si>
  <si>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</si>
  <si>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</si>
  <si>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</si>
  <si>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</si>
  <si>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</si>
  <si>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</si>
  <si>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</si>
  <si>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</si>
  <si>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</si>
  <si>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</si>
  <si>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</si>
  <si>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</si>
  <si>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</si>
  <si>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</si>
  <si>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</si>
  <si>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</si>
  <si>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</si>
  <si>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</si>
  <si>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</si>
  <si>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</si>
  <si>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</si>
  <si>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</si>
  <si>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</si>
  <si>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</si>
  <si>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</si>
  <si>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</si>
  <si>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</si>
  <si>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</si>
  <si>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</si>
  <si>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</si>
  <si>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</si>
  <si>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</si>
  <si>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</si>
  <si>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</si>
  <si>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</si>
  <si>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</si>
  <si>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</si>
  <si>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</si>
  <si>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</si>
  <si>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</si>
  <si>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</si>
  <si>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</si>
  <si>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</si>
  <si>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</si>
  <si>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</si>
  <si>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</si>
  <si>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</si>
  <si>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</si>
  <si>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</si>
  <si>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</si>
  <si>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</si>
  <si>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</si>
  <si>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</si>
  <si>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</si>
  <si>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</si>
  <si>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</si>
  <si>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</si>
  <si>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</si>
  <si>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</si>
  <si>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</si>
  <si>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</si>
  <si>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</si>
  <si>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</si>
  <si>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</si>
  <si>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</si>
  <si>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</si>
  <si>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</si>
  <si>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</si>
  <si>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</si>
  <si>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</si>
  <si>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</si>
  <si>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</si>
  <si>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</si>
  <si>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</si>
  <si>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</si>
  <si>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</si>
  <si>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</si>
  <si>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</si>
  <si>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</si>
  <si>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</si>
  <si>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</si>
  <si>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</si>
  <si>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</si>
  <si>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</si>
  <si>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</si>
  <si>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</si>
  <si>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</si>
  <si>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</si>
  <si>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</si>
  <si>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</si>
  <si>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</si>
  <si>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</si>
  <si>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</si>
  <si>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</si>
  <si>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</si>
  <si>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</si>
  <si>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</si>
  <si>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</si>
  <si>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</si>
  <si>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</si>
  <si>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</si>
  <si>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</si>
  <si>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</si>
  <si>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</si>
  <si>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</si>
  <si>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</si>
  <si>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</si>
  <si>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</si>
  <si>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</si>
  <si>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</si>
  <si>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</si>
  <si>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</si>
  <si>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</si>
  <si>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</si>
  <si>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</si>
  <si>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</si>
  <si>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</si>
  <si>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</si>
  <si>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</si>
  <si>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</si>
  <si>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</si>
  <si>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</si>
  <si>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</si>
  <si>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</si>
  <si>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</si>
  <si>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</si>
  <si>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</si>
  <si>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</si>
  <si>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</si>
  <si>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</si>
  <si>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</si>
  <si>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</si>
  <si>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</si>
  <si>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</si>
  <si>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</si>
  <si>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</si>
  <si>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</si>
  <si>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</si>
  <si>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</si>
  <si>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</si>
  <si>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</si>
  <si>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</si>
  <si>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</si>
  <si>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</si>
  <si>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</si>
  <si>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</si>
  <si>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</si>
  <si>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</si>
  <si>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</si>
  <si>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</si>
  <si>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</si>
  <si>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</si>
  <si>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</si>
  <si>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</si>
  <si>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</si>
  <si>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</si>
  <si>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</si>
  <si>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</si>
  <si>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</si>
  <si>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</si>
  <si>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</si>
  <si>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</si>
  <si>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</si>
  <si>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</si>
  <si>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</si>
  <si>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</si>
  <si>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</si>
  <si>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</si>
  <si>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</si>
  <si>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</si>
  <si>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</si>
  <si>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</si>
  <si>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</si>
  <si>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</si>
  <si>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</si>
  <si>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</si>
  <si>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</si>
  <si>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</si>
  <si>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</si>
  <si>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</si>
  <si>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</si>
  <si>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</si>
  <si>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</si>
  <si>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</si>
  <si>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</si>
  <si>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</si>
  <si>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</si>
  <si>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</si>
  <si>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</si>
  <si>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</si>
  <si>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</si>
  <si>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</si>
  <si>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</si>
  <si>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</si>
  <si>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</si>
  <si>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</si>
  <si>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</si>
  <si>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</si>
  <si>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</si>
  <si>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</si>
  <si>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</si>
  <si>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</si>
  <si>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</si>
  <si>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</si>
  <si>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</si>
  <si>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</si>
  <si>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</si>
  <si>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</si>
  <si>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</si>
  <si>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</si>
  <si>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</si>
  <si>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</si>
  <si>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</si>
  <si>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</si>
  <si>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</si>
  <si>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</si>
  <si>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</si>
  <si>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</si>
  <si>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</si>
  <si>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</si>
  <si>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</si>
  <si>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</si>
  <si>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</si>
  <si>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</si>
  <si>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</si>
  <si>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</si>
  <si>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</si>
  <si>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</si>
  <si>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</si>
  <si>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</si>
  <si>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</si>
  <si>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</si>
  <si>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</si>
  <si>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</si>
  <si>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</si>
  <si>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</si>
  <si>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</si>
  <si>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</si>
  <si>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</si>
  <si>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</si>
  <si>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</si>
  <si>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</si>
  <si>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</si>
  <si>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</si>
  <si>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</si>
  <si>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</si>
  <si>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</si>
  <si>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</si>
  <si>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</si>
  <si>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</si>
  <si>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</si>
  <si>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</si>
  <si>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</si>
  <si>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</si>
  <si>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</si>
  <si>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</si>
  <si>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</si>
  <si>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</si>
  <si>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</si>
  <si>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</si>
  <si>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</si>
  <si>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</si>
  <si>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</si>
  <si>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</si>
  <si>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</si>
  <si>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</si>
  <si>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</si>
  <si>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</si>
  <si>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</si>
  <si>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</si>
  <si>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</si>
  <si>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</si>
  <si>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</si>
  <si>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</si>
  <si>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</si>
  <si>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</si>
  <si>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</si>
  <si>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</si>
  <si>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</si>
  <si>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</si>
  <si>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</si>
  <si>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</si>
  <si>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</si>
  <si>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</si>
  <si>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</si>
  <si>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</si>
  <si>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</si>
  <si>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</si>
  <si>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</si>
  <si>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</si>
  <si>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</si>
  <si>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</si>
  <si>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</si>
  <si>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</si>
  <si>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</si>
  <si>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</si>
  <si>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</si>
  <si>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</si>
  <si>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</si>
  <si>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</si>
  <si>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</si>
  <si>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</si>
  <si>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</si>
  <si>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</si>
  <si>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</si>
  <si>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</si>
  <si>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</si>
  <si>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</si>
  <si>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</si>
  <si>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</si>
  <si>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</si>
  <si>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</si>
  <si>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</si>
  <si>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</si>
  <si>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</si>
  <si>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</si>
  <si>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</si>
  <si>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</si>
  <si>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</si>
  <si>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</si>
  <si>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</si>
  <si>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</si>
  <si>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</si>
  <si>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</si>
  <si>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</si>
  <si>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</si>
  <si>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</si>
  <si>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</si>
  <si>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</si>
  <si>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</si>
  <si>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</si>
  <si>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</si>
  <si>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</si>
  <si>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</si>
  <si>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</si>
  <si>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</si>
  <si>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</si>
  <si>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</si>
  <si>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</si>
  <si>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</si>
  <si>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</si>
  <si>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</si>
  <si>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</si>
  <si>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</si>
  <si>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</si>
  <si>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</si>
  <si>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</si>
  <si>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</si>
  <si>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</si>
  <si>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</si>
  <si>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</si>
  <si>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</si>
  <si>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</si>
  <si>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</si>
  <si>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</si>
  <si>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</si>
  <si>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</si>
  <si>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</si>
  <si>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</si>
  <si>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</si>
  <si>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</si>
  <si>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</si>
  <si>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</si>
  <si>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</si>
  <si>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</si>
  <si>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</si>
  <si>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</si>
  <si>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</si>
  <si>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</si>
  <si>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</si>
  <si>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</si>
  <si>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</si>
  <si>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</si>
  <si>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</si>
  <si>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</si>
  <si>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</si>
  <si>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</si>
  <si>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</si>
  <si>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</si>
  <si>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</si>
  <si>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</si>
  <si>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</si>
  <si>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</si>
  <si>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</si>
  <si>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</si>
  <si>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</si>
  <si>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</si>
  <si>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</si>
  <si>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</si>
  <si>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</si>
  <si>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</si>
  <si>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</si>
  <si>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</si>
  <si>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</si>
  <si>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</si>
  <si>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</si>
  <si>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</si>
  <si>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</si>
  <si>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</si>
  <si>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</si>
  <si>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</si>
  <si>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</si>
  <si>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</si>
  <si>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</si>
  <si>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</si>
  <si>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</si>
  <si>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</si>
  <si>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</si>
  <si>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</si>
  <si>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</si>
  <si>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</si>
  <si>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</si>
  <si>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</si>
  <si>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</si>
  <si>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</si>
  <si>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</si>
  <si>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</si>
  <si>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</si>
  <si>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</si>
  <si>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</si>
  <si>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</si>
  <si>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</si>
  <si>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</si>
  <si>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</si>
  <si>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</si>
  <si>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</si>
  <si>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</si>
  <si>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</si>
  <si>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</si>
  <si>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</si>
  <si>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</si>
  <si>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</si>
  <si>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</si>
  <si>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</si>
  <si>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</si>
  <si>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</si>
  <si>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</si>
  <si>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</si>
  <si>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</si>
  <si>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</si>
  <si>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</si>
  <si>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</si>
  <si>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</si>
  <si>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</si>
  <si>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</si>
  <si>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</si>
  <si>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</si>
  <si>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</si>
  <si>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</si>
  <si>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</si>
  <si>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</si>
  <si>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</si>
  <si>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</si>
  <si>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</si>
  <si>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</si>
  <si>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</si>
  <si>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</si>
  <si>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</si>
  <si>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</si>
  <si>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</si>
  <si>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</si>
  <si>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</si>
  <si>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</si>
  <si>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</si>
  <si>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</si>
  <si>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</si>
  <si>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</si>
  <si>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</si>
  <si>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</si>
  <si>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</si>
  <si>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</si>
  <si>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</si>
  <si>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</si>
  <si>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</si>
  <si>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</si>
  <si>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</si>
  <si>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</si>
  <si>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</si>
  <si>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</si>
  <si>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</si>
  <si>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</si>
  <si>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</si>
  <si>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</si>
  <si>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</si>
  <si>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</si>
  <si>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</si>
  <si>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</si>
  <si>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</si>
  <si>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</si>
  <si>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</si>
  <si>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</si>
  <si>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</si>
  <si>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</si>
  <si>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</si>
  <si>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</si>
  <si>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</si>
  <si>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</si>
  <si>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</si>
  <si>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</si>
  <si>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</si>
  <si>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</si>
  <si>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</si>
  <si>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</si>
  <si>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</si>
  <si>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</si>
  <si>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</si>
  <si>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</si>
  <si>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</si>
  <si>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</si>
  <si>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</si>
  <si>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</si>
  <si>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</si>
  <si>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</si>
  <si>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</si>
  <si>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</si>
  <si>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</si>
  <si>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</si>
  <si>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</si>
  <si>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</si>
  <si>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</si>
  <si>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</si>
  <si>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</si>
  <si>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</si>
  <si>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</si>
  <si>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</si>
  <si>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</si>
  <si>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</si>
  <si>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</si>
  <si>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</si>
  <si>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</si>
  <si>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</si>
  <si>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</si>
  <si>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</si>
  <si>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</si>
  <si>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</si>
  <si>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</si>
  <si>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</si>
  <si>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</si>
  <si>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</si>
  <si>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</si>
  <si>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</si>
  <si>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</si>
  <si>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</si>
  <si>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</si>
  <si>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</si>
  <si>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</si>
  <si>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</si>
  <si>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</si>
  <si>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</si>
  <si>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</si>
  <si>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</si>
  <si>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</si>
  <si>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</si>
  <si>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</si>
  <si>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</si>
  <si>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</si>
  <si>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</si>
  <si>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</si>
  <si>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</si>
  <si>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</si>
  <si>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</si>
  <si>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</si>
  <si>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</si>
  <si>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</si>
  <si>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</si>
  <si>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</si>
  <si>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</si>
  <si>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</si>
  <si>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</si>
  <si>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</si>
  <si>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</si>
  <si>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</si>
  <si>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</si>
  <si>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</si>
  <si>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</si>
  <si>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</si>
  <si>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</si>
  <si>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</si>
  <si>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</si>
  <si>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</si>
  <si>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</si>
  <si>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</si>
  <si>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</si>
  <si>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</si>
  <si>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</si>
  <si>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</si>
  <si>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</si>
  <si>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</si>
  <si>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</si>
  <si>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</si>
  <si>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</si>
  <si>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</si>
  <si>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</si>
  <si>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</si>
  <si>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</si>
  <si>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</si>
  <si>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</si>
  <si>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</si>
  <si>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</si>
  <si>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</si>
  <si>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</si>
  <si>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</si>
  <si>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</si>
  <si>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</si>
  <si>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</si>
  <si>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</si>
  <si>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</si>
  <si>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</si>
  <si>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</si>
  <si>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</si>
  <si>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</si>
  <si>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</si>
  <si>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</si>
  <si>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</si>
  <si>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</si>
  <si>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</si>
  <si>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</si>
  <si>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</si>
  <si>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</si>
  <si>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</si>
  <si>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</si>
  <si>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</si>
  <si>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</si>
  <si>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</si>
  <si>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</si>
  <si>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</si>
  <si>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</si>
  <si>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</si>
  <si>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</si>
  <si>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</si>
  <si>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</si>
  <si>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</si>
  <si>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</si>
  <si>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</si>
  <si>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</si>
  <si>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</si>
  <si>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</si>
  <si>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</si>
  <si>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</si>
  <si>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</si>
  <si>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</si>
  <si>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</si>
  <si>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</si>
  <si>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</si>
  <si>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</si>
  <si>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</si>
  <si>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</si>
  <si>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</si>
  <si>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</si>
  <si>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</si>
  <si>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</si>
  <si>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</si>
  <si>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</si>
  <si>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</si>
  <si>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</si>
  <si>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</si>
  <si>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</si>
  <si>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</si>
  <si>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</si>
  <si>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</si>
  <si>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</si>
  <si>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</si>
  <si>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</si>
  <si>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</si>
  <si>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</si>
  <si>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</si>
  <si>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</si>
  <si>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</si>
  <si>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</si>
  <si>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</si>
  <si>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</si>
  <si>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</si>
  <si>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</si>
  <si>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</si>
  <si>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</si>
  <si>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</si>
  <si>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</si>
  <si>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</si>
  <si>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</si>
  <si>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</si>
  <si>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</si>
  <si>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</si>
  <si>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</si>
  <si>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</si>
  <si>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</si>
  <si>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</si>
  <si>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</si>
  <si>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</si>
  <si>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</si>
  <si>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</si>
  <si>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</si>
  <si>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</si>
  <si>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</si>
  <si>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</si>
  <si>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</si>
  <si>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</si>
  <si>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</si>
  <si>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</si>
  <si>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</si>
  <si>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</si>
  <si>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</si>
  <si>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</si>
  <si>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</si>
  <si>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</si>
  <si>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</si>
  <si>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</si>
  <si>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</si>
  <si>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</si>
  <si>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</si>
  <si>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</si>
  <si>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</si>
  <si>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</si>
  <si>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</si>
  <si>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</si>
  <si>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</si>
  <si>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</si>
  <si>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</si>
  <si>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</si>
  <si>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</si>
  <si>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</si>
  <si>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</si>
  <si>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</si>
  <si>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</si>
  <si>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</si>
  <si>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</si>
  <si>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</si>
  <si>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</si>
  <si>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</si>
  <si>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</si>
  <si>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</si>
  <si>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</si>
  <si>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</si>
  <si>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</si>
  <si>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</si>
  <si>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</si>
  <si>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</si>
  <si>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</si>
  <si>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</si>
  <si>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</si>
  <si>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</si>
  <si>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</si>
  <si>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</si>
  <si>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</si>
  <si>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</si>
  <si>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</si>
  <si>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</si>
  <si>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</si>
  <si>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</si>
  <si>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</si>
  <si>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</si>
  <si>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</si>
  <si>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</si>
  <si>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</si>
  <si>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</si>
  <si>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</si>
  <si>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</si>
  <si>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</si>
  <si>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</si>
  <si>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</si>
  <si>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</si>
  <si>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</si>
  <si>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</si>
  <si>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</si>
  <si>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</si>
  <si>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</si>
  <si>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</si>
  <si>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</si>
  <si>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</si>
  <si>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</si>
  <si>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</si>
  <si>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</si>
  <si>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</si>
  <si>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</si>
  <si>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</si>
  <si>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</si>
  <si>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</si>
  <si>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</si>
  <si>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</si>
  <si>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</si>
  <si>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</si>
  <si>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</si>
  <si>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</si>
  <si>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</si>
  <si>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</si>
  <si>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</si>
  <si>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</si>
  <si>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</si>
  <si>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</si>
  <si>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</si>
  <si>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</si>
  <si>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</si>
  <si>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</si>
  <si>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</si>
  <si>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</si>
  <si>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</si>
  <si>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</si>
  <si>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</si>
  <si>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</si>
  <si>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</si>
  <si>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</si>
  <si>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</si>
  <si>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</si>
  <si>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</si>
  <si>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</si>
  <si>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</si>
  <si>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</si>
  <si>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</si>
  <si>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</si>
  <si>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</si>
  <si>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</si>
  <si>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</si>
  <si>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</si>
  <si>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</si>
  <si>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</si>
  <si>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</si>
  <si>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</si>
  <si>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</si>
  <si>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</si>
  <si>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</si>
  <si>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</si>
  <si>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</si>
  <si>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</si>
  <si>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</si>
  <si>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</si>
  <si>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</si>
  <si>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</si>
  <si>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</si>
  <si>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</si>
  <si>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</si>
  <si>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</si>
  <si>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</si>
  <si>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</si>
  <si>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</si>
  <si>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</si>
  <si>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</si>
  <si>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</si>
  <si>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</si>
  <si>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</si>
  <si>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</si>
  <si>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</si>
  <si>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</si>
  <si>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</si>
  <si>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</si>
  <si>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</si>
  <si>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</si>
  <si>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</si>
  <si>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</si>
  <si>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</si>
  <si>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</si>
  <si>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</si>
  <si>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</si>
  <si>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</si>
  <si>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</si>
  <si>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</si>
  <si>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</si>
  <si>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</si>
  <si>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</si>
  <si>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</si>
  <si>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</si>
  <si>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</si>
  <si>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</si>
  <si>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</si>
  <si>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</si>
  <si>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</si>
  <si>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</si>
  <si>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</si>
  <si>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</si>
  <si>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</si>
  <si>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</si>
  <si>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</si>
  <si>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</si>
  <si>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</si>
  <si>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</si>
  <si>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</si>
  <si>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</si>
  <si>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</si>
  <si>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</si>
  <si>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</si>
  <si>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</si>
  <si>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</si>
  <si>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</si>
  <si>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</si>
  <si>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</si>
  <si>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</si>
  <si>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</si>
  <si>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</si>
  <si>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</si>
  <si>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</si>
  <si>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</si>
  <si>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</si>
  <si>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</si>
  <si>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</si>
  <si>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</si>
  <si>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</si>
  <si>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</si>
  <si>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</si>
  <si>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</si>
  <si>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</si>
  <si>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</si>
  <si>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</si>
  <si>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</si>
  <si>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</si>
  <si>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</si>
  <si>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</si>
  <si>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</si>
  <si>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</si>
  <si>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</si>
  <si>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</si>
  <si>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</si>
  <si>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</si>
  <si>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</si>
  <si>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</si>
  <si>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</si>
  <si>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</si>
  <si>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</si>
  <si>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</si>
  <si>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</si>
  <si>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</si>
  <si>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</si>
  <si>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</si>
  <si>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</si>
  <si>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</si>
  <si>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</si>
  <si>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</si>
  <si>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</si>
  <si>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</si>
  <si>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</si>
  <si>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</si>
  <si>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</si>
  <si>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</si>
  <si>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</si>
  <si>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</si>
  <si>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</si>
  <si>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</si>
  <si>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</si>
  <si>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</si>
  <si>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</si>
  <si>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</si>
  <si>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</si>
  <si>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</si>
  <si>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</si>
  <si>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</si>
  <si>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</si>
  <si>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</si>
  <si>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</si>
  <si>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</si>
  <si>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</si>
  <si>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</si>
  <si>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</si>
  <si>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</si>
  <si>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</si>
  <si>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</si>
  <si>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</si>
  <si>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</si>
  <si>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</si>
  <si>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</si>
  <si>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</si>
  <si>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</si>
  <si>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</si>
  <si>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</si>
  <si>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</si>
  <si>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</si>
  <si>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</si>
  <si>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</si>
  <si>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</si>
  <si>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</si>
  <si>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</si>
  <si>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</si>
  <si>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</si>
  <si>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</si>
  <si>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</si>
  <si>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</si>
  <si>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</si>
  <si>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</si>
  <si>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</si>
  <si>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</si>
  <si>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</si>
  <si>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</si>
  <si>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</si>
  <si>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</si>
  <si>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</si>
  <si>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</si>
  <si>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</si>
  <si>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</si>
  <si>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</si>
  <si>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</si>
  <si>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</si>
  <si>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</si>
  <si>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</si>
  <si>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</si>
  <si>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</si>
  <si>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</si>
  <si>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</si>
  <si>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</si>
  <si>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</si>
  <si>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</si>
  <si>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</si>
  <si>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</si>
  <si>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</si>
  <si>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</si>
  <si>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</si>
  <si>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</si>
  <si>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</si>
  <si>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</si>
  <si>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</si>
  <si>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</si>
  <si>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</si>
  <si>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</si>
  <si>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</si>
  <si>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</si>
  <si>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</si>
  <si>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</si>
  <si>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</si>
  <si>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</si>
  <si>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</si>
  <si>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</si>
  <si>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</si>
  <si>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</si>
  <si>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</si>
  <si>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</si>
  <si>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</si>
  <si>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</si>
  <si>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</si>
  <si>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</si>
  <si>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</si>
  <si>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</si>
  <si>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</si>
  <si>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</si>
  <si>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</si>
  <si>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</si>
  <si>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</si>
  <si>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</si>
  <si>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</si>
  <si>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</si>
  <si>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</si>
  <si>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</si>
  <si>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</si>
  <si>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</si>
  <si>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</si>
  <si>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</si>
  <si>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</si>
  <si>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</si>
  <si>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</si>
  <si>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</si>
  <si>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</si>
  <si>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</si>
  <si>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</si>
  <si>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</si>
  <si>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</si>
  <si>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</si>
  <si>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</si>
  <si>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</si>
  <si>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</si>
  <si>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</si>
  <si>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</si>
  <si>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</si>
  <si>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</si>
  <si>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</si>
  <si>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</si>
  <si>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</si>
  <si>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</si>
  <si>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</si>
  <si>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</si>
  <si>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</si>
  <si>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</si>
  <si>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</si>
  <si>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</si>
  <si>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</si>
  <si>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</si>
  <si>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</si>
  <si>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</si>
  <si>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</si>
  <si>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</si>
  <si>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</si>
  <si>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</si>
  <si>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</si>
  <si>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</si>
  <si>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</si>
  <si>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</si>
  <si>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</si>
  <si>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</si>
  <si>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</si>
  <si>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</si>
  <si>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</si>
  <si>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</si>
  <si>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</si>
  <si>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</si>
  <si>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</si>
  <si>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</si>
  <si>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</si>
  <si>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</si>
  <si>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</si>
  <si>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</si>
  <si>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</si>
  <si>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</si>
  <si>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</si>
  <si>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</si>
  <si>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</si>
  <si>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</si>
  <si>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</si>
  <si>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</si>
  <si>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</si>
  <si>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</si>
  <si>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</si>
  <si>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</si>
  <si>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</si>
  <si>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</si>
  <si>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</si>
  <si>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</si>
  <si>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</si>
  <si>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</si>
  <si>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</si>
  <si>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</si>
  <si>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</si>
  <si>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</si>
  <si>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</si>
  <si>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</si>
  <si>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</si>
  <si>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</si>
  <si>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</si>
  <si>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</si>
  <si>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</si>
  <si>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</si>
  <si>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</si>
  <si>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</si>
  <si>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</si>
  <si>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</si>
  <si>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</si>
  <si>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</si>
  <si>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</si>
  <si>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</si>
  <si>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</si>
  <si>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</si>
  <si>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</si>
  <si>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</si>
  <si>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</si>
  <si>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</si>
  <si>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</si>
  <si>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</si>
  <si>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</si>
  <si>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</si>
  <si>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</si>
  <si>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</si>
  <si>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</si>
  <si>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</si>
  <si>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</si>
  <si>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</si>
  <si>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</si>
  <si>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</si>
  <si>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</si>
  <si>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</si>
  <si>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</si>
  <si>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</si>
  <si>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</si>
  <si>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</si>
  <si>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</si>
  <si>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</si>
  <si>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</si>
  <si>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</si>
  <si>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</si>
  <si>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</si>
  <si>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</si>
  <si>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</si>
  <si>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</si>
  <si>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</si>
  <si>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</si>
  <si>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</si>
  <si>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</si>
  <si>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</si>
  <si>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</si>
  <si>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</si>
  <si>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</si>
  <si>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</si>
  <si>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</si>
  <si>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</si>
  <si>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</si>
  <si>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</si>
  <si>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</si>
  <si>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</si>
  <si>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</si>
  <si>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</si>
  <si>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</si>
  <si>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</si>
  <si>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</si>
  <si>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</si>
  <si>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</si>
  <si>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</si>
  <si>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</si>
  <si>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</si>
  <si>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</si>
  <si>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</si>
  <si>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</si>
  <si>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</si>
  <si>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</si>
  <si>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</si>
  <si>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</si>
  <si>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</si>
  <si>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</si>
  <si>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</si>
  <si>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</si>
  <si>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</si>
  <si>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</si>
  <si>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</si>
  <si>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</si>
  <si>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</si>
  <si>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</si>
  <si>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</si>
  <si>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</si>
  <si>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</si>
  <si>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</si>
  <si>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</si>
  <si>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</si>
  <si>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</si>
  <si>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</si>
  <si>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</si>
  <si>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</si>
  <si>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</si>
  <si>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</si>
  <si>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</si>
  <si>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</si>
  <si>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</si>
  <si>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</si>
  <si>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</si>
  <si>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</si>
  <si>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</si>
  <si>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</si>
  <si>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</si>
  <si>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</si>
  <si>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</si>
  <si>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</si>
  <si>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</si>
  <si>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</si>
  <si>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</si>
  <si>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</si>
  <si>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</si>
  <si>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</si>
  <si>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</si>
  <si>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</si>
  <si>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</si>
  <si>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</si>
  <si>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</si>
  <si>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</si>
  <si>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</si>
  <si>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</si>
  <si>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</si>
  <si>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</si>
  <si>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</si>
  <si>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</si>
  <si>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</si>
  <si>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</si>
  <si>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</si>
  <si>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</si>
  <si>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</si>
  <si>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</si>
  <si>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</si>
  <si>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</si>
  <si>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</si>
  <si>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</si>
  <si>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</si>
  <si>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</si>
  <si>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</si>
  <si>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</si>
  <si>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</si>
  <si>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</si>
  <si>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</si>
  <si>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</si>
  <si>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</si>
  <si>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</si>
  <si>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</si>
  <si>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</si>
  <si>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</si>
  <si>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</si>
  <si>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</si>
  <si>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</si>
  <si>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</si>
  <si>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</si>
  <si>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</si>
  <si>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</si>
  <si>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</si>
  <si>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</si>
  <si>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</si>
  <si>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</si>
  <si>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</si>
  <si>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</si>
  <si>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</si>
  <si>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</si>
  <si>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</si>
  <si>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</si>
  <si>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</si>
  <si>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</si>
  <si>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</si>
  <si>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</si>
  <si>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</si>
  <si>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</si>
  <si>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</si>
  <si>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</si>
  <si>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</si>
  <si>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</si>
  <si>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</si>
  <si>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</si>
  <si>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</si>
  <si>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</si>
  <si>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</si>
  <si>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</si>
  <si>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</si>
  <si>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</si>
  <si>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</si>
  <si>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</si>
  <si>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</si>
  <si>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</si>
  <si>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</si>
  <si>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</si>
  <si>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</si>
  <si>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</si>
  <si>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</si>
  <si>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</si>
  <si>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</si>
  <si>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</si>
  <si>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</si>
  <si>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</si>
  <si>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</si>
  <si>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</si>
  <si>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</si>
  <si>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</si>
  <si>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</si>
  <si>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</si>
  <si>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</si>
  <si>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</si>
  <si>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</si>
  <si>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</si>
  <si>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</si>
  <si>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</si>
  <si>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</si>
  <si>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</si>
  <si>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</si>
  <si>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</si>
  <si>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</si>
  <si>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</si>
  <si>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</si>
  <si>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</si>
  <si>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</si>
  <si>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</si>
  <si>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</si>
  <si>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</si>
  <si>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</si>
  <si>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</si>
  <si>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</si>
  <si>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</si>
  <si>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</si>
  <si>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</si>
  <si>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</si>
  <si>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</si>
  <si>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</si>
  <si>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</si>
  <si>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</si>
  <si>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</si>
  <si>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</si>
  <si>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</si>
  <si>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</si>
  <si>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</si>
  <si>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</si>
  <si>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</si>
  <si>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</si>
  <si>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</si>
  <si>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</si>
  <si>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</si>
  <si>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</si>
  <si>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</si>
  <si>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</si>
  <si>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</si>
  <si>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</si>
  <si>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</si>
  <si>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</si>
  <si>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</si>
  <si>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</si>
  <si>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</si>
  <si>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</si>
  <si>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</si>
  <si>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</si>
  <si>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</si>
  <si>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</si>
  <si>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</si>
  <si>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</si>
  <si>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</si>
  <si>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</si>
  <si>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</si>
  <si>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</si>
  <si>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</si>
  <si>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</si>
  <si>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</si>
  <si>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</si>
  <si>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</si>
  <si>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</si>
  <si>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</si>
  <si>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</si>
  <si>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</si>
  <si>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</si>
  <si>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</si>
  <si>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</si>
  <si>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</si>
  <si>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</si>
  <si>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</si>
  <si>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</si>
  <si>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</si>
  <si>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</si>
  <si>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</si>
  <si>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</si>
  <si>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</si>
  <si>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</si>
  <si>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</si>
  <si>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</si>
  <si>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</si>
  <si>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</si>
  <si>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</si>
  <si>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</si>
  <si>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</si>
  <si>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</si>
  <si>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</si>
  <si>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</si>
  <si>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</si>
  <si>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</si>
  <si>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</si>
  <si>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</si>
  <si>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</si>
  <si>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</si>
  <si>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</si>
  <si>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</si>
  <si>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</si>
  <si>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</si>
  <si>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</si>
  <si>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</si>
  <si>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</si>
  <si>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</si>
  <si>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</si>
  <si>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</si>
  <si>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</si>
  <si>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</si>
  <si>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</si>
  <si>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</si>
  <si>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</si>
  <si>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</si>
  <si>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</si>
  <si>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</si>
  <si>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</si>
  <si>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</si>
  <si>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</si>
  <si>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</si>
  <si>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</si>
  <si>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</si>
  <si>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</si>
  <si>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</si>
  <si>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</si>
  <si>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</si>
  <si>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</si>
  <si>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</si>
  <si>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</si>
  <si>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</si>
  <si>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</si>
  <si>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</si>
  <si>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</si>
  <si>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</si>
  <si>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</si>
  <si>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</si>
  <si>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</si>
  <si>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</si>
  <si>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</si>
  <si>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</si>
  <si>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</si>
  <si>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</si>
  <si>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</si>
  <si>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</si>
  <si>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</si>
  <si>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</si>
  <si>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</si>
  <si>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</si>
  <si>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</si>
  <si>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</si>
  <si>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</si>
  <si>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</si>
  <si>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</si>
  <si>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</si>
  <si>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</si>
  <si>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</si>
  <si>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</si>
  <si>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</si>
  <si>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</si>
  <si>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</si>
  <si>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</si>
  <si>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</si>
  <si>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</si>
  <si>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</si>
  <si>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</si>
  <si>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</si>
  <si>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</si>
  <si>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</si>
  <si>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</si>
  <si>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</si>
  <si>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</si>
  <si>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</si>
  <si>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</si>
  <si>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</si>
  <si>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</si>
  <si>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</si>
  <si>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</si>
  <si>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</si>
  <si>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</si>
  <si>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</si>
  <si>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</si>
  <si>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</si>
  <si>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</si>
  <si>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</si>
  <si>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</si>
  <si>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</si>
  <si>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</si>
  <si>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</si>
  <si>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</si>
  <si>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</si>
  <si>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</si>
  <si>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</si>
  <si>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</si>
  <si>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</si>
  <si>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</si>
  <si>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</si>
  <si>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</si>
  <si>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</si>
  <si>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</si>
  <si>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</si>
  <si>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</si>
  <si>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</si>
  <si>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</si>
  <si>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</si>
  <si>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</si>
  <si>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</si>
  <si>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</si>
  <si>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</si>
  <si>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</si>
  <si>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</si>
  <si>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</si>
  <si>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</si>
  <si>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</si>
  <si>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</si>
  <si>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</si>
  <si>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</si>
  <si>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</si>
  <si>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</si>
  <si>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</si>
  <si>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</si>
  <si>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</si>
  <si>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</si>
  <si>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</si>
  <si>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</si>
  <si>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</si>
  <si>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</si>
  <si>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</si>
  <si>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</si>
  <si>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</si>
  <si>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</si>
  <si>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</si>
  <si>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</si>
  <si>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</si>
  <si>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</si>
  <si>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</si>
  <si>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</si>
  <si>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</si>
  <si>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</si>
  <si>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</si>
  <si>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</si>
  <si>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</si>
  <si>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</si>
  <si>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</si>
  <si>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</si>
  <si>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</si>
  <si>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</si>
  <si>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</si>
  <si>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</si>
  <si>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</si>
  <si>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</si>
  <si>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</si>
  <si>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</si>
  <si>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</si>
  <si>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</si>
  <si>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</si>
  <si>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</si>
  <si>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</si>
  <si>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</si>
  <si>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</si>
  <si>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</si>
  <si>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</si>
  <si>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</si>
  <si>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</si>
  <si>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</si>
  <si>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</si>
  <si>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</si>
  <si>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</si>
  <si>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</si>
  <si>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</si>
  <si>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</si>
  <si>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</si>
  <si>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</si>
  <si>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</si>
  <si>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</si>
  <si>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</si>
  <si>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</si>
  <si>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</si>
  <si>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</si>
  <si>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</si>
  <si>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</si>
  <si>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</si>
  <si>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</si>
  <si>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</si>
  <si>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</si>
  <si>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</si>
  <si>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</si>
  <si>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</si>
  <si>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</si>
  <si>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</si>
  <si>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</si>
  <si>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</si>
  <si>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</si>
  <si>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</si>
  <si>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</si>
  <si>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</si>
  <si>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</si>
  <si>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</si>
  <si>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</si>
  <si>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</si>
  <si>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</si>
  <si>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</si>
  <si>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</si>
  <si>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</si>
  <si>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</si>
  <si>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</si>
  <si>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</si>
  <si>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</si>
  <si>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</si>
  <si>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</si>
  <si>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</si>
  <si>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</si>
  <si>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</si>
  <si>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</si>
  <si>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</si>
  <si>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</si>
  <si>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</si>
  <si>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</si>
  <si>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</si>
  <si>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</si>
  <si>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</si>
  <si>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</si>
  <si>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</si>
  <si>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</si>
  <si>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</si>
  <si>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</si>
  <si>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</si>
  <si>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</si>
  <si>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</si>
  <si>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</si>
  <si>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</si>
  <si>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</si>
  <si>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</si>
  <si>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</si>
  <si>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</si>
  <si>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</si>
  <si>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</si>
  <si>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</si>
  <si>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</si>
  <si>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</si>
  <si>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</si>
  <si>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</si>
  <si>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</si>
  <si>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</si>
  <si>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</si>
  <si>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</si>
  <si>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</si>
  <si>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</si>
  <si>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</si>
  <si>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</si>
  <si>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</si>
  <si>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</si>
  <si>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</si>
  <si>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</si>
  <si>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</si>
  <si>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</si>
  <si>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</si>
  <si>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</si>
  <si>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</si>
  <si>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</si>
  <si>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</si>
  <si>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</si>
  <si>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</si>
  <si>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</si>
  <si>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</si>
  <si>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</si>
  <si>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</si>
  <si>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</si>
  <si>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</si>
  <si>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</si>
  <si>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</si>
  <si>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</si>
  <si>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</si>
  <si>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</si>
  <si>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</si>
  <si>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</si>
  <si>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</si>
  <si>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</si>
  <si>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</si>
  <si>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</si>
  <si>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</si>
  <si>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</si>
  <si>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</si>
  <si>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</si>
  <si>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</si>
  <si>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</si>
  <si>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</si>
  <si>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</si>
  <si>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</si>
  <si>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</si>
  <si>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</si>
  <si>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</si>
  <si>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</si>
  <si>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</si>
  <si>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</si>
  <si>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</si>
  <si>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</si>
  <si>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</si>
  <si>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</si>
  <si>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</si>
  <si>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</si>
  <si>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</si>
  <si>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</si>
  <si>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</si>
  <si>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</si>
  <si>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</si>
  <si>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</si>
  <si>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</si>
  <si>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</si>
  <si>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</si>
  <si>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</si>
  <si>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</si>
  <si>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</si>
  <si>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</si>
  <si>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</si>
  <si>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</si>
  <si>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</si>
  <si>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</si>
  <si>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</si>
  <si>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</si>
  <si>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</si>
  <si>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</si>
  <si>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</si>
  <si>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</si>
  <si>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</si>
  <si>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</si>
  <si>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</si>
  <si>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</si>
  <si>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</si>
  <si>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</si>
  <si>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</si>
  <si>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</si>
  <si>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</si>
  <si>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</si>
  <si>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</si>
  <si>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</si>
  <si>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</si>
  <si>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</si>
  <si>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</si>
  <si>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</si>
  <si>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</si>
  <si>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</si>
  <si>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</si>
  <si>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</si>
  <si>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</si>
  <si>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</si>
  <si>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</si>
  <si>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</si>
  <si>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</si>
  <si>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</si>
  <si>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</si>
  <si>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</si>
  <si>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</si>
  <si>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</si>
  <si>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</si>
  <si>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</si>
  <si>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</si>
  <si>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</si>
  <si>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</si>
  <si>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</si>
  <si>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</si>
  <si>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</si>
  <si>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</si>
  <si>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</si>
  <si>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工程进度</t>
  </si>
  <si>
    <t>已全部缴纳</t>
  </si>
  <si>
    <t>在建</t>
  </si>
  <si>
    <t>假设开发法</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</si>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</sst>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10" applyFont="1" applyBorder="1" applyAlignment="1">
      <alignment horizontal="center" vertical="center"/>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protection locked="0"/>
    </xf>
    <xf numFmtId="0" fontId="46" fillId="5" borderId="15"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2020年12月1日（评估专业人员实地查勘之日）</v>
      </c>
    </row>
    <row r="13" spans="1:2" s="1366" customFormat="1">
      <c r="A13" s="1364" t="s">
        <v>1194</v>
      </c>
      <c r="B13" s="1365"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本次评估采用的主估价方法为成本法和假设开发法。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86117</v>
      </c>
    </row>
    <row r="21" spans="1:2" s="1366" customFormat="1">
      <c r="A21" s="1364" t="s">
        <v>1202</v>
      </c>
      <c r="B21" s="1365">
        <f ca="1">'预评函-2'!D7</f>
        <v>6015</v>
      </c>
    </row>
    <row r="22" spans="1:2" s="1366" customFormat="1">
      <c r="A22" s="1364" t="s">
        <v>1203</v>
      </c>
      <c r="B22" s="1365" t="str">
        <f ca="1">'预评函-2'!D6</f>
        <v>捌亿陆仟壹佰壹拾柒万元整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86117</v>
      </c>
    </row>
    <row r="31" spans="1:2" s="1366" customFormat="1">
      <c r="A31" s="1364" t="s">
        <v>1241</v>
      </c>
      <c r="B31" s="1365">
        <f ca="1">'预评函-2'!D15</f>
        <v>6015</v>
      </c>
    </row>
    <row r="32" spans="1:2" s="1366" customFormat="1">
      <c r="A32" s="1364" t="s">
        <v>1208</v>
      </c>
      <c r="B32" s="1365" t="str">
        <f ca="1">'预评函-2'!D14</f>
        <v>捌亿陆仟壹佰壹拾柒万元整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北京市房山区琉璃河镇中心区E-07地块1#综合厂房等3项、2#厂房等18项（中粮科技园标准厂房及配套附属设施建设项目）出让国有建设用地使用权及在建建筑物房地产</v>
      </c>
    </row>
    <row r="42" spans="1:2" s="1366" customFormat="1">
      <c r="A42" s="1364" t="s">
        <v>1255</v>
      </c>
      <c r="B42" s="1365" t="str">
        <f>'预评函-3'!B2</f>
        <v>建筑面积</v>
      </c>
    </row>
    <row r="43" spans="1:2" s="1366" customFormat="1">
      <c r="A43" s="1364" t="s">
        <v>1256</v>
      </c>
      <c r="B43" s="1365">
        <f>'预评函-3'!B4</f>
        <v>143180.50000000003</v>
      </c>
    </row>
    <row r="44" spans="1:2" s="1366" customFormat="1">
      <c r="A44" s="1364" t="s">
        <v>1240</v>
      </c>
      <c r="B44" s="1365" t="str">
        <f>'预评函-3'!C2</f>
        <v>(分摊)土地面积</v>
      </c>
    </row>
    <row r="45" spans="1:2" s="1366" customFormat="1">
      <c r="A45" s="1364" t="s">
        <v>1212</v>
      </c>
      <c r="B45" s="1365">
        <f>'预评函-3'!C4</f>
        <v>68983.08</v>
      </c>
    </row>
    <row r="46" spans="1:2" s="1366" customFormat="1">
      <c r="A46" s="1364" t="s">
        <v>1238</v>
      </c>
      <c r="B46" s="1365" t="str">
        <f>'预评函-3'!D2</f>
        <v>出让国有建设用地使用权价值</v>
      </c>
    </row>
    <row r="47" spans="1:2" s="1366" customFormat="1">
      <c r="A47" s="1364" t="s">
        <v>1213</v>
      </c>
      <c r="B47" s="1365">
        <f ca="1">'预评函-3'!D4</f>
        <v>21615</v>
      </c>
    </row>
    <row r="48" spans="1:2" s="1366" customFormat="1">
      <c r="A48" s="1364" t="s">
        <v>1214</v>
      </c>
      <c r="B48" s="1365">
        <f ca="1">'预评函-3'!E4</f>
        <v>1510</v>
      </c>
    </row>
    <row r="49" spans="1:2" s="1366" customFormat="1">
      <c r="A49" s="1364" t="s">
        <v>1215</v>
      </c>
      <c r="B49" s="1365" t="str">
        <f ca="1">'预评函-3'!D5</f>
        <v>贰亿壹仟陆佰壹拾伍万元整</v>
      </c>
    </row>
    <row r="50" spans="1:2" s="1366" customFormat="1">
      <c r="A50" s="1364" t="s">
        <v>1239</v>
      </c>
      <c r="B50" s="1365" t="str">
        <f>'预评函-3'!F2</f>
        <v>在建建筑物价值</v>
      </c>
    </row>
    <row r="51" spans="1:2" s="1366" customFormat="1">
      <c r="A51" s="1364" t="s">
        <v>1216</v>
      </c>
      <c r="B51" s="1365">
        <f ca="1">'预评函-3'!F4</f>
        <v>64502</v>
      </c>
    </row>
    <row r="52" spans="1:2" s="1366" customFormat="1">
      <c r="A52" s="1364" t="s">
        <v>1217</v>
      </c>
      <c r="B52" s="1365">
        <f ca="1">'预评函-3'!G4</f>
        <v>4505</v>
      </c>
    </row>
    <row r="53" spans="1:2" s="1366" customFormat="1">
      <c r="A53" s="1364" t="s">
        <v>1245</v>
      </c>
      <c r="B53" s="1365" t="str">
        <f ca="1">'预评函-3'!F5</f>
        <v>陆亿肆仟伍佰零贰万元整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6" customFormat="1">
      <c r="A67" s="1364" t="s">
        <v>1236</v>
      </c>
      <c r="B67" s="13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3047</v>
      </c>
      <c r="C17" s="1735"/>
    </row>
    <row r="18" spans="1:3">
      <c r="A18" s="1734" t="s">
        <v>1732</v>
      </c>
      <c r="B18" s="1737" t="s">
        <v>3291</v>
      </c>
      <c r="C18" s="1735"/>
    </row>
    <row r="19" spans="1:3">
      <c r="A19" s="1734" t="s">
        <v>1733</v>
      </c>
      <c r="B19" s="1737" t="s">
        <v>3293</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68"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8"/>
      <c r="B54" s="1742" t="s">
        <v>832</v>
      </c>
      <c r="C54" s="1739" t="s">
        <v>1248</v>
      </c>
    </row>
    <row r="55" spans="1:4">
      <c r="A55" s="3168"/>
      <c r="B55" s="1742" t="s">
        <v>833</v>
      </c>
      <c r="C55" s="1739" t="s">
        <v>1249</v>
      </c>
    </row>
    <row r="56" spans="1:4">
      <c r="A56" s="3168"/>
      <c r="B56" s="1742" t="s">
        <v>834</v>
      </c>
      <c r="C56" s="1739" t="s">
        <v>1253</v>
      </c>
    </row>
    <row r="57" spans="1:4">
      <c r="A57" s="3168"/>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1" sqref="F51"/>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2922</v>
      </c>
      <c r="B1" s="3169"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170"/>
      <c r="D1" s="3170"/>
      <c r="E1" s="3170"/>
      <c r="F1" s="3170"/>
      <c r="G1" s="3170"/>
      <c r="H1" s="3170"/>
      <c r="I1" s="3171"/>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c r="T1" s="1933"/>
      <c r="U1" s="1933"/>
      <c r="V1" s="1933"/>
      <c r="W1" s="1933"/>
      <c r="X1" s="1933"/>
      <c r="Y1" s="1933"/>
      <c r="Z1" s="1933"/>
      <c r="AA1" s="1933"/>
      <c r="AB1" s="1933"/>
    </row>
    <row r="2" spans="1:28">
      <c r="A2" s="2593" t="s">
        <v>2923</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c r="T2" s="1933"/>
      <c r="U2" s="1933"/>
      <c r="V2" s="1933"/>
      <c r="W2" s="1933"/>
      <c r="X2" s="1933"/>
      <c r="Y2" s="1933"/>
      <c r="Z2" s="1933"/>
      <c r="AA2" s="1933"/>
      <c r="AB2" s="1933"/>
    </row>
    <row r="3" spans="1:28">
      <c r="A3" s="311" t="s">
        <v>2924</v>
      </c>
      <c r="B3" s="2599">
        <v>44166</v>
      </c>
      <c r="C3" s="2600" t="s">
        <v>2925</v>
      </c>
      <c r="D3" s="2599">
        <f>B3</f>
        <v>44166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2926</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2927</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2928</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2929</v>
      </c>
      <c r="B7" s="3072" t="s">
        <v>3221</v>
      </c>
      <c r="C7" s="2611"/>
      <c r="D7" s="2612"/>
      <c r="E7" s="2887"/>
      <c r="F7" s="2889"/>
      <c r="G7" s="2889"/>
      <c r="H7" s="2889"/>
      <c r="I7" s="2889"/>
      <c r="J7" s="2663"/>
      <c r="K7" s="2840"/>
      <c r="L7" s="2837"/>
      <c r="M7" s="2837"/>
      <c r="N7" s="2663"/>
      <c r="O7" s="2674"/>
      <c r="P7" s="2663"/>
      <c r="Q7" s="2663"/>
      <c r="R7" s="2663"/>
    </row>
    <row r="8" spans="1:28">
      <c r="A8" s="2613" t="s">
        <v>2930</v>
      </c>
      <c r="B8" s="2614" t="s">
        <v>3237</v>
      </c>
      <c r="C8" s="2615"/>
      <c r="D8" s="3172" t="s">
        <v>2931</v>
      </c>
      <c r="E8" s="2616" t="s">
        <v>3238</v>
      </c>
      <c r="F8" s="2617"/>
      <c r="G8" s="2888"/>
      <c r="H8" s="2888"/>
      <c r="I8" s="2888"/>
      <c r="J8" s="2663"/>
      <c r="K8" s="2838"/>
      <c r="L8" s="2837"/>
      <c r="M8" s="2837"/>
      <c r="N8" s="2663"/>
      <c r="O8" s="2674"/>
      <c r="P8" s="2663"/>
      <c r="Q8" s="2663"/>
      <c r="R8" s="2663"/>
    </row>
    <row r="9" spans="1:28" ht="13.5" thickBot="1">
      <c r="A9" s="2618" t="s">
        <v>2932</v>
      </c>
      <c r="B9" s="2619" t="s">
        <v>3238</v>
      </c>
      <c r="C9" s="2620"/>
      <c r="D9" s="3173"/>
      <c r="E9" s="2619" t="s">
        <v>70</v>
      </c>
      <c r="F9" s="2621"/>
      <c r="G9" s="2890"/>
      <c r="H9" s="2890"/>
      <c r="I9" s="2890"/>
      <c r="J9" s="2663"/>
      <c r="K9" s="2840"/>
      <c r="L9" s="2837"/>
      <c r="M9" s="2837"/>
      <c r="N9" s="2663"/>
      <c r="O9" s="2674"/>
      <c r="P9" s="2663"/>
      <c r="Q9" s="2663"/>
      <c r="R9" s="2663"/>
    </row>
    <row r="10" spans="1:28" ht="13.5" thickTop="1">
      <c r="A10" s="2622" t="s">
        <v>2933</v>
      </c>
      <c r="B10" s="2623" t="s">
        <v>3236</v>
      </c>
      <c r="C10" s="2624"/>
      <c r="D10" s="2608"/>
      <c r="E10" s="2625" t="s">
        <v>2934</v>
      </c>
      <c r="F10" s="3079" t="s">
        <v>3235</v>
      </c>
      <c r="G10" s="2891"/>
      <c r="H10" s="2892"/>
      <c r="I10" s="2893"/>
      <c r="J10" s="2663"/>
      <c r="K10" s="2840"/>
      <c r="L10" s="2837"/>
      <c r="M10" s="2837"/>
      <c r="N10" s="2663"/>
      <c r="O10" s="2674"/>
      <c r="P10" s="2663"/>
      <c r="Q10" s="2663"/>
      <c r="R10" s="2663"/>
    </row>
    <row r="11" spans="1:28" ht="36">
      <c r="A11" s="2626" t="s">
        <v>2935</v>
      </c>
      <c r="B11" s="2627" t="s">
        <v>3239</v>
      </c>
      <c r="C11" s="3080" t="s">
        <v>3240</v>
      </c>
      <c r="D11" s="2628"/>
      <c r="E11" s="2596"/>
      <c r="F11" s="2596"/>
      <c r="G11" s="2596"/>
      <c r="H11" s="2596"/>
      <c r="I11" s="2596"/>
      <c r="J11" s="2663"/>
      <c r="K11" s="2840"/>
      <c r="L11" s="2837"/>
      <c r="M11" s="2837"/>
      <c r="N11" s="2663"/>
      <c r="O11" s="2674"/>
      <c r="P11" s="2663"/>
      <c r="Q11" s="2663"/>
      <c r="R11" s="2663"/>
    </row>
    <row r="12" spans="1:28">
      <c r="A12" s="2629" t="s">
        <v>2936</v>
      </c>
      <c r="B12" s="2627" t="s">
        <v>3241</v>
      </c>
      <c r="C12" s="332" t="s">
        <v>2937</v>
      </c>
      <c r="D12" s="2630" t="s">
        <v>2938</v>
      </c>
      <c r="E12" s="2630" t="s">
        <v>2939</v>
      </c>
      <c r="F12" s="2630" t="s">
        <v>2940</v>
      </c>
      <c r="G12" s="2630" t="s">
        <v>2941</v>
      </c>
      <c r="H12" s="2630" t="s">
        <v>2942</v>
      </c>
      <c r="I12" s="2630" t="s">
        <v>2943</v>
      </c>
      <c r="J12" s="2663"/>
      <c r="K12" s="2840"/>
      <c r="L12" s="2837"/>
      <c r="M12" s="2837"/>
      <c r="N12" s="2663"/>
      <c r="O12" s="2674"/>
      <c r="P12" s="2663"/>
      <c r="Q12" s="2663"/>
      <c r="R12" s="2663"/>
    </row>
    <row r="13" spans="1:28" ht="15">
      <c r="A13" s="1243"/>
      <c r="B13" s="2631"/>
      <c r="C13" s="2632" t="s">
        <v>2944</v>
      </c>
      <c r="D13" s="967"/>
      <c r="E13" s="967"/>
      <c r="F13" s="967"/>
      <c r="G13" s="3081">
        <v>59926</v>
      </c>
      <c r="H13" s="3081"/>
      <c r="I13" s="967">
        <v>59926</v>
      </c>
      <c r="J13" s="2663"/>
      <c r="K13" s="2840"/>
      <c r="L13" s="2837"/>
      <c r="M13" s="2837"/>
      <c r="N13" s="2663"/>
      <c r="O13" s="2674"/>
      <c r="P13" s="2663"/>
      <c r="Q13" s="2663"/>
      <c r="R13" s="2663"/>
    </row>
    <row r="14" spans="1:28">
      <c r="A14" s="1243"/>
      <c r="B14" s="2631"/>
      <c r="C14" s="2632" t="s">
        <v>2945</v>
      </c>
      <c r="D14" s="2633"/>
      <c r="E14" s="2633"/>
      <c r="F14" s="2633"/>
      <c r="G14" s="2633">
        <v>50</v>
      </c>
      <c r="H14" s="2633"/>
      <c r="I14" s="2633">
        <v>50</v>
      </c>
      <c r="J14" s="2663"/>
      <c r="K14" s="2841"/>
      <c r="L14" s="2837"/>
      <c r="M14" s="2837"/>
      <c r="N14" s="2663"/>
      <c r="O14" s="2674"/>
      <c r="P14" s="2663"/>
      <c r="Q14" s="2663"/>
      <c r="R14" s="2663"/>
    </row>
    <row r="15" spans="1:28">
      <c r="A15" s="329"/>
      <c r="B15" s="2634"/>
      <c r="C15" s="2635" t="s">
        <v>2946</v>
      </c>
      <c r="D15" s="2636" t="str">
        <f>IF(B12="出让",IF(D13="","",ROUNDDOWN(MIN((D13-$D$3)/365,D14),2)),D14)</f>
        <v/>
      </c>
      <c r="E15" s="2636" t="str">
        <f>IF(B12="出让",IF(E13="","",ROUNDDOWN(MIN((E13-$D$3)/365,E14),2)),E14)</f>
        <v/>
      </c>
      <c r="F15" s="2636" t="str">
        <f>IF(B12="出让",IF(F13="","",ROUNDDOWN(MIN((F13-$D$3)/365,F14),2)),F14)</f>
        <v/>
      </c>
      <c r="G15" s="2636">
        <f>IF(B12="出让",IF(G13="","",ROUNDDOWN(MIN((G13-$D$3)/365,G14),2)),G14)</f>
        <v>43.17</v>
      </c>
      <c r="H15" s="2636" t="str">
        <f>IF(B12="出让",IF(H13="","",ROUNDDOWN(MIN((H13-$D$3)/365,H14),2)),H14)</f>
        <v/>
      </c>
      <c r="I15" s="2636">
        <f>IF(B12="出让",IF(I13="","",ROUNDDOWN(MIN((I13-$D$3)/365,I14),2)),I14)</f>
        <v>43.17</v>
      </c>
      <c r="J15" s="2663"/>
      <c r="K15" s="2842"/>
      <c r="L15" s="2675"/>
      <c r="M15" s="2675"/>
      <c r="N15" s="2733"/>
      <c r="O15" s="2675"/>
      <c r="P15" s="2733"/>
      <c r="Q15" s="2663"/>
      <c r="R15" s="2663"/>
    </row>
    <row r="16" spans="1:28">
      <c r="A16" s="2625" t="s">
        <v>2947</v>
      </c>
      <c r="B16" s="3179"/>
      <c r="C16" s="3180"/>
      <c r="D16" s="3181"/>
      <c r="E16" s="2639" t="s">
        <v>2948</v>
      </c>
      <c r="F16" s="3182"/>
      <c r="G16" s="3183"/>
      <c r="H16" s="3183"/>
      <c r="I16" s="3184"/>
      <c r="J16" s="2663"/>
      <c r="K16" s="2842"/>
      <c r="L16" s="2675"/>
      <c r="M16" s="2675"/>
      <c r="N16" s="2733"/>
      <c r="O16" s="2675"/>
      <c r="P16" s="2733"/>
      <c r="Q16" s="2663"/>
      <c r="R16" s="2663"/>
    </row>
    <row r="17" spans="1:28">
      <c r="A17" s="322" t="s">
        <v>2949</v>
      </c>
      <c r="B17" s="311" t="s">
        <v>2950</v>
      </c>
      <c r="C17" s="11">
        <f>'数据-汇总表'!E3</f>
        <v>143180.50000000003</v>
      </c>
      <c r="D17" s="2547" t="s">
        <v>2951</v>
      </c>
      <c r="E17" s="3185" t="s">
        <v>2952</v>
      </c>
      <c r="F17" s="3186"/>
      <c r="G17" s="3186"/>
      <c r="H17" s="3186"/>
      <c r="I17" s="3187"/>
      <c r="J17" s="2663"/>
      <c r="K17" s="2843"/>
      <c r="L17" s="2675"/>
      <c r="M17" s="2675"/>
      <c r="N17" s="2733"/>
      <c r="O17" s="2675"/>
      <c r="P17" s="2733"/>
      <c r="Q17" s="2663"/>
      <c r="R17" s="2663"/>
      <c r="S17" s="2663"/>
      <c r="T17" s="2663"/>
      <c r="U17" s="2663"/>
      <c r="V17" s="2663"/>
    </row>
    <row r="18" spans="1:28" ht="24.75" thickBot="1">
      <c r="A18" s="2640" t="s">
        <v>2953</v>
      </c>
      <c r="B18" s="1252" t="s">
        <v>2954</v>
      </c>
      <c r="C18" s="2641">
        <f>'数据-汇总表'!D3</f>
        <v>68983.08</v>
      </c>
      <c r="D18" s="1254" t="s">
        <v>2955</v>
      </c>
      <c r="E18" s="3188" t="s">
        <v>2956</v>
      </c>
      <c r="F18" s="3189"/>
      <c r="G18" s="3189"/>
      <c r="H18" s="3189"/>
      <c r="I18" s="3190"/>
      <c r="J18" s="2663"/>
      <c r="K18" s="2843"/>
      <c r="L18" s="2675"/>
      <c r="M18" s="2675"/>
      <c r="N18" s="2733"/>
      <c r="O18" s="2675"/>
      <c r="P18" s="2733"/>
      <c r="Q18" s="2663"/>
      <c r="R18" s="2663"/>
      <c r="S18" s="2663"/>
      <c r="T18" s="2663"/>
      <c r="U18" s="2663"/>
      <c r="V18" s="2663"/>
    </row>
    <row r="19" spans="1:28" ht="39.75" thickTop="1" thickBot="1">
      <c r="A19" s="336" t="s">
        <v>1741</v>
      </c>
      <c r="B19" s="316" t="s">
        <v>2957</v>
      </c>
      <c r="C19" s="1751" t="s">
        <v>3242</v>
      </c>
      <c r="D19" s="1752" t="s">
        <v>2958</v>
      </c>
      <c r="E19" s="1753" t="s">
        <v>3243</v>
      </c>
      <c r="F19" s="1754" t="str">
        <f>IF(AND(C19="是",E19="否"),"是否提供他项权证或相关说明","")</f>
        <v>是否提供他项权证或相关说明</v>
      </c>
      <c r="G19" s="1755" t="s">
        <v>3243</v>
      </c>
      <c r="H19" s="2889"/>
      <c r="I19" s="2889"/>
      <c r="J19" s="2663"/>
      <c r="K19" s="2840"/>
      <c r="L19" s="2837"/>
      <c r="M19" s="2837"/>
      <c r="N19" s="2733"/>
      <c r="O19" s="2675"/>
      <c r="P19" s="2733"/>
      <c r="Q19" s="2663"/>
      <c r="R19" s="2663"/>
      <c r="S19" s="2663"/>
      <c r="T19" s="2663"/>
      <c r="U19" s="2663"/>
      <c r="V19" s="2663"/>
    </row>
    <row r="20" spans="1:28">
      <c r="A20" s="2857" t="s">
        <v>2959</v>
      </c>
      <c r="B20" s="3175" t="s">
        <v>2960</v>
      </c>
      <c r="C20" s="3176"/>
      <c r="D20" s="3177" t="s">
        <v>2961</v>
      </c>
      <c r="E20" s="3178"/>
      <c r="F20" s="2872" t="s">
        <v>1742</v>
      </c>
      <c r="G20" s="2889"/>
      <c r="H20" s="2889"/>
      <c r="I20" s="2889"/>
      <c r="J20" s="2663"/>
      <c r="K20" s="3174" t="s">
        <v>2962</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2963</v>
      </c>
      <c r="C21" s="2859" t="s">
        <v>1743</v>
      </c>
      <c r="D21" s="1756" t="s">
        <v>2964</v>
      </c>
      <c r="E21" s="2860" t="s">
        <v>1743</v>
      </c>
      <c r="F21" s="2873"/>
      <c r="G21" s="2889"/>
      <c r="H21" s="2889"/>
      <c r="I21" s="2889"/>
      <c r="J21" s="2663"/>
      <c r="K21" s="3174"/>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2965</v>
      </c>
      <c r="C22" s="2859" t="s">
        <v>1744</v>
      </c>
      <c r="D22" s="2888"/>
      <c r="E22" s="2888"/>
      <c r="F22" s="2888"/>
      <c r="G22" s="2889"/>
      <c r="H22" s="2889"/>
      <c r="I22" s="2889"/>
      <c r="J22" s="2663"/>
      <c r="K22" s="3174"/>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2966</v>
      </c>
      <c r="B23" s="2726" t="s">
        <v>2967</v>
      </c>
      <c r="C23" s="2863"/>
      <c r="D23" s="2864" t="s">
        <v>2967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2" t="s">
        <v>2968</v>
      </c>
      <c r="B27" s="329" t="s">
        <v>2969</v>
      </c>
      <c r="C27" s="2642" t="s">
        <v>3450</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92"/>
      <c r="B28" s="311" t="s">
        <v>2970</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92"/>
      <c r="B29" s="311" t="s">
        <v>2971</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93"/>
      <c r="B30" s="311" t="s">
        <v>2972</v>
      </c>
      <c r="C30" s="3194"/>
      <c r="D30" s="3195"/>
      <c r="E30" s="2889"/>
      <c r="F30" s="2889"/>
      <c r="G30" s="2889"/>
      <c r="H30" s="2889"/>
      <c r="I30" s="2889"/>
      <c r="J30" s="2663"/>
      <c r="K30" s="2840"/>
      <c r="L30" s="2837"/>
      <c r="M30" s="2837"/>
      <c r="N30" s="2663"/>
      <c r="O30" s="2674"/>
      <c r="P30" s="2663"/>
      <c r="Q30" s="2663"/>
      <c r="R30" s="2663"/>
      <c r="S30" s="2663"/>
      <c r="T30" s="2663"/>
      <c r="U30" s="2663"/>
      <c r="V30" s="2663"/>
    </row>
    <row r="31" spans="1:28">
      <c r="A31" s="3196" t="s">
        <v>2973</v>
      </c>
      <c r="B31" s="2648" t="s">
        <v>3423</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97"/>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97"/>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2974</v>
      </c>
      <c r="B34" s="3084" t="s">
        <v>3244</v>
      </c>
      <c r="C34" s="3084" t="s">
        <v>3245</v>
      </c>
      <c r="D34" s="3084" t="s">
        <v>3246</v>
      </c>
      <c r="E34" s="3084" t="s">
        <v>3247</v>
      </c>
      <c r="F34" s="3084" t="s">
        <v>3248</v>
      </c>
      <c r="G34" s="3084" t="s">
        <v>3249</v>
      </c>
      <c r="H34" s="3084" t="s">
        <v>3250</v>
      </c>
      <c r="I34" s="2889"/>
      <c r="J34" s="2663"/>
      <c r="K34" s="2653">
        <f>COUNTIF(B34:H34,"——")</f>
        <v>0</v>
      </c>
      <c r="L34" s="332" t="s">
        <v>2975</v>
      </c>
      <c r="M34" s="332" t="s">
        <v>2976</v>
      </c>
      <c r="N34" s="332" t="s">
        <v>2977</v>
      </c>
      <c r="O34" s="332" t="s">
        <v>2978</v>
      </c>
      <c r="P34" s="332" t="s">
        <v>2979</v>
      </c>
      <c r="Q34" s="332" t="s">
        <v>2980</v>
      </c>
      <c r="R34" s="332" t="s">
        <v>2981</v>
      </c>
      <c r="S34" s="3191" t="s">
        <v>2982</v>
      </c>
      <c r="T34" s="2654" t="str">
        <f>NUMBERSTRING(7-K34,1)&amp;"通"</f>
        <v>七通</v>
      </c>
      <c r="U34" s="2663"/>
      <c r="V34" s="2663"/>
    </row>
    <row r="35" spans="1:30">
      <c r="A35" s="2655"/>
      <c r="B35" s="3198" t="s">
        <v>2983</v>
      </c>
      <c r="C35" s="3198"/>
      <c r="D35" s="3198"/>
      <c r="E35" s="3198"/>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91"/>
      <c r="T35" s="338" t="str">
        <f>IF(T34="一通",L35,IF(T34="二通",M35,IF(T34="三通",N35,IF(T34="四通",O35,IF(T34="五通",P35,IF(T34="六通",Q35,R35))))))</f>
        <v>通路、通电、通讯、通上水、通下水、通热、燃气</v>
      </c>
      <c r="U35" s="2663"/>
      <c r="V35" s="2663"/>
    </row>
    <row r="36" spans="1:30">
      <c r="A36" s="2656"/>
      <c r="B36" s="676" t="s">
        <v>2939</v>
      </c>
      <c r="C36" s="676" t="s">
        <v>2940</v>
      </c>
      <c r="D36" s="676" t="s">
        <v>2938</v>
      </c>
      <c r="E36" s="676" t="s">
        <v>2943</v>
      </c>
      <c r="F36" s="2894"/>
      <c r="G36" s="2889"/>
      <c r="H36" s="2889"/>
      <c r="I36" s="2889"/>
      <c r="J36" s="2663"/>
      <c r="K36" s="2840"/>
      <c r="L36" s="2837"/>
      <c r="M36" s="2837"/>
      <c r="N36" s="2663"/>
      <c r="O36" s="2674"/>
      <c r="P36" s="2663"/>
      <c r="Q36" s="2663"/>
      <c r="R36" s="2663"/>
      <c r="S36" s="2663"/>
      <c r="T36" s="2663"/>
      <c r="U36" s="2663"/>
      <c r="V36" s="2663"/>
    </row>
    <row r="37" spans="1:30" ht="15">
      <c r="A37" s="2855" t="s">
        <v>2984</v>
      </c>
      <c r="B37" s="3082" t="s">
        <v>534</v>
      </c>
      <c r="C37" s="3082" t="s">
        <v>534</v>
      </c>
      <c r="D37" s="3082" t="s">
        <v>534</v>
      </c>
      <c r="E37" s="3082"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2985</v>
      </c>
      <c r="B38" s="3083" t="s">
        <v>234</v>
      </c>
      <c r="C38" s="3083" t="s">
        <v>234</v>
      </c>
      <c r="D38" s="3083" t="s">
        <v>234</v>
      </c>
      <c r="E38" s="3083"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2987</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2988</v>
      </c>
      <c r="B42" s="11" t="s">
        <v>2989</v>
      </c>
      <c r="C42" s="11" t="s">
        <v>2990</v>
      </c>
      <c r="D42" s="11" t="s">
        <v>2991</v>
      </c>
      <c r="E42" s="11" t="s">
        <v>2992</v>
      </c>
      <c r="F42" s="11" t="s">
        <v>2993</v>
      </c>
      <c r="G42" s="11" t="s">
        <v>2994</v>
      </c>
      <c r="H42" s="11" t="s">
        <v>2995</v>
      </c>
      <c r="I42" s="11" t="s">
        <v>2996</v>
      </c>
      <c r="J42" s="2851" t="s">
        <v>2997</v>
      </c>
      <c r="K42" s="2852" t="s">
        <v>2998</v>
      </c>
      <c r="L42" s="2852" t="s">
        <v>2999</v>
      </c>
      <c r="M42" s="2852" t="s">
        <v>3000</v>
      </c>
      <c r="N42" s="2845" t="s">
        <v>3001</v>
      </c>
      <c r="O42" s="2845" t="s">
        <v>3002</v>
      </c>
      <c r="P42" s="2845" t="s">
        <v>3003</v>
      </c>
      <c r="Q42" s="2846" t="s">
        <v>3004</v>
      </c>
      <c r="R42" s="2846" t="s">
        <v>3005</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30" activePane="bottomRight" state="frozen"/>
      <selection activeCell="C50" sqref="C50"/>
      <selection pane="topRight" activeCell="C50" sqref="C50"/>
      <selection pane="bottomLeft" activeCell="C50" sqref="C50"/>
      <selection pane="bottomRight" activeCell="AR34" sqref="AR34"/>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3242</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面积表!AD14</f>
        <v>68983.08</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143180.50000000003</v>
      </c>
      <c r="BA5" s="18">
        <f t="shared" si="1"/>
        <v>141439.90000000002</v>
      </c>
      <c r="BB5" s="18">
        <f t="shared" si="1"/>
        <v>103099.22</v>
      </c>
      <c r="BC5" s="18">
        <f t="shared" si="1"/>
        <v>20689.020000000008</v>
      </c>
      <c r="BD5" s="18">
        <f t="shared" si="1"/>
        <v>17651.66</v>
      </c>
      <c r="BE5" s="18">
        <f t="shared" si="1"/>
        <v>0</v>
      </c>
      <c r="BF5" s="18">
        <f t="shared" si="1"/>
        <v>0</v>
      </c>
      <c r="BG5" s="18">
        <f t="shared" si="1"/>
        <v>0</v>
      </c>
      <c r="BH5" s="18">
        <f t="shared" si="1"/>
        <v>0</v>
      </c>
      <c r="BI5" s="18">
        <f t="shared" si="1"/>
        <v>0</v>
      </c>
      <c r="BJ5" s="18">
        <f t="shared" si="1"/>
        <v>0</v>
      </c>
      <c r="BK5" s="18">
        <f t="shared" si="1"/>
        <v>0</v>
      </c>
      <c r="BL5" s="18">
        <f t="shared" si="1"/>
        <v>1740.6</v>
      </c>
      <c r="BM5" s="18">
        <f t="shared" si="1"/>
        <v>0</v>
      </c>
      <c r="BN5" s="18">
        <f t="shared" si="1"/>
        <v>0</v>
      </c>
      <c r="BO5" s="18">
        <f t="shared" si="1"/>
        <v>0</v>
      </c>
      <c r="BP5" s="18">
        <f t="shared" si="1"/>
        <v>0</v>
      </c>
      <c r="BQ5" s="18">
        <f t="shared" si="1"/>
        <v>584.98</v>
      </c>
      <c r="BR5" s="18">
        <f t="shared" si="1"/>
        <v>1155.6199999999999</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68983.08</v>
      </c>
      <c r="AZ6" s="16" t="s">
        <v>3</v>
      </c>
      <c r="BA6" s="16">
        <f>ROUND($AY$6*BA5/$AZ$5,2)</f>
        <v>68144.47</v>
      </c>
      <c r="BB6" s="16">
        <f>ROUND($AY$6*BB5/$AZ$5,2)</f>
        <v>49672.28</v>
      </c>
      <c r="BC6" s="16">
        <f t="shared" ref="BC6:BH6" si="4">ROUND($AY$6*BC5/$AZ$5,2)</f>
        <v>9967.7800000000007</v>
      </c>
      <c r="BD6" s="16">
        <f t="shared" si="4"/>
        <v>8504.41</v>
      </c>
      <c r="BE6" s="16">
        <f t="shared" si="4"/>
        <v>0</v>
      </c>
      <c r="BF6" s="16">
        <f t="shared" si="4"/>
        <v>0</v>
      </c>
      <c r="BG6" s="16">
        <f t="shared" si="4"/>
        <v>0</v>
      </c>
      <c r="BH6" s="16">
        <f t="shared" si="4"/>
        <v>0</v>
      </c>
      <c r="BI6" s="16">
        <f t="shared" ref="BI6:BT6" si="5">ROUND($AY$6*BI5/$AZ$5,2)</f>
        <v>0</v>
      </c>
      <c r="BJ6" s="16">
        <f t="shared" si="5"/>
        <v>0</v>
      </c>
      <c r="BK6" s="16">
        <f t="shared" si="5"/>
        <v>0</v>
      </c>
      <c r="BL6" s="16">
        <f t="shared" si="5"/>
        <v>838.61</v>
      </c>
      <c r="BM6" s="16">
        <f t="shared" si="5"/>
        <v>0</v>
      </c>
      <c r="BN6" s="16">
        <f t="shared" si="5"/>
        <v>0</v>
      </c>
      <c r="BO6" s="16">
        <f t="shared" si="5"/>
        <v>0</v>
      </c>
      <c r="BP6" s="16">
        <f t="shared" si="5"/>
        <v>0</v>
      </c>
      <c r="BQ6" s="16">
        <f t="shared" si="5"/>
        <v>281.83999999999997</v>
      </c>
      <c r="BR6" s="16">
        <f t="shared" si="5"/>
        <v>556.77</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3075</v>
      </c>
      <c r="J9" s="920"/>
      <c r="K9" s="1791" t="s">
        <v>3076</v>
      </c>
      <c r="L9" s="920"/>
      <c r="M9" s="1791" t="s">
        <v>3076</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3255</v>
      </c>
      <c r="L10" s="920"/>
      <c r="M10" s="1797" t="s">
        <v>3256</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3254</v>
      </c>
      <c r="J11" s="1803"/>
      <c r="K11" s="1802" t="s">
        <v>3254</v>
      </c>
      <c r="L11" s="1803"/>
      <c r="M11" s="1802" t="s">
        <v>3256</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5" t="s">
        <v>3251</v>
      </c>
      <c r="C13" s="3086" t="s">
        <v>3110</v>
      </c>
      <c r="D13" s="1813" t="s">
        <v>3243</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5" t="s">
        <v>3251</v>
      </c>
      <c r="C14" s="3086" t="s">
        <v>3115</v>
      </c>
      <c r="D14" s="1813" t="s">
        <v>3243</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5" t="s">
        <v>3251</v>
      </c>
      <c r="C15" s="3086" t="s">
        <v>3120</v>
      </c>
      <c r="D15" s="1813" t="s">
        <v>3243</v>
      </c>
      <c r="E15" s="16">
        <f>IF($C$3="是",ROUND($A$3*G15/$B$3,2),ROUND($A$3*(G15-AT15)/$B$3,2))</f>
        <v>5104.95</v>
      </c>
      <c r="F15" s="32"/>
      <c r="G15" s="33">
        <f>H15+AC15+AT15</f>
        <v>10595.77</v>
      </c>
      <c r="H15" s="20">
        <f>SUMIF(I$12:AB$12,"总值",I15:AB15)</f>
        <v>5999.14</v>
      </c>
      <c r="I15" s="1814"/>
      <c r="J15" s="1814"/>
      <c r="K15" s="1814">
        <f>面积表!H17</f>
        <v>673.87</v>
      </c>
      <c r="L15" s="1814"/>
      <c r="M15" s="1814">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1815">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7" customFormat="1" ht="12.75">
      <c r="A16" s="1184"/>
      <c r="B16" s="3085" t="s">
        <v>3251</v>
      </c>
      <c r="C16" s="3087" t="s">
        <v>3136</v>
      </c>
      <c r="D16" s="1813" t="s">
        <v>3243</v>
      </c>
      <c r="E16" s="16">
        <f>IF($C$3="是",ROUND($A$3*G16/$B$3,2),ROUND($A$3*(G16-AT16)/$B$3,2))</f>
        <v>723.14</v>
      </c>
      <c r="F16" s="32"/>
      <c r="G16" s="33">
        <f>H16+AC16+AT16</f>
        <v>1500.94</v>
      </c>
      <c r="H16" s="20">
        <f>SUMIF(I$12:AB$12,"总值",I16:AB16)</f>
        <v>1500.94</v>
      </c>
      <c r="I16" s="1814">
        <f>面积表!E20</f>
        <v>1500.94</v>
      </c>
      <c r="J16" s="1814"/>
      <c r="K16" s="1814"/>
      <c r="L16" s="1814"/>
      <c r="M16" s="1814"/>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5" t="s">
        <v>3251</v>
      </c>
      <c r="C17" s="3087" t="s">
        <v>3139</v>
      </c>
      <c r="D17" s="1813" t="s">
        <v>3243</v>
      </c>
      <c r="E17" s="16">
        <f>IF($C$3="是",ROUND($A$3*G17/$B$3,2),ROUND($A$3*(G17-AT17)/$B$3,2))</f>
        <v>537.87</v>
      </c>
      <c r="F17" s="32"/>
      <c r="G17" s="33">
        <f>H17+AC17+AT17</f>
        <v>1116.4000000000001</v>
      </c>
      <c r="H17" s="20">
        <f>SUMIF(I$12:AB$12,"总值",I17:AB17)</f>
        <v>1116.4000000000001</v>
      </c>
      <c r="I17" s="1814">
        <f>面积表!E21</f>
        <v>1116.4000000000001</v>
      </c>
      <c r="J17" s="1814"/>
      <c r="K17" s="1814"/>
      <c r="L17" s="1814"/>
      <c r="M17" s="1814"/>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5" t="s">
        <v>3251</v>
      </c>
      <c r="C18" s="3087" t="s">
        <v>3142</v>
      </c>
      <c r="D18" s="1813" t="s">
        <v>3243</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5" t="s">
        <v>3251</v>
      </c>
      <c r="C19" s="3087" t="s">
        <v>3145</v>
      </c>
      <c r="D19" s="1813" t="s">
        <v>3243</v>
      </c>
      <c r="E19" s="35">
        <f t="shared" si="7"/>
        <v>968.4</v>
      </c>
      <c r="F19" s="36"/>
      <c r="G19" s="37">
        <f t="shared" si="8"/>
        <v>2010</v>
      </c>
      <c r="H19" s="38">
        <f t="shared" si="9"/>
        <v>2010</v>
      </c>
      <c r="I19" s="1814">
        <f>面积表!E23</f>
        <v>2010</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5" t="s">
        <v>3251</v>
      </c>
      <c r="C20" s="3087" t="s">
        <v>3148</v>
      </c>
      <c r="D20" s="1813" t="s">
        <v>3243</v>
      </c>
      <c r="E20" s="35">
        <f t="shared" si="7"/>
        <v>928.86</v>
      </c>
      <c r="F20" s="36"/>
      <c r="G20" s="37">
        <f t="shared" si="8"/>
        <v>1927.94</v>
      </c>
      <c r="H20" s="38">
        <f t="shared" si="9"/>
        <v>1927.94</v>
      </c>
      <c r="I20" s="1814">
        <f>面积表!E24</f>
        <v>1927.94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5" t="s">
        <v>3251</v>
      </c>
      <c r="C21" s="3087" t="s">
        <v>3151</v>
      </c>
      <c r="D21" s="1813" t="s">
        <v>3243</v>
      </c>
      <c r="E21" s="35">
        <f t="shared" si="7"/>
        <v>537.73</v>
      </c>
      <c r="F21" s="36"/>
      <c r="G21" s="37">
        <f t="shared" si="8"/>
        <v>1116.0999999999999</v>
      </c>
      <c r="H21" s="38">
        <f t="shared" si="9"/>
        <v>1116.0999999999999</v>
      </c>
      <c r="I21" s="1814">
        <f>面积表!E25</f>
        <v>1116.0999999999999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5" t="s">
        <v>3251</v>
      </c>
      <c r="C22" s="3087" t="s">
        <v>3156</v>
      </c>
      <c r="D22" s="1813" t="s">
        <v>3243</v>
      </c>
      <c r="E22" s="35">
        <f t="shared" si="7"/>
        <v>990.79</v>
      </c>
      <c r="F22" s="36"/>
      <c r="G22" s="37">
        <f t="shared" si="8"/>
        <v>2056.48</v>
      </c>
      <c r="H22" s="38">
        <f t="shared" si="9"/>
        <v>2056.48</v>
      </c>
      <c r="I22" s="1814">
        <f>面积表!E26</f>
        <v>2056.48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5" t="s">
        <v>3251</v>
      </c>
      <c r="C23" s="3087" t="s">
        <v>3160</v>
      </c>
      <c r="D23" s="1813" t="s">
        <v>3243</v>
      </c>
      <c r="E23" s="35">
        <f t="shared" si="7"/>
        <v>968.58</v>
      </c>
      <c r="F23" s="36"/>
      <c r="G23" s="37">
        <f t="shared" si="8"/>
        <v>2010.38</v>
      </c>
      <c r="H23" s="38">
        <f t="shared" si="9"/>
        <v>2010.38</v>
      </c>
      <c r="I23" s="1814">
        <f>面积表!E27</f>
        <v>2010.38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5" t="s">
        <v>3251</v>
      </c>
      <c r="C24" s="3087" t="s">
        <v>3164</v>
      </c>
      <c r="D24" s="1813" t="s">
        <v>3243</v>
      </c>
      <c r="E24" s="35">
        <f t="shared" si="7"/>
        <v>538.53</v>
      </c>
      <c r="F24" s="36"/>
      <c r="G24" s="37">
        <f t="shared" si="8"/>
        <v>1117.76</v>
      </c>
      <c r="H24" s="38">
        <f t="shared" si="9"/>
        <v>1117.76</v>
      </c>
      <c r="I24" s="1814">
        <f>面积表!E28</f>
        <v>1117.76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5" t="s">
        <v>3251</v>
      </c>
      <c r="C25" s="3087" t="s">
        <v>3167</v>
      </c>
      <c r="D25" s="1813" t="s">
        <v>3243</v>
      </c>
      <c r="E25" s="35">
        <f t="shared" si="7"/>
        <v>968.43</v>
      </c>
      <c r="F25" s="36"/>
      <c r="G25" s="37">
        <f t="shared" si="8"/>
        <v>2010.07</v>
      </c>
      <c r="H25" s="38">
        <f t="shared" si="9"/>
        <v>2010.07</v>
      </c>
      <c r="I25" s="1814">
        <f>面积表!E29</f>
        <v>2010.07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5" t="s">
        <v>3251</v>
      </c>
      <c r="C26" s="3087" t="s">
        <v>3170</v>
      </c>
      <c r="D26" s="1813" t="s">
        <v>3243</v>
      </c>
      <c r="E26" s="35">
        <f t="shared" si="7"/>
        <v>538.53</v>
      </c>
      <c r="F26" s="36"/>
      <c r="G26" s="37">
        <f t="shared" si="8"/>
        <v>1117.77</v>
      </c>
      <c r="H26" s="38">
        <f t="shared" si="9"/>
        <v>1117.77</v>
      </c>
      <c r="I26" s="1814">
        <f>面积表!E30</f>
        <v>1117.77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5" t="s">
        <v>3251</v>
      </c>
      <c r="C27" s="3087" t="s">
        <v>3173</v>
      </c>
      <c r="D27" s="1813" t="s">
        <v>3243</v>
      </c>
      <c r="E27" s="35">
        <f t="shared" si="7"/>
        <v>929.33</v>
      </c>
      <c r="F27" s="36"/>
      <c r="G27" s="37">
        <f t="shared" si="8"/>
        <v>1928.9</v>
      </c>
      <c r="H27" s="38">
        <f t="shared" si="9"/>
        <v>1928.9</v>
      </c>
      <c r="I27" s="1814">
        <f>面积表!E31</f>
        <v>1928.9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5" t="s">
        <v>3251</v>
      </c>
      <c r="C28" s="3087" t="s">
        <v>3176</v>
      </c>
      <c r="D28" s="1813" t="s">
        <v>3243</v>
      </c>
      <c r="E28" s="35">
        <f t="shared" si="7"/>
        <v>990.94</v>
      </c>
      <c r="F28" s="36"/>
      <c r="G28" s="37">
        <f t="shared" si="8"/>
        <v>2056.79</v>
      </c>
      <c r="H28" s="38">
        <f t="shared" si="9"/>
        <v>2056.79</v>
      </c>
      <c r="I28" s="1814">
        <f>面积表!E32</f>
        <v>2056.79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5" t="s">
        <v>3251</v>
      </c>
      <c r="C29" s="3087" t="s">
        <v>3179</v>
      </c>
      <c r="D29" s="1813" t="s">
        <v>3243</v>
      </c>
      <c r="E29" s="35">
        <f t="shared" si="7"/>
        <v>968.53</v>
      </c>
      <c r="F29" s="36"/>
      <c r="G29" s="37">
        <f t="shared" si="8"/>
        <v>2010.26</v>
      </c>
      <c r="H29" s="38">
        <f t="shared" si="9"/>
        <v>2010.26</v>
      </c>
      <c r="I29" s="1814">
        <f>面积表!E33</f>
        <v>2010.26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5" t="s">
        <v>3251</v>
      </c>
      <c r="C30" s="3087" t="s">
        <v>3182</v>
      </c>
      <c r="D30" s="1813" t="s">
        <v>3243</v>
      </c>
      <c r="E30" s="35">
        <f t="shared" si="7"/>
        <v>990.94</v>
      </c>
      <c r="F30" s="36"/>
      <c r="G30" s="37">
        <f t="shared" si="8"/>
        <v>2056.79</v>
      </c>
      <c r="H30" s="38">
        <f t="shared" si="9"/>
        <v>2056.79</v>
      </c>
      <c r="I30" s="1814">
        <f>面积表!E34</f>
        <v>2056.79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5" t="s">
        <v>3251</v>
      </c>
      <c r="C31" s="3087" t="s">
        <v>3185</v>
      </c>
      <c r="D31" s="1813" t="s">
        <v>3243</v>
      </c>
      <c r="E31" s="35">
        <f t="shared" si="7"/>
        <v>929.33</v>
      </c>
      <c r="F31" s="36"/>
      <c r="G31" s="37">
        <f t="shared" si="8"/>
        <v>1928.9</v>
      </c>
      <c r="H31" s="38">
        <f t="shared" si="9"/>
        <v>1928.9</v>
      </c>
      <c r="I31" s="1814">
        <f>面积表!E35</f>
        <v>1928.9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5" t="s">
        <v>3251</v>
      </c>
      <c r="C32" s="3087" t="s">
        <v>3224</v>
      </c>
      <c r="D32" s="1813" t="s">
        <v>3243</v>
      </c>
      <c r="E32" s="35">
        <f t="shared" si="7"/>
        <v>7549.69</v>
      </c>
      <c r="F32" s="36"/>
      <c r="G32" s="37">
        <f t="shared" si="8"/>
        <v>15670.04</v>
      </c>
      <c r="H32" s="38">
        <f t="shared" si="9"/>
        <v>14836.02</v>
      </c>
      <c r="I32" s="39"/>
      <c r="J32" s="39"/>
      <c r="K32" s="39">
        <f>面积表!H38</f>
        <v>7611.54</v>
      </c>
      <c r="L32" s="39"/>
      <c r="M32" s="39">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085" t="s">
        <v>3251</v>
      </c>
      <c r="C33" s="3088" t="s">
        <v>3198</v>
      </c>
      <c r="D33" s="1813" t="s">
        <v>3243</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089" t="s">
        <v>3252</v>
      </c>
      <c r="C34" s="3088" t="s">
        <v>3083</v>
      </c>
      <c r="D34" s="1813" t="s">
        <v>3242</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3854.02</v>
      </c>
      <c r="AZ34" s="35">
        <f t="shared" si="15"/>
        <v>7999.37</v>
      </c>
      <c r="BA34" s="35">
        <f t="shared" si="16"/>
        <v>7999.37</v>
      </c>
      <c r="BB34" s="35">
        <f t="shared" si="17"/>
        <v>7999.37</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89" t="s">
        <v>3252</v>
      </c>
      <c r="C35" s="3088" t="s">
        <v>3087</v>
      </c>
      <c r="D35" s="1813" t="s">
        <v>3242</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1461.18</v>
      </c>
      <c r="AZ35" s="35">
        <f t="shared" si="15"/>
        <v>3032.8</v>
      </c>
      <c r="BA35" s="35">
        <f t="shared" si="16"/>
        <v>3032.8</v>
      </c>
      <c r="BB35" s="35">
        <f t="shared" si="17"/>
        <v>2474.61</v>
      </c>
      <c r="BC35" s="35">
        <f t="shared" si="18"/>
        <v>558.19000000000005</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89" t="s">
        <v>3252</v>
      </c>
      <c r="C36" s="3088" t="s">
        <v>3091</v>
      </c>
      <c r="D36" s="1813" t="s">
        <v>3242</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1529.83</v>
      </c>
      <c r="AZ36" s="35">
        <f t="shared" si="15"/>
        <v>3175.29</v>
      </c>
      <c r="BA36" s="35">
        <f t="shared" si="16"/>
        <v>3175.29</v>
      </c>
      <c r="BB36" s="35">
        <f t="shared" si="17"/>
        <v>2469.9499999999998</v>
      </c>
      <c r="BC36" s="35">
        <f t="shared" si="18"/>
        <v>705.34</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89" t="s">
        <v>3252</v>
      </c>
      <c r="C37" s="3088" t="s">
        <v>3096</v>
      </c>
      <c r="D37" s="1813" t="s">
        <v>3242</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1498.7</v>
      </c>
      <c r="AZ37" s="35">
        <f t="shared" si="15"/>
        <v>3110.69</v>
      </c>
      <c r="BA37" s="35">
        <f t="shared" si="16"/>
        <v>3110.69</v>
      </c>
      <c r="BB37" s="35">
        <f t="shared" si="17"/>
        <v>2443.83</v>
      </c>
      <c r="BC37" s="35">
        <f t="shared" si="18"/>
        <v>666.86</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89" t="s">
        <v>3252</v>
      </c>
      <c r="C38" s="3088" t="s">
        <v>3102</v>
      </c>
      <c r="D38" s="1813" t="s">
        <v>3242</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1430.91</v>
      </c>
      <c r="AZ38" s="35">
        <f t="shared" si="15"/>
        <v>2969.98</v>
      </c>
      <c r="BA38" s="35">
        <f t="shared" si="16"/>
        <v>2969.98</v>
      </c>
      <c r="BB38" s="35">
        <f t="shared" si="17"/>
        <v>2474.61</v>
      </c>
      <c r="BC38" s="35">
        <f t="shared" si="18"/>
        <v>495.37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89" t="s">
        <v>3252</v>
      </c>
      <c r="C39" s="3088" t="s">
        <v>3107</v>
      </c>
      <c r="D39" s="1813" t="s">
        <v>3242</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1406.2</v>
      </c>
      <c r="AZ39" s="35">
        <f t="shared" si="15"/>
        <v>2918.7</v>
      </c>
      <c r="BA39" s="35">
        <f t="shared" si="16"/>
        <v>2918.7</v>
      </c>
      <c r="BB39" s="35">
        <f t="shared" si="17"/>
        <v>2443.83</v>
      </c>
      <c r="BC39" s="35">
        <f t="shared" si="18"/>
        <v>474.87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89" t="s">
        <v>3252</v>
      </c>
      <c r="C40" s="3088" t="s">
        <v>3112</v>
      </c>
      <c r="D40" s="1813" t="s">
        <v>3242</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1564.67</v>
      </c>
      <c r="AZ40" s="35">
        <f t="shared" si="15"/>
        <v>3247.6099999999997</v>
      </c>
      <c r="BA40" s="35">
        <f t="shared" si="16"/>
        <v>3247.6099999999997</v>
      </c>
      <c r="BB40" s="35">
        <f t="shared" si="17"/>
        <v>2469.9499999999998</v>
      </c>
      <c r="BC40" s="35">
        <f t="shared" si="18"/>
        <v>777.66</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89" t="s">
        <v>3252</v>
      </c>
      <c r="C41" s="3088" t="s">
        <v>3116</v>
      </c>
      <c r="D41" s="1813" t="s">
        <v>3242</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1528.14</v>
      </c>
      <c r="AZ41" s="35">
        <f t="shared" si="15"/>
        <v>3171.8</v>
      </c>
      <c r="BA41" s="35">
        <f t="shared" si="16"/>
        <v>3171.8</v>
      </c>
      <c r="BB41" s="35">
        <f t="shared" si="17"/>
        <v>2474.61</v>
      </c>
      <c r="BC41" s="35">
        <f t="shared" si="18"/>
        <v>697.19</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89" t="s">
        <v>3252</v>
      </c>
      <c r="C42" s="3088" t="s">
        <v>3122</v>
      </c>
      <c r="D42" s="1813" t="s">
        <v>3242</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2281.0500000000002</v>
      </c>
      <c r="AZ42" s="35">
        <f t="shared" si="15"/>
        <v>4734.53</v>
      </c>
      <c r="BA42" s="35">
        <f t="shared" si="16"/>
        <v>4734.53</v>
      </c>
      <c r="BB42" s="35">
        <f t="shared" si="17"/>
        <v>4734.53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89" t="s">
        <v>3252</v>
      </c>
      <c r="C43" s="3088" t="s">
        <v>3125</v>
      </c>
      <c r="D43" s="1813" t="s">
        <v>3242</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2334.6799999999998</v>
      </c>
      <c r="AZ43" s="35">
        <f t="shared" si="15"/>
        <v>4845.84</v>
      </c>
      <c r="BA43" s="35">
        <f t="shared" si="16"/>
        <v>4845.84</v>
      </c>
      <c r="BB43" s="35">
        <f t="shared" si="17"/>
        <v>4247.1099999999997</v>
      </c>
      <c r="BC43" s="35">
        <f t="shared" si="18"/>
        <v>598.73</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89" t="s">
        <v>3252</v>
      </c>
      <c r="C44" s="3088" t="s">
        <v>3128</v>
      </c>
      <c r="D44" s="1813" t="s">
        <v>3242</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1475.54</v>
      </c>
      <c r="AZ44" s="35">
        <f t="shared" si="15"/>
        <v>3062.62</v>
      </c>
      <c r="BA44" s="35">
        <f t="shared" si="16"/>
        <v>3062.62</v>
      </c>
      <c r="BB44" s="35">
        <f t="shared" si="17"/>
        <v>2443.83</v>
      </c>
      <c r="BC44" s="35">
        <f t="shared" si="18"/>
        <v>618.79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89" t="s">
        <v>3252</v>
      </c>
      <c r="C45" s="3088" t="s">
        <v>3130</v>
      </c>
      <c r="D45" s="1813" t="s">
        <v>3242</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1487.46</v>
      </c>
      <c r="AZ45" s="35">
        <f t="shared" si="15"/>
        <v>3087.36</v>
      </c>
      <c r="BA45" s="35">
        <f t="shared" si="16"/>
        <v>3087.36</v>
      </c>
      <c r="BB45" s="35">
        <f t="shared" si="17"/>
        <v>2474.61</v>
      </c>
      <c r="BC45" s="35">
        <f t="shared" si="18"/>
        <v>612.75</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89" t="s">
        <v>3252</v>
      </c>
      <c r="C46" s="3088" t="s">
        <v>3132</v>
      </c>
      <c r="D46" s="1813" t="s">
        <v>3242</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1441.64</v>
      </c>
      <c r="AZ46" s="35">
        <f t="shared" si="15"/>
        <v>2992.26</v>
      </c>
      <c r="BA46" s="35">
        <f t="shared" si="16"/>
        <v>2992.26</v>
      </c>
      <c r="BB46" s="35">
        <f t="shared" si="17"/>
        <v>2474.61</v>
      </c>
      <c r="BC46" s="35">
        <f t="shared" si="18"/>
        <v>517.65</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89" t="s">
        <v>3252</v>
      </c>
      <c r="C47" s="3088" t="s">
        <v>3134</v>
      </c>
      <c r="D47" s="1813" t="s">
        <v>3242</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1551.41</v>
      </c>
      <c r="AZ47" s="35">
        <f t="shared" si="15"/>
        <v>3220.09</v>
      </c>
      <c r="BA47" s="35">
        <f t="shared" si="16"/>
        <v>3220.09</v>
      </c>
      <c r="BB47" s="35">
        <f t="shared" si="17"/>
        <v>2474.61</v>
      </c>
      <c r="BC47" s="35">
        <f t="shared" si="18"/>
        <v>745.48</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89" t="s">
        <v>3252</v>
      </c>
      <c r="C48" s="3088" t="s">
        <v>3137</v>
      </c>
      <c r="D48" s="1813" t="s">
        <v>3242</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1469.85</v>
      </c>
      <c r="AZ48" s="35">
        <f t="shared" si="15"/>
        <v>3050.8</v>
      </c>
      <c r="BA48" s="35">
        <f t="shared" si="16"/>
        <v>3050.8</v>
      </c>
      <c r="BB48" s="35">
        <f t="shared" si="17"/>
        <v>2443.83</v>
      </c>
      <c r="BC48" s="35">
        <f t="shared" si="18"/>
        <v>606.97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89" t="s">
        <v>3252</v>
      </c>
      <c r="C49" s="3088" t="s">
        <v>3140</v>
      </c>
      <c r="D49" s="1813" t="s">
        <v>3242</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1425.54</v>
      </c>
      <c r="AZ49" s="35">
        <f t="shared" si="15"/>
        <v>2958.83</v>
      </c>
      <c r="BA49" s="35">
        <f t="shared" si="16"/>
        <v>2958.83</v>
      </c>
      <c r="BB49" s="35">
        <f t="shared" si="17"/>
        <v>2474.61</v>
      </c>
      <c r="BC49" s="35">
        <f t="shared" si="18"/>
        <v>484.22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89" t="s">
        <v>3252</v>
      </c>
      <c r="C50" s="3088" t="s">
        <v>3143</v>
      </c>
      <c r="D50" s="1813" t="s">
        <v>3242</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2576.8000000000002</v>
      </c>
      <c r="AZ50" s="35">
        <f t="shared" si="15"/>
        <v>5348.37</v>
      </c>
      <c r="BA50" s="35">
        <f t="shared" si="16"/>
        <v>5348.37</v>
      </c>
      <c r="BB50" s="35">
        <f t="shared" si="17"/>
        <v>4739.26</v>
      </c>
      <c r="BC50" s="35">
        <f t="shared" si="18"/>
        <v>609.11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89" t="s">
        <v>3252</v>
      </c>
      <c r="C51" s="3088" t="s">
        <v>3146</v>
      </c>
      <c r="D51" s="1813" t="s">
        <v>3242</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2386.4699999999998</v>
      </c>
      <c r="AZ51" s="35">
        <f t="shared" si="15"/>
        <v>4953.33</v>
      </c>
      <c r="BA51" s="35">
        <f t="shared" si="16"/>
        <v>4953.33</v>
      </c>
      <c r="BB51" s="35">
        <f t="shared" si="17"/>
        <v>4253.07</v>
      </c>
      <c r="BC51" s="35">
        <f t="shared" si="18"/>
        <v>700.26</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89" t="s">
        <v>3252</v>
      </c>
      <c r="C52" s="3088" t="s">
        <v>3149</v>
      </c>
      <c r="D52" s="1813" t="s">
        <v>3242</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2514.19</v>
      </c>
      <c r="AZ52" s="35">
        <f t="shared" si="15"/>
        <v>5218.43</v>
      </c>
      <c r="BA52" s="35">
        <f t="shared" si="16"/>
        <v>5218.43</v>
      </c>
      <c r="BB52" s="35">
        <f t="shared" si="17"/>
        <v>4617.99</v>
      </c>
      <c r="BC52" s="35">
        <f t="shared" si="18"/>
        <v>600.44000000000005</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89" t="s">
        <v>3252</v>
      </c>
      <c r="C53" s="3088" t="s">
        <v>3154</v>
      </c>
      <c r="D53" s="1813" t="s">
        <v>3242</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2370.5100000000002</v>
      </c>
      <c r="AZ53" s="35">
        <f t="shared" si="15"/>
        <v>4920.2099999999991</v>
      </c>
      <c r="BA53" s="35">
        <f t="shared" si="16"/>
        <v>4920.2099999999991</v>
      </c>
      <c r="BB53" s="35">
        <f t="shared" si="17"/>
        <v>4249.6899999999996</v>
      </c>
      <c r="BC53" s="35">
        <f t="shared" si="18"/>
        <v>670.52</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89" t="s">
        <v>3252</v>
      </c>
      <c r="C54" s="3088" t="s">
        <v>3157</v>
      </c>
      <c r="D54" s="1813" t="s">
        <v>3242</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145.86000000000001</v>
      </c>
      <c r="AZ54" s="35">
        <f t="shared" si="15"/>
        <v>302.74</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302.74</v>
      </c>
      <c r="BM54" s="35">
        <f t="shared" si="28"/>
        <v>0</v>
      </c>
      <c r="BN54" s="35">
        <f t="shared" si="29"/>
        <v>0</v>
      </c>
      <c r="BO54" s="35">
        <f t="shared" si="30"/>
        <v>0</v>
      </c>
      <c r="BP54" s="35">
        <f t="shared" si="31"/>
        <v>0</v>
      </c>
      <c r="BQ54" s="35">
        <f t="shared" si="32"/>
        <v>302.74</v>
      </c>
      <c r="BR54" s="35">
        <f t="shared" si="33"/>
        <v>0</v>
      </c>
      <c r="BS54" s="35">
        <f t="shared" si="34"/>
        <v>0</v>
      </c>
      <c r="BT54" s="43">
        <f t="shared" si="35"/>
        <v>0</v>
      </c>
    </row>
    <row r="55" spans="1:72">
      <c r="A55" s="9"/>
      <c r="B55" s="3089" t="s">
        <v>3252</v>
      </c>
      <c r="C55" s="3088" t="s">
        <v>3162</v>
      </c>
      <c r="D55" s="1813" t="s">
        <v>3242</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2533.64</v>
      </c>
      <c r="AZ55" s="35">
        <f t="shared" si="15"/>
        <v>5258.8</v>
      </c>
      <c r="BA55" s="35">
        <f t="shared" si="16"/>
        <v>5258.8</v>
      </c>
      <c r="BB55" s="35">
        <f t="shared" si="17"/>
        <v>4280.22</v>
      </c>
      <c r="BC55" s="35">
        <f t="shared" si="18"/>
        <v>978.58</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89" t="s">
        <v>3252</v>
      </c>
      <c r="C56" s="3088" t="s">
        <v>3165</v>
      </c>
      <c r="D56" s="1813" t="s">
        <v>3242</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1487.94</v>
      </c>
      <c r="AZ56" s="35">
        <f t="shared" si="15"/>
        <v>3088.35</v>
      </c>
      <c r="BA56" s="35">
        <f t="shared" si="16"/>
        <v>3088.35</v>
      </c>
      <c r="BB56" s="35">
        <f t="shared" si="17"/>
        <v>2443.83</v>
      </c>
      <c r="BC56" s="35">
        <f t="shared" si="18"/>
        <v>644.52</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89" t="s">
        <v>3252</v>
      </c>
      <c r="C57" s="3088" t="s">
        <v>3168</v>
      </c>
      <c r="D57" s="1813" t="s">
        <v>3242</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1435.28</v>
      </c>
      <c r="AZ57" s="35">
        <f t="shared" si="15"/>
        <v>2979.06</v>
      </c>
      <c r="BA57" s="35">
        <f t="shared" si="16"/>
        <v>2979.06</v>
      </c>
      <c r="BB57" s="35">
        <f t="shared" si="17"/>
        <v>2474.61</v>
      </c>
      <c r="BC57" s="35">
        <f t="shared" si="18"/>
        <v>504.45</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89" t="s">
        <v>3252</v>
      </c>
      <c r="C58" s="3088" t="s">
        <v>3171</v>
      </c>
      <c r="D58" s="1813" t="s">
        <v>3242</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1449.96</v>
      </c>
      <c r="AZ58" s="35">
        <f t="shared" si="15"/>
        <v>3009.5299999999997</v>
      </c>
      <c r="BA58" s="35">
        <f t="shared" si="16"/>
        <v>3009.5299999999997</v>
      </c>
      <c r="BB58" s="35">
        <f t="shared" si="17"/>
        <v>2443.83</v>
      </c>
      <c r="BC58" s="35">
        <f t="shared" si="18"/>
        <v>565.70000000000005</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89" t="s">
        <v>3252</v>
      </c>
      <c r="C59" s="3088" t="s">
        <v>3174</v>
      </c>
      <c r="D59" s="1813" t="s">
        <v>3242</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1461.04</v>
      </c>
      <c r="AZ59" s="35">
        <f t="shared" si="15"/>
        <v>3032.52</v>
      </c>
      <c r="BA59" s="35">
        <f t="shared" si="16"/>
        <v>3032.52</v>
      </c>
      <c r="BB59" s="35">
        <f t="shared" si="17"/>
        <v>2443.83</v>
      </c>
      <c r="BC59" s="35">
        <f t="shared" si="18"/>
        <v>588.69000000000005</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89" t="s">
        <v>3252</v>
      </c>
      <c r="C60" s="3088" t="s">
        <v>3177</v>
      </c>
      <c r="D60" s="1813" t="s">
        <v>3242</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1460.58</v>
      </c>
      <c r="AZ60" s="35">
        <f t="shared" si="15"/>
        <v>3031.57</v>
      </c>
      <c r="BA60" s="35">
        <f t="shared" si="16"/>
        <v>3031.57</v>
      </c>
      <c r="BB60" s="35">
        <f t="shared" si="17"/>
        <v>2474.61</v>
      </c>
      <c r="BC60" s="35">
        <f t="shared" si="18"/>
        <v>556.96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89" t="s">
        <v>3252</v>
      </c>
      <c r="C61" s="3088" t="s">
        <v>3180</v>
      </c>
      <c r="D61" s="1813" t="s">
        <v>3242</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1464.7</v>
      </c>
      <c r="AZ61" s="35">
        <f t="shared" si="15"/>
        <v>3040.12</v>
      </c>
      <c r="BA61" s="35">
        <f t="shared" si="16"/>
        <v>3040.12</v>
      </c>
      <c r="BB61" s="35">
        <f t="shared" si="17"/>
        <v>2443.83</v>
      </c>
      <c r="BC61" s="35">
        <f t="shared" si="18"/>
        <v>596.29</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89" t="s">
        <v>3252</v>
      </c>
      <c r="C62" s="3088" t="s">
        <v>3183</v>
      </c>
      <c r="D62" s="1813" t="s">
        <v>3242</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135.97999999999999</v>
      </c>
      <c r="AZ62" s="35">
        <f t="shared" si="15"/>
        <v>282.24</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282.24</v>
      </c>
      <c r="BM62" s="35">
        <f t="shared" si="28"/>
        <v>0</v>
      </c>
      <c r="BN62" s="35">
        <f t="shared" si="29"/>
        <v>0</v>
      </c>
      <c r="BO62" s="35">
        <f t="shared" si="30"/>
        <v>0</v>
      </c>
      <c r="BP62" s="35">
        <f t="shared" si="31"/>
        <v>0</v>
      </c>
      <c r="BQ62" s="35">
        <f t="shared" si="32"/>
        <v>282.24</v>
      </c>
      <c r="BR62" s="35">
        <f t="shared" si="33"/>
        <v>0</v>
      </c>
      <c r="BS62" s="35">
        <f t="shared" si="34"/>
        <v>0</v>
      </c>
      <c r="BT62" s="43">
        <f t="shared" si="35"/>
        <v>0</v>
      </c>
    </row>
    <row r="63" spans="1:72">
      <c r="A63" s="9"/>
      <c r="B63" s="3089" t="s">
        <v>3252</v>
      </c>
      <c r="C63" s="3088" t="s">
        <v>3186</v>
      </c>
      <c r="D63" s="1813" t="s">
        <v>3242</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1538.11</v>
      </c>
      <c r="AZ63" s="35">
        <f t="shared" si="15"/>
        <v>3192.48</v>
      </c>
      <c r="BA63" s="35">
        <f t="shared" si="16"/>
        <v>3192.48</v>
      </c>
      <c r="BB63" s="35">
        <f t="shared" si="17"/>
        <v>2474.61</v>
      </c>
      <c r="BC63" s="35">
        <f t="shared" si="18"/>
        <v>717.87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89" t="s">
        <v>3252</v>
      </c>
      <c r="C64" s="3088" t="s">
        <v>3232</v>
      </c>
      <c r="D64" s="1813" t="s">
        <v>3242</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1469.46</v>
      </c>
      <c r="AZ64" s="35">
        <f t="shared" si="15"/>
        <v>3049.99</v>
      </c>
      <c r="BA64" s="35">
        <f t="shared" si="16"/>
        <v>3049.99</v>
      </c>
      <c r="BB64" s="35">
        <f t="shared" si="17"/>
        <v>2443.83</v>
      </c>
      <c r="BC64" s="35">
        <f t="shared" si="18"/>
        <v>606.16</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89" t="s">
        <v>3252</v>
      </c>
      <c r="C65" s="3088" t="s">
        <v>3188</v>
      </c>
      <c r="D65" s="1813" t="s">
        <v>3242</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1494.84</v>
      </c>
      <c r="AZ65" s="35">
        <f t="shared" si="15"/>
        <v>3102.67</v>
      </c>
      <c r="BA65" s="35">
        <f t="shared" si="16"/>
        <v>3102.67</v>
      </c>
      <c r="BB65" s="35">
        <f t="shared" si="17"/>
        <v>2469.9499999999998</v>
      </c>
      <c r="BC65" s="35">
        <f t="shared" si="18"/>
        <v>632.72</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89" t="s">
        <v>3252</v>
      </c>
      <c r="C66" s="3088" t="s">
        <v>3190</v>
      </c>
      <c r="D66" s="1813" t="s">
        <v>3242</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1488.97</v>
      </c>
      <c r="AZ66" s="35">
        <f t="shared" si="15"/>
        <v>3090.49</v>
      </c>
      <c r="BA66" s="35">
        <f t="shared" si="16"/>
        <v>3090.49</v>
      </c>
      <c r="BB66" s="35">
        <f t="shared" si="17"/>
        <v>2443.83</v>
      </c>
      <c r="BC66" s="35">
        <f t="shared" si="18"/>
        <v>646.66</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89" t="s">
        <v>3252</v>
      </c>
      <c r="C67" s="3088" t="s">
        <v>3192</v>
      </c>
      <c r="D67" s="1813" t="s">
        <v>3242</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1584.46</v>
      </c>
      <c r="AZ67" s="35">
        <f t="shared" si="15"/>
        <v>3288.6899999999996</v>
      </c>
      <c r="BA67" s="35">
        <f t="shared" si="16"/>
        <v>3288.6899999999996</v>
      </c>
      <c r="BB67" s="35">
        <f t="shared" si="17"/>
        <v>2469.9499999999998</v>
      </c>
      <c r="BC67" s="35">
        <f t="shared" si="18"/>
        <v>818.74</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89" t="s">
        <v>3252</v>
      </c>
      <c r="C68" s="3088" t="s">
        <v>3194</v>
      </c>
      <c r="D68" s="1813" t="s">
        <v>3242</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1614.98</v>
      </c>
      <c r="AZ68" s="35">
        <f t="shared" si="15"/>
        <v>3352.04</v>
      </c>
      <c r="BA68" s="35">
        <f t="shared" si="16"/>
        <v>3352.04</v>
      </c>
      <c r="BB68" s="35">
        <f t="shared" si="17"/>
        <v>2443.83</v>
      </c>
      <c r="BC68" s="35">
        <f t="shared" si="18"/>
        <v>908.21</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89" t="s">
        <v>3252</v>
      </c>
      <c r="C69" s="3088" t="s">
        <v>3196</v>
      </c>
      <c r="D69" s="1813" t="s">
        <v>3242</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1567.28</v>
      </c>
      <c r="AZ69" s="35">
        <f t="shared" si="15"/>
        <v>3253.02</v>
      </c>
      <c r="BA69" s="35">
        <f t="shared" si="16"/>
        <v>3253.02</v>
      </c>
      <c r="BB69" s="35">
        <f t="shared" si="17"/>
        <v>2469.9499999999998</v>
      </c>
      <c r="BC69" s="35">
        <f t="shared" si="18"/>
        <v>783.07</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89" t="s">
        <v>3252</v>
      </c>
      <c r="C70" s="3088" t="s">
        <v>48</v>
      </c>
      <c r="D70" s="1813" t="s">
        <v>3242</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8504.41</v>
      </c>
      <c r="AZ70" s="35">
        <f t="shared" si="15"/>
        <v>17651.66</v>
      </c>
      <c r="BA70" s="35">
        <f t="shared" si="16"/>
        <v>17651.66</v>
      </c>
      <c r="BB70" s="35">
        <f t="shared" si="17"/>
        <v>0</v>
      </c>
      <c r="BC70" s="35">
        <f t="shared" si="18"/>
        <v>0</v>
      </c>
      <c r="BD70" s="35">
        <f t="shared" si="19"/>
        <v>17651.66</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89" t="s">
        <v>3252</v>
      </c>
      <c r="C71" s="3088" t="s">
        <v>3201</v>
      </c>
      <c r="D71" s="1813" t="s">
        <v>3242</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556.77</v>
      </c>
      <c r="AZ71" s="35">
        <f t="shared" si="15"/>
        <v>1155.6199999999999</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1155.6199999999999</v>
      </c>
      <c r="BM71" s="35">
        <f t="shared" si="28"/>
        <v>0</v>
      </c>
      <c r="BN71" s="35">
        <f t="shared" si="29"/>
        <v>0</v>
      </c>
      <c r="BO71" s="35">
        <f t="shared" si="30"/>
        <v>0</v>
      </c>
      <c r="BP71" s="35">
        <f t="shared" si="31"/>
        <v>0</v>
      </c>
      <c r="BQ71" s="35">
        <f t="shared" si="32"/>
        <v>0</v>
      </c>
      <c r="BR71" s="35">
        <f t="shared" si="33"/>
        <v>1155.6199999999999</v>
      </c>
      <c r="BS71" s="35">
        <f t="shared" si="34"/>
        <v>0</v>
      </c>
      <c r="BT71" s="43">
        <f t="shared" si="35"/>
        <v>0</v>
      </c>
    </row>
    <row r="72" spans="1:72">
      <c r="A72" s="9"/>
      <c r="B72" s="3090"/>
      <c r="C72" s="3089" t="s">
        <v>3253</v>
      </c>
      <c r="D72" s="1818" t="s">
        <v>3243</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zoomScale="70" zoomScaleNormal="70" workbookViewId="0">
      <selection activeCell="O35" sqref="O35"/>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3064</v>
      </c>
      <c r="C1" s="3037"/>
      <c r="D1">
        <v>114794800</v>
      </c>
      <c r="J1">
        <v>16185200</v>
      </c>
      <c r="Y1" s="3037" t="s">
        <v>3065</v>
      </c>
      <c r="Z1" s="3038">
        <v>0.4</v>
      </c>
    </row>
    <row r="2" spans="1:31">
      <c r="B2" s="3037" t="s">
        <v>3066</v>
      </c>
      <c r="C2" s="3037"/>
      <c r="D2">
        <v>2185200</v>
      </c>
      <c r="J2">
        <v>114794800</v>
      </c>
      <c r="Q2" s="3037" t="s">
        <v>3067</v>
      </c>
      <c r="Y2" s="3037" t="s">
        <v>3068</v>
      </c>
      <c r="Z2" s="3038">
        <v>0.2</v>
      </c>
    </row>
    <row r="3" spans="1:31">
      <c r="B3" s="3037" t="s">
        <v>3069</v>
      </c>
      <c r="C3" s="3037"/>
      <c r="D3">
        <v>14000000</v>
      </c>
      <c r="E3">
        <v>130980000</v>
      </c>
      <c r="H3">
        <v>3929400</v>
      </c>
      <c r="W3" s="3037" t="s">
        <v>3070</v>
      </c>
    </row>
    <row r="4" spans="1:31">
      <c r="B4" s="3037" t="s">
        <v>3071</v>
      </c>
      <c r="C4" s="3037"/>
      <c r="D4">
        <v>5436565</v>
      </c>
      <c r="Q4" s="3201" t="s">
        <v>3072</v>
      </c>
      <c r="R4" s="3201" t="s">
        <v>3073</v>
      </c>
      <c r="S4" s="3201" t="s">
        <v>3074</v>
      </c>
      <c r="T4" s="3201"/>
      <c r="U4" s="3201"/>
      <c r="V4" s="3201"/>
      <c r="W4" s="3039"/>
      <c r="X4" s="3039"/>
      <c r="Y4" s="3039"/>
      <c r="Z4" s="3039"/>
      <c r="AA4" s="3039"/>
      <c r="AB4" s="3040"/>
      <c r="AC4" s="3040"/>
      <c r="AD4" s="3040"/>
    </row>
    <row r="5" spans="1:31">
      <c r="B5" s="3037" t="s">
        <v>3071</v>
      </c>
      <c r="C5" s="3037"/>
      <c r="D5">
        <v>8344978.5999999996</v>
      </c>
      <c r="E5">
        <v>13781543.6</v>
      </c>
      <c r="H5">
        <v>72534.44</v>
      </c>
      <c r="L5" s="3037"/>
      <c r="Q5" s="3201"/>
      <c r="R5" s="3201"/>
      <c r="S5" s="3201" t="s">
        <v>3075</v>
      </c>
      <c r="T5" s="3201"/>
      <c r="U5" s="3201" t="s">
        <v>3076</v>
      </c>
      <c r="V5" s="3201"/>
      <c r="W5" s="3039" t="s">
        <v>3077</v>
      </c>
      <c r="X5" s="3039" t="s">
        <v>3078</v>
      </c>
      <c r="Y5" s="3039" t="s">
        <v>3079</v>
      </c>
      <c r="Z5" s="3039"/>
      <c r="AA5" s="3039"/>
      <c r="AB5" s="3040" t="s">
        <v>3080</v>
      </c>
      <c r="AC5" s="3040"/>
      <c r="AD5" s="3040"/>
    </row>
    <row r="6" spans="1:31">
      <c r="B6" s="3037" t="s">
        <v>3081</v>
      </c>
      <c r="C6" s="3037"/>
      <c r="D6">
        <v>3929400</v>
      </c>
      <c r="E6">
        <v>130980000</v>
      </c>
      <c r="L6" s="3037" t="s">
        <v>3082</v>
      </c>
      <c r="Q6" s="3041" t="s">
        <v>3083</v>
      </c>
      <c r="R6" s="3077">
        <f>S6+U6</f>
        <v>7999.37</v>
      </c>
      <c r="S6" s="3042">
        <v>7999.37</v>
      </c>
      <c r="T6" s="3041" t="s">
        <v>3084</v>
      </c>
      <c r="U6" s="3041">
        <v>0</v>
      </c>
      <c r="V6" s="3041" t="s">
        <v>70</v>
      </c>
      <c r="W6" s="3043">
        <v>6</v>
      </c>
      <c r="X6" s="3043">
        <v>5</v>
      </c>
      <c r="Y6" s="3044">
        <v>0.9</v>
      </c>
      <c r="Z6" s="3043"/>
      <c r="AA6" s="3043"/>
      <c r="AB6" s="3045"/>
      <c r="AC6" s="3046" t="s">
        <v>3085</v>
      </c>
      <c r="AD6" s="3078">
        <f>S46-S26-S34-S45</f>
        <v>103099.22</v>
      </c>
    </row>
    <row r="7" spans="1:31">
      <c r="B7" s="3037" t="s">
        <v>3086</v>
      </c>
      <c r="C7" s="3037"/>
      <c r="Q7" s="3041" t="s">
        <v>3087</v>
      </c>
      <c r="R7" s="3077">
        <f t="shared" ref="R7:R45" si="0">S7+U7</f>
        <v>3032.8</v>
      </c>
      <c r="S7" s="3042">
        <v>2474.61</v>
      </c>
      <c r="T7" s="3041" t="s">
        <v>3088</v>
      </c>
      <c r="U7" s="3047">
        <v>558.19000000000005</v>
      </c>
      <c r="V7" s="3041" t="s">
        <v>3088</v>
      </c>
      <c r="W7" s="3043">
        <v>4</v>
      </c>
      <c r="X7" s="3043" t="s">
        <v>3233</v>
      </c>
      <c r="Y7" s="3044">
        <v>0.9</v>
      </c>
      <c r="Z7" s="3043"/>
      <c r="AA7" s="3043"/>
      <c r="AB7" s="3049"/>
      <c r="AC7" s="3046" t="s">
        <v>3089</v>
      </c>
      <c r="AD7" s="3078">
        <f>U46-U42-U43-U45</f>
        <v>20689.020000000011</v>
      </c>
    </row>
    <row r="8" spans="1:31">
      <c r="B8" s="3059" t="s">
        <v>3205</v>
      </c>
      <c r="M8" s="3037" t="s">
        <v>3090</v>
      </c>
      <c r="N8" s="3037"/>
      <c r="Q8" s="3041" t="s">
        <v>3091</v>
      </c>
      <c r="R8" s="3077">
        <f t="shared" si="0"/>
        <v>3175.29</v>
      </c>
      <c r="S8" s="3042">
        <v>2469.9499999999998</v>
      </c>
      <c r="T8" s="3041" t="s">
        <v>3088</v>
      </c>
      <c r="U8" s="3047">
        <v>705.34</v>
      </c>
      <c r="V8" s="3041" t="s">
        <v>3088</v>
      </c>
      <c r="W8" s="3043">
        <v>4</v>
      </c>
      <c r="X8" s="3043" t="s">
        <v>3233</v>
      </c>
      <c r="Y8" s="3044">
        <v>0.9</v>
      </c>
      <c r="Z8" s="3043"/>
      <c r="AA8" s="3043"/>
      <c r="AB8" s="3050"/>
      <c r="AC8" s="3046" t="s">
        <v>48</v>
      </c>
      <c r="AD8" s="3040">
        <v>17651.66</v>
      </c>
    </row>
    <row r="9" spans="1:31">
      <c r="B9" s="3051"/>
      <c r="C9" s="3051"/>
      <c r="D9" s="3202" t="s">
        <v>3092</v>
      </c>
      <c r="E9" s="3203" t="s">
        <v>3093</v>
      </c>
      <c r="F9" s="3204"/>
      <c r="G9" s="3204"/>
      <c r="H9" s="3204"/>
      <c r="I9" s="3205"/>
      <c r="J9" s="3202" t="s">
        <v>3094</v>
      </c>
      <c r="L9" s="3037" t="s">
        <v>3095</v>
      </c>
      <c r="M9">
        <f>E41+F41+E43</f>
        <v>75167.210000000006</v>
      </c>
      <c r="N9" s="3038"/>
      <c r="O9" s="3037"/>
      <c r="Q9" s="3041" t="s">
        <v>3096</v>
      </c>
      <c r="R9" s="3077">
        <f t="shared" si="0"/>
        <v>3110.69</v>
      </c>
      <c r="S9" s="3042">
        <v>2443.83</v>
      </c>
      <c r="T9" s="3041" t="s">
        <v>3088</v>
      </c>
      <c r="U9" s="3047">
        <v>666.86</v>
      </c>
      <c r="V9" s="3041" t="s">
        <v>3088</v>
      </c>
      <c r="W9" s="3043">
        <v>4</v>
      </c>
      <c r="X9" s="3043" t="s">
        <v>3233</v>
      </c>
      <c r="Y9" s="3044">
        <v>0.9</v>
      </c>
      <c r="Z9" s="3043"/>
      <c r="AA9" s="3043"/>
      <c r="AB9" s="3052"/>
      <c r="AC9" s="3046" t="s">
        <v>3097</v>
      </c>
      <c r="AD9" s="3040">
        <f>S26+S34</f>
        <v>584.98</v>
      </c>
    </row>
    <row r="10" spans="1:31">
      <c r="A10" s="3071" t="s">
        <v>3208</v>
      </c>
      <c r="B10" s="3053" t="s">
        <v>3098</v>
      </c>
      <c r="C10" s="3053" t="s">
        <v>3099</v>
      </c>
      <c r="D10" s="3202"/>
      <c r="E10" s="3054" t="s">
        <v>3100</v>
      </c>
      <c r="F10" s="3054"/>
      <c r="G10" s="3054"/>
      <c r="H10" s="3053" t="s">
        <v>3068</v>
      </c>
      <c r="I10" s="3051"/>
      <c r="J10" s="3206"/>
      <c r="L10" s="3037" t="s">
        <v>3101</v>
      </c>
      <c r="M10">
        <f>H17+H38</f>
        <v>8285.41</v>
      </c>
      <c r="N10" s="3038"/>
      <c r="O10" s="3037"/>
      <c r="Q10" s="3041" t="s">
        <v>3102</v>
      </c>
      <c r="R10" s="3077">
        <f t="shared" si="0"/>
        <v>2969.98</v>
      </c>
      <c r="S10" s="3042">
        <v>2474.61</v>
      </c>
      <c r="T10" s="3041" t="s">
        <v>3088</v>
      </c>
      <c r="U10" s="3047">
        <v>495.37</v>
      </c>
      <c r="V10" s="3041" t="s">
        <v>3088</v>
      </c>
      <c r="W10" s="3043">
        <v>4</v>
      </c>
      <c r="X10" s="3043" t="s">
        <v>3233</v>
      </c>
      <c r="Y10" s="3044">
        <v>0.9</v>
      </c>
      <c r="Z10" s="3043"/>
      <c r="AA10" s="3043"/>
      <c r="AB10" s="3052"/>
      <c r="AC10" s="3046" t="s">
        <v>3103</v>
      </c>
      <c r="AD10" s="3040">
        <f>U43</f>
        <v>1155.6199999999999</v>
      </c>
    </row>
    <row r="11" spans="1:31">
      <c r="B11" s="3051"/>
      <c r="C11" s="3051"/>
      <c r="D11" s="3055"/>
      <c r="E11" s="3054" t="s">
        <v>3104</v>
      </c>
      <c r="F11" s="3054" t="s">
        <v>3105</v>
      </c>
      <c r="G11" s="3054" t="s">
        <v>3231</v>
      </c>
      <c r="H11" s="3053"/>
      <c r="I11" s="3051"/>
      <c r="J11" s="3056"/>
      <c r="L11" s="3037" t="s">
        <v>3106</v>
      </c>
      <c r="M11">
        <f>H15+H37</f>
        <v>12549.75</v>
      </c>
      <c r="N11" s="3038"/>
      <c r="O11" s="3037"/>
      <c r="Q11" s="3041" t="s">
        <v>3107</v>
      </c>
      <c r="R11" s="3077">
        <f t="shared" si="0"/>
        <v>2918.7</v>
      </c>
      <c r="S11" s="3042">
        <v>2443.83</v>
      </c>
      <c r="T11" s="3041" t="s">
        <v>3088</v>
      </c>
      <c r="U11" s="3047">
        <v>474.87</v>
      </c>
      <c r="V11" s="3041" t="s">
        <v>3088</v>
      </c>
      <c r="W11" s="3043"/>
      <c r="X11" s="3043" t="s">
        <v>3233</v>
      </c>
      <c r="Y11" s="3044">
        <v>0.9</v>
      </c>
      <c r="Z11" s="3043"/>
      <c r="AA11" s="3043"/>
      <c r="AB11" s="3057"/>
      <c r="AC11" s="3046" t="s">
        <v>3108</v>
      </c>
      <c r="AD11" s="3040">
        <f>R45</f>
        <v>2865</v>
      </c>
    </row>
    <row r="12" spans="1:31" ht="27">
      <c r="A12" s="3071" t="s">
        <v>3225</v>
      </c>
      <c r="B12" s="3054" t="s">
        <v>3109</v>
      </c>
      <c r="C12" s="3073" t="s">
        <v>3110</v>
      </c>
      <c r="D12" s="3073">
        <f>SUM(E12:H12)</f>
        <v>9433.5300000000007</v>
      </c>
      <c r="E12" s="3073">
        <v>9433.5300000000007</v>
      </c>
      <c r="F12" s="3054"/>
      <c r="G12" s="3054"/>
      <c r="H12" s="3054"/>
      <c r="I12" s="3054"/>
      <c r="J12" s="3054">
        <v>5</v>
      </c>
      <c r="L12" s="3037" t="s">
        <v>3111</v>
      </c>
      <c r="M12">
        <f>G43</f>
        <v>572.02</v>
      </c>
      <c r="N12" s="3038"/>
      <c r="Q12" s="3041" t="s">
        <v>3112</v>
      </c>
      <c r="R12" s="3077">
        <f t="shared" si="0"/>
        <v>3247.6099999999997</v>
      </c>
      <c r="S12" s="3042">
        <v>2469.9499999999998</v>
      </c>
      <c r="T12" s="3041" t="s">
        <v>3088</v>
      </c>
      <c r="U12" s="3047">
        <v>777.66</v>
      </c>
      <c r="V12" s="3041" t="s">
        <v>3088</v>
      </c>
      <c r="W12" s="3043">
        <v>4</v>
      </c>
      <c r="X12" s="3043" t="s">
        <v>3233</v>
      </c>
      <c r="Y12" s="3044">
        <v>0.9</v>
      </c>
      <c r="Z12" s="3043"/>
      <c r="AA12" s="3043"/>
      <c r="AB12" s="3040"/>
      <c r="AC12" s="3040" t="s">
        <v>3113</v>
      </c>
      <c r="AD12" s="3078">
        <f>SUM(AD6:AD11)</f>
        <v>146045.50000000003</v>
      </c>
    </row>
    <row r="13" spans="1:31" ht="27">
      <c r="A13" s="3071" t="s">
        <v>3226</v>
      </c>
      <c r="B13" s="3054" t="s">
        <v>3114</v>
      </c>
      <c r="C13" s="3073" t="s">
        <v>3115</v>
      </c>
      <c r="D13" s="3073">
        <f>SUM(E13:H13)</f>
        <v>8269.76</v>
      </c>
      <c r="E13" s="3074"/>
      <c r="F13" s="3054">
        <v>8269.76</v>
      </c>
      <c r="G13" s="3051"/>
      <c r="H13" s="3051"/>
      <c r="I13" s="3051"/>
      <c r="J13" s="3051">
        <v>6</v>
      </c>
      <c r="L13" s="3037" t="s">
        <v>3103</v>
      </c>
      <c r="M13">
        <f>H18+H16+H39+H43</f>
        <v>6194.2999999999993</v>
      </c>
      <c r="Q13" s="3041" t="s">
        <v>3116</v>
      </c>
      <c r="R13" s="3077">
        <f t="shared" si="0"/>
        <v>3171.8</v>
      </c>
      <c r="S13" s="3042">
        <v>2474.61</v>
      </c>
      <c r="T13" s="3041" t="s">
        <v>3088</v>
      </c>
      <c r="U13" s="3047">
        <v>697.19</v>
      </c>
      <c r="V13" s="3041" t="s">
        <v>3088</v>
      </c>
      <c r="W13" s="3043">
        <v>4</v>
      </c>
      <c r="X13" s="3043" t="s">
        <v>3233</v>
      </c>
      <c r="Y13" s="3044">
        <v>0.9</v>
      </c>
      <c r="Z13" s="3043"/>
      <c r="AA13" s="3043"/>
      <c r="AC13" s="3037" t="s">
        <v>3117</v>
      </c>
      <c r="AD13" s="3037" t="s">
        <v>3118</v>
      </c>
    </row>
    <row r="14" spans="1:31" ht="27">
      <c r="A14" s="3071" t="s">
        <v>3230</v>
      </c>
      <c r="B14" s="3053" t="s">
        <v>3119</v>
      </c>
      <c r="C14" s="3073" t="s">
        <v>3120</v>
      </c>
      <c r="D14" s="3073">
        <f>SUM(E14:H14)</f>
        <v>10595.77</v>
      </c>
      <c r="E14" s="3074"/>
      <c r="F14" s="3051"/>
      <c r="G14" s="3051"/>
      <c r="H14" s="3054">
        <v>10595.77</v>
      </c>
      <c r="I14" s="3051"/>
      <c r="J14" s="3051">
        <v>-1</v>
      </c>
      <c r="K14" s="3051">
        <v>10797.9</v>
      </c>
      <c r="L14" s="3037" t="s">
        <v>3121</v>
      </c>
      <c r="M14">
        <f>SUM(M9:M13)</f>
        <v>102768.69000000002</v>
      </c>
      <c r="Q14" s="3041" t="s">
        <v>3122</v>
      </c>
      <c r="R14" s="3077">
        <f t="shared" si="0"/>
        <v>4734.53</v>
      </c>
      <c r="S14" s="3042">
        <v>4734.53</v>
      </c>
      <c r="T14" s="3041" t="s">
        <v>3088</v>
      </c>
      <c r="U14" s="3058">
        <v>0</v>
      </c>
      <c r="V14" s="3041" t="s">
        <v>3088</v>
      </c>
      <c r="W14" s="3043">
        <v>4</v>
      </c>
      <c r="X14" s="3043" t="s">
        <v>3233</v>
      </c>
      <c r="Y14" s="3044">
        <v>0.9</v>
      </c>
      <c r="Z14" s="3043"/>
      <c r="AA14" s="3043"/>
      <c r="AB14" s="3037" t="s">
        <v>3123</v>
      </c>
      <c r="AC14" s="3076">
        <f>AD12-AD11</f>
        <v>143180.50000000003</v>
      </c>
      <c r="AD14" s="3059">
        <v>68983.08</v>
      </c>
      <c r="AE14" s="3037" t="s">
        <v>3234</v>
      </c>
    </row>
    <row r="15" spans="1:31">
      <c r="B15" s="3051"/>
      <c r="C15" s="3051"/>
      <c r="D15" s="3051"/>
      <c r="E15" s="3051"/>
      <c r="F15" s="3051"/>
      <c r="G15" s="3051"/>
      <c r="H15" s="3060">
        <f>ROUND(K15/$K$14*$H$14,2)</f>
        <v>5325.27</v>
      </c>
      <c r="I15" s="3060" t="s">
        <v>3124</v>
      </c>
      <c r="J15" s="3051"/>
      <c r="K15" s="3060">
        <v>5426.86</v>
      </c>
      <c r="N15" s="3038"/>
      <c r="Q15" s="3041" t="s">
        <v>3125</v>
      </c>
      <c r="R15" s="3077">
        <f t="shared" si="0"/>
        <v>4845.84</v>
      </c>
      <c r="S15" s="3042">
        <v>4247.1099999999997</v>
      </c>
      <c r="T15" s="3041" t="s">
        <v>3088</v>
      </c>
      <c r="U15" s="3047">
        <v>598.73</v>
      </c>
      <c r="V15" s="3041" t="s">
        <v>3088</v>
      </c>
      <c r="W15" s="3043">
        <v>5</v>
      </c>
      <c r="X15" s="3043" t="s">
        <v>3233</v>
      </c>
      <c r="Y15" s="3044">
        <v>0.9</v>
      </c>
      <c r="Z15" s="3043"/>
      <c r="AA15" s="3043"/>
      <c r="AB15" s="3037" t="s">
        <v>3126</v>
      </c>
      <c r="AC15">
        <f>M27</f>
        <v>248814.19000000006</v>
      </c>
      <c r="AD15">
        <f>N27</f>
        <v>119876.49</v>
      </c>
    </row>
    <row r="16" spans="1:31">
      <c r="B16" s="3051"/>
      <c r="C16" s="3051"/>
      <c r="D16" s="3051"/>
      <c r="E16" s="3051"/>
      <c r="F16" s="3051"/>
      <c r="G16" s="3051"/>
      <c r="H16" s="3060">
        <f>ROUND(K16/$K$14*$H$14,2)</f>
        <v>1393.64</v>
      </c>
      <c r="I16" s="3060" t="s">
        <v>3127</v>
      </c>
      <c r="J16" s="3051"/>
      <c r="K16" s="3060">
        <v>1420.23</v>
      </c>
      <c r="N16" s="3038"/>
      <c r="Q16" s="3041" t="s">
        <v>3128</v>
      </c>
      <c r="R16" s="3077">
        <f t="shared" si="0"/>
        <v>3062.62</v>
      </c>
      <c r="S16" s="3042">
        <v>2443.83</v>
      </c>
      <c r="T16" s="3041" t="s">
        <v>3088</v>
      </c>
      <c r="U16" s="3047">
        <v>618.79</v>
      </c>
      <c r="V16" s="3041" t="s">
        <v>3088</v>
      </c>
      <c r="W16" s="3043">
        <v>5</v>
      </c>
      <c r="X16" s="3043" t="s">
        <v>3233</v>
      </c>
      <c r="Y16" s="3044">
        <v>0.9</v>
      </c>
      <c r="Z16" s="3043"/>
      <c r="AA16" s="3043"/>
      <c r="AB16" s="3040"/>
      <c r="AC16" s="3040"/>
      <c r="AD16" s="3040"/>
    </row>
    <row r="17" spans="1:30">
      <c r="B17" s="3051"/>
      <c r="C17" s="3051"/>
      <c r="D17" s="3051"/>
      <c r="E17" s="3051"/>
      <c r="F17" s="3051"/>
      <c r="G17" s="3051"/>
      <c r="H17" s="3060">
        <f>ROUND(K17/$K$14*$H$14,2)</f>
        <v>673.87</v>
      </c>
      <c r="I17" s="3060" t="s">
        <v>3129</v>
      </c>
      <c r="J17" s="3051"/>
      <c r="K17" s="3060">
        <v>686.73</v>
      </c>
      <c r="L17" s="3037"/>
      <c r="N17" s="3038"/>
      <c r="Q17" s="3041" t="s">
        <v>3130</v>
      </c>
      <c r="R17" s="3077">
        <f t="shared" si="0"/>
        <v>3087.36</v>
      </c>
      <c r="S17" s="3042">
        <v>2474.61</v>
      </c>
      <c r="T17" s="3041" t="s">
        <v>3088</v>
      </c>
      <c r="U17" s="3047">
        <v>612.75</v>
      </c>
      <c r="V17" s="3041" t="s">
        <v>3088</v>
      </c>
      <c r="W17" s="3043">
        <v>4</v>
      </c>
      <c r="X17" s="3043" t="s">
        <v>3233</v>
      </c>
      <c r="Y17" s="3044">
        <v>0.9</v>
      </c>
      <c r="Z17" s="3043"/>
      <c r="AA17" s="3043"/>
      <c r="AB17" s="3040"/>
      <c r="AC17" s="3046"/>
      <c r="AD17" s="3040"/>
    </row>
    <row r="18" spans="1:30">
      <c r="B18" s="3051"/>
      <c r="C18" s="3051"/>
      <c r="D18" s="3051"/>
      <c r="E18" s="3051"/>
      <c r="F18" s="3051"/>
      <c r="G18" s="3051"/>
      <c r="H18" s="3060">
        <f>H14-H15-H16-H17</f>
        <v>3202.99</v>
      </c>
      <c r="I18" s="3060" t="s">
        <v>3131</v>
      </c>
      <c r="J18" s="3051"/>
      <c r="K18" s="3060">
        <v>3264.08</v>
      </c>
      <c r="Q18" s="3041" t="s">
        <v>3132</v>
      </c>
      <c r="R18" s="3077">
        <f t="shared" si="0"/>
        <v>2992.26</v>
      </c>
      <c r="S18" s="3042">
        <v>2474.61</v>
      </c>
      <c r="T18" s="3041" t="s">
        <v>3088</v>
      </c>
      <c r="U18" s="3047">
        <v>517.65</v>
      </c>
      <c r="V18" s="3041" t="s">
        <v>3088</v>
      </c>
      <c r="W18" s="3043">
        <v>4</v>
      </c>
      <c r="X18" s="3043" t="s">
        <v>3233</v>
      </c>
      <c r="Y18" s="3044">
        <v>0.9</v>
      </c>
      <c r="Z18" s="3043"/>
      <c r="AA18" s="3043"/>
      <c r="AB18" s="3040"/>
      <c r="AC18" s="3040"/>
      <c r="AD18" s="3040"/>
    </row>
    <row r="19" spans="1:30">
      <c r="B19" s="3054" t="s">
        <v>3133</v>
      </c>
      <c r="C19" s="3054"/>
      <c r="D19" s="3054">
        <f>SUM(D12:D14)</f>
        <v>28299.06</v>
      </c>
      <c r="E19" s="3054">
        <f>SUM(E12:E14)</f>
        <v>9433.5300000000007</v>
      </c>
      <c r="F19" s="3054">
        <f>SUM(F12:F14)</f>
        <v>8269.76</v>
      </c>
      <c r="G19" s="3054">
        <f>SUM(G12:G14)</f>
        <v>0</v>
      </c>
      <c r="H19" s="3054">
        <f>SUM(H12:H14)</f>
        <v>10595.77</v>
      </c>
      <c r="I19" s="3053"/>
      <c r="J19" s="3061"/>
      <c r="N19" s="3038"/>
      <c r="Q19" s="3041" t="s">
        <v>3134</v>
      </c>
      <c r="R19" s="3077">
        <f t="shared" si="0"/>
        <v>3220.09</v>
      </c>
      <c r="S19" s="3042">
        <v>2474.61</v>
      </c>
      <c r="T19" s="3041" t="s">
        <v>3088</v>
      </c>
      <c r="U19" s="3047">
        <v>745.48</v>
      </c>
      <c r="V19" s="3041" t="s">
        <v>3088</v>
      </c>
      <c r="W19" s="3043">
        <v>4</v>
      </c>
      <c r="X19" s="3043" t="s">
        <v>3233</v>
      </c>
      <c r="Y19" s="3044">
        <v>0.9</v>
      </c>
      <c r="Z19" s="3043"/>
      <c r="AA19" s="3043"/>
      <c r="AB19" s="3040"/>
      <c r="AC19" s="3040"/>
      <c r="AD19" s="3040"/>
    </row>
    <row r="20" spans="1:30" ht="27">
      <c r="A20" s="3071" t="s">
        <v>3227</v>
      </c>
      <c r="B20" s="3053" t="s">
        <v>3135</v>
      </c>
      <c r="C20" s="3054" t="s">
        <v>3136</v>
      </c>
      <c r="D20" s="3054">
        <f t="shared" ref="D20:D36" si="1">SUM(E20:H20)</f>
        <v>1500.94</v>
      </c>
      <c r="E20" s="3054">
        <v>1500.94</v>
      </c>
      <c r="F20" s="3051"/>
      <c r="G20" s="3051"/>
      <c r="H20" s="3051"/>
      <c r="I20" s="3051"/>
      <c r="J20" s="3051">
        <v>3</v>
      </c>
      <c r="N20" s="3038"/>
      <c r="Q20" s="3041" t="s">
        <v>3137</v>
      </c>
      <c r="R20" s="3077">
        <f t="shared" si="0"/>
        <v>3050.8</v>
      </c>
      <c r="S20" s="3042">
        <v>2443.83</v>
      </c>
      <c r="T20" s="3041" t="s">
        <v>3088</v>
      </c>
      <c r="U20" s="3047">
        <v>606.97</v>
      </c>
      <c r="V20" s="3041" t="s">
        <v>3088</v>
      </c>
      <c r="W20" s="3043">
        <v>4</v>
      </c>
      <c r="X20" s="3043" t="s">
        <v>3233</v>
      </c>
      <c r="Y20" s="3044">
        <v>0.9</v>
      </c>
      <c r="Z20" s="3043"/>
      <c r="AA20" s="3043"/>
      <c r="AB20" s="3040"/>
      <c r="AD20" s="3040"/>
    </row>
    <row r="21" spans="1:30" ht="27">
      <c r="A21" s="3071" t="s">
        <v>3228</v>
      </c>
      <c r="B21" s="3053" t="s">
        <v>3138</v>
      </c>
      <c r="C21" s="3054" t="s">
        <v>3139</v>
      </c>
      <c r="D21" s="3054">
        <f t="shared" si="1"/>
        <v>1116.4000000000001</v>
      </c>
      <c r="E21" s="3054">
        <v>1116.4000000000001</v>
      </c>
      <c r="F21" s="3051"/>
      <c r="G21" s="3051"/>
      <c r="H21" s="3051"/>
      <c r="I21" s="3051"/>
      <c r="J21" s="3051">
        <v>3</v>
      </c>
      <c r="L21" s="3037"/>
      <c r="N21" s="3038"/>
      <c r="Q21" s="3041" t="s">
        <v>3140</v>
      </c>
      <c r="R21" s="3077">
        <f t="shared" si="0"/>
        <v>2958.83</v>
      </c>
      <c r="S21" s="3042">
        <v>2474.61</v>
      </c>
      <c r="T21" s="3041" t="s">
        <v>3088</v>
      </c>
      <c r="U21" s="3047">
        <v>484.22</v>
      </c>
      <c r="V21" s="3041" t="s">
        <v>3088</v>
      </c>
      <c r="W21" s="3043">
        <v>4</v>
      </c>
      <c r="X21" s="3043" t="s">
        <v>3233</v>
      </c>
      <c r="Y21" s="3044">
        <v>0.9</v>
      </c>
      <c r="Z21" s="3043"/>
      <c r="AA21" s="3043"/>
      <c r="AB21" s="3040"/>
      <c r="AC21" s="3040"/>
      <c r="AD21" s="3040"/>
    </row>
    <row r="22" spans="1:30" ht="27">
      <c r="A22" s="3071" t="s">
        <v>3229</v>
      </c>
      <c r="B22" s="3053" t="s">
        <v>3141</v>
      </c>
      <c r="C22" s="3054" t="s">
        <v>3142</v>
      </c>
      <c r="D22" s="3054">
        <f t="shared" si="1"/>
        <v>2056.79</v>
      </c>
      <c r="E22" s="3054">
        <v>2056.79</v>
      </c>
      <c r="F22" s="3051"/>
      <c r="G22" s="3051"/>
      <c r="H22" s="3051"/>
      <c r="I22" s="3051"/>
      <c r="J22" s="3051">
        <v>3</v>
      </c>
      <c r="Q22" s="3041" t="s">
        <v>3143</v>
      </c>
      <c r="R22" s="3077">
        <f t="shared" si="0"/>
        <v>5348.37</v>
      </c>
      <c r="S22" s="3042">
        <v>4739.26</v>
      </c>
      <c r="T22" s="3041" t="s">
        <v>3088</v>
      </c>
      <c r="U22" s="3047">
        <v>609.11</v>
      </c>
      <c r="V22" s="3041" t="s">
        <v>3088</v>
      </c>
      <c r="W22" s="3043">
        <v>4</v>
      </c>
      <c r="X22" s="3043" t="s">
        <v>3233</v>
      </c>
      <c r="Y22" s="3044">
        <v>0.9</v>
      </c>
      <c r="Z22" s="3043"/>
      <c r="AA22" s="3043"/>
      <c r="AB22" s="3040"/>
      <c r="AC22" s="3040"/>
      <c r="AD22" s="3040"/>
    </row>
    <row r="23" spans="1:30" ht="27">
      <c r="A23" s="3071" t="s">
        <v>3209</v>
      </c>
      <c r="B23" s="3053" t="s">
        <v>3144</v>
      </c>
      <c r="C23" s="3054" t="s">
        <v>3145</v>
      </c>
      <c r="D23" s="3054">
        <f t="shared" si="1"/>
        <v>2010</v>
      </c>
      <c r="E23" s="3054">
        <v>2010</v>
      </c>
      <c r="F23" s="3051"/>
      <c r="G23" s="3051"/>
      <c r="H23" s="3051"/>
      <c r="I23" s="3051"/>
      <c r="J23" s="3051">
        <v>4</v>
      </c>
      <c r="Q23" s="3041" t="s">
        <v>3146</v>
      </c>
      <c r="R23" s="3077">
        <f t="shared" si="0"/>
        <v>4953.33</v>
      </c>
      <c r="S23" s="3042">
        <v>4253.07</v>
      </c>
      <c r="T23" s="3041" t="s">
        <v>3088</v>
      </c>
      <c r="U23" s="3047">
        <v>700.26</v>
      </c>
      <c r="V23" s="3041" t="s">
        <v>3088</v>
      </c>
      <c r="W23" s="3043">
        <v>5</v>
      </c>
      <c r="X23" s="3043" t="s">
        <v>3233</v>
      </c>
      <c r="Y23" s="3044">
        <v>0.9</v>
      </c>
      <c r="Z23" s="3043"/>
      <c r="AA23" s="3043"/>
      <c r="AB23" s="3040"/>
      <c r="AC23" s="3040"/>
      <c r="AD23" s="3040">
        <f>146045.5-AD11</f>
        <v>143180.5</v>
      </c>
    </row>
    <row r="24" spans="1:30" ht="27">
      <c r="A24" s="3071" t="s">
        <v>3210</v>
      </c>
      <c r="B24" s="3053" t="s">
        <v>3147</v>
      </c>
      <c r="C24" s="3054" t="s">
        <v>3148</v>
      </c>
      <c r="D24" s="3054">
        <f t="shared" si="1"/>
        <v>1927.94</v>
      </c>
      <c r="E24" s="3054">
        <v>1927.94</v>
      </c>
      <c r="F24" s="3051"/>
      <c r="G24" s="3051"/>
      <c r="H24" s="3051"/>
      <c r="I24" s="3051"/>
      <c r="J24" s="3051">
        <v>4</v>
      </c>
      <c r="Q24" s="3041" t="s">
        <v>3149</v>
      </c>
      <c r="R24" s="3077">
        <f t="shared" si="0"/>
        <v>5218.43</v>
      </c>
      <c r="S24" s="3042">
        <v>4617.99</v>
      </c>
      <c r="T24" s="3041" t="s">
        <v>3088</v>
      </c>
      <c r="U24" s="3047">
        <v>600.44000000000005</v>
      </c>
      <c r="V24" s="3041" t="s">
        <v>3088</v>
      </c>
      <c r="W24" s="3043">
        <v>5</v>
      </c>
      <c r="X24" s="3043" t="s">
        <v>3233</v>
      </c>
      <c r="Y24" s="3044">
        <v>0.9</v>
      </c>
      <c r="Z24" s="3043"/>
      <c r="AA24" s="3043"/>
      <c r="AB24" s="3040"/>
      <c r="AC24" s="3040"/>
      <c r="AD24" s="3040"/>
    </row>
    <row r="25" spans="1:30" ht="27">
      <c r="A25" s="3071" t="s">
        <v>3211</v>
      </c>
      <c r="B25" s="3053" t="s">
        <v>3150</v>
      </c>
      <c r="C25" s="3054" t="s">
        <v>3151</v>
      </c>
      <c r="D25" s="3054">
        <f t="shared" si="1"/>
        <v>1116.0999999999999</v>
      </c>
      <c r="E25" s="3054">
        <v>1116.0999999999999</v>
      </c>
      <c r="F25" s="3051"/>
      <c r="G25" s="3051"/>
      <c r="H25" s="3051"/>
      <c r="I25" s="3051"/>
      <c r="J25" s="3051">
        <v>3</v>
      </c>
      <c r="M25" s="3037" t="s">
        <v>3152</v>
      </c>
      <c r="N25" s="3037" t="s">
        <v>3153</v>
      </c>
      <c r="Q25" s="3041" t="s">
        <v>3154</v>
      </c>
      <c r="R25" s="3077">
        <f t="shared" si="0"/>
        <v>4920.2099999999991</v>
      </c>
      <c r="S25" s="3042">
        <v>4249.6899999999996</v>
      </c>
      <c r="T25" s="3041" t="s">
        <v>3088</v>
      </c>
      <c r="U25" s="3047">
        <v>670.52</v>
      </c>
      <c r="V25" s="3041" t="s">
        <v>3088</v>
      </c>
      <c r="W25" s="3043">
        <v>5</v>
      </c>
      <c r="X25" s="3043" t="s">
        <v>3233</v>
      </c>
      <c r="Y25" s="3044">
        <v>0.9</v>
      </c>
      <c r="Z25" s="3043"/>
      <c r="AA25" s="3043"/>
    </row>
    <row r="26" spans="1:30" ht="27">
      <c r="A26" s="3071" t="s">
        <v>3212</v>
      </c>
      <c r="B26" s="3053" t="s">
        <v>3155</v>
      </c>
      <c r="C26" s="3054" t="s">
        <v>3156</v>
      </c>
      <c r="D26" s="3054">
        <f t="shared" si="1"/>
        <v>2056.48</v>
      </c>
      <c r="E26" s="3054">
        <v>2056.48</v>
      </c>
      <c r="F26" s="3051"/>
      <c r="G26" s="3051"/>
      <c r="H26" s="3051"/>
      <c r="I26" s="3051"/>
      <c r="J26" s="3051">
        <v>3</v>
      </c>
      <c r="L26" s="3037" t="s">
        <v>3082</v>
      </c>
      <c r="M26">
        <f>M14</f>
        <v>102768.69000000002</v>
      </c>
      <c r="N26" s="3059">
        <v>49513.04</v>
      </c>
      <c r="Q26" s="3041" t="s">
        <v>3157</v>
      </c>
      <c r="R26" s="3077">
        <f t="shared" si="0"/>
        <v>302.74</v>
      </c>
      <c r="S26" s="3062">
        <v>302.74</v>
      </c>
      <c r="T26" s="3063" t="s">
        <v>3158</v>
      </c>
      <c r="U26" s="3058">
        <v>0</v>
      </c>
      <c r="V26" s="3041" t="s">
        <v>70</v>
      </c>
      <c r="W26" s="3043">
        <v>5</v>
      </c>
      <c r="X26" s="3043" t="s">
        <v>3233</v>
      </c>
      <c r="Y26" s="3044">
        <v>0.9</v>
      </c>
      <c r="Z26" s="3043"/>
      <c r="AA26" s="3043"/>
    </row>
    <row r="27" spans="1:30" ht="27">
      <c r="A27" s="3071" t="s">
        <v>3213</v>
      </c>
      <c r="B27" s="3053" t="s">
        <v>3159</v>
      </c>
      <c r="C27" s="3054" t="s">
        <v>3160</v>
      </c>
      <c r="D27" s="3054">
        <f t="shared" si="1"/>
        <v>2010.38</v>
      </c>
      <c r="E27" s="3054">
        <v>2010.38</v>
      </c>
      <c r="F27" s="3051"/>
      <c r="G27" s="3051"/>
      <c r="H27" s="3051"/>
      <c r="I27" s="3051"/>
      <c r="J27" s="3051">
        <v>4</v>
      </c>
      <c r="L27" s="3037" t="s">
        <v>3161</v>
      </c>
      <c r="M27" s="3076">
        <f>D41+R46+D43</f>
        <v>248814.19000000006</v>
      </c>
      <c r="N27">
        <f>'[1]数据-基础表'!A3</f>
        <v>119876.49</v>
      </c>
      <c r="Q27" s="3041" t="s">
        <v>3162</v>
      </c>
      <c r="R27" s="3077">
        <f t="shared" si="0"/>
        <v>5258.8</v>
      </c>
      <c r="S27" s="3042">
        <v>4280.22</v>
      </c>
      <c r="T27" s="3063" t="s">
        <v>3088</v>
      </c>
      <c r="U27" s="3047">
        <v>978.58</v>
      </c>
      <c r="V27" s="3041" t="s">
        <v>3088</v>
      </c>
      <c r="W27" s="3043">
        <v>1</v>
      </c>
      <c r="X27" s="3043" t="s">
        <v>3233</v>
      </c>
      <c r="Y27" s="3044">
        <v>0.9</v>
      </c>
      <c r="Z27" s="3043"/>
      <c r="AA27" s="3043"/>
    </row>
    <row r="28" spans="1:30" ht="27">
      <c r="A28" s="3071" t="s">
        <v>3214</v>
      </c>
      <c r="B28" s="3053" t="s">
        <v>3163</v>
      </c>
      <c r="C28" s="3054" t="s">
        <v>3164</v>
      </c>
      <c r="D28" s="3054">
        <f t="shared" si="1"/>
        <v>1117.76</v>
      </c>
      <c r="E28" s="3054">
        <v>1117.76</v>
      </c>
      <c r="F28" s="3051"/>
      <c r="G28" s="3051"/>
      <c r="H28" s="3051"/>
      <c r="I28" s="3051"/>
      <c r="J28" s="3051">
        <v>3</v>
      </c>
      <c r="Q28" s="3041" t="s">
        <v>3165</v>
      </c>
      <c r="R28" s="3077">
        <f t="shared" si="0"/>
        <v>3088.35</v>
      </c>
      <c r="S28" s="3042">
        <v>2443.83</v>
      </c>
      <c r="T28" s="3063" t="s">
        <v>3088</v>
      </c>
      <c r="U28" s="3047">
        <v>644.52</v>
      </c>
      <c r="V28" s="3041" t="s">
        <v>3088</v>
      </c>
      <c r="W28" s="3043">
        <v>5</v>
      </c>
      <c r="X28" s="3043" t="s">
        <v>3233</v>
      </c>
      <c r="Y28" s="3044">
        <v>0.9</v>
      </c>
      <c r="Z28" s="3043"/>
      <c r="AA28" s="3043"/>
    </row>
    <row r="29" spans="1:30" ht="27">
      <c r="A29" s="3071" t="s">
        <v>3215</v>
      </c>
      <c r="B29" s="3053" t="s">
        <v>3166</v>
      </c>
      <c r="C29" s="3054" t="s">
        <v>3167</v>
      </c>
      <c r="D29" s="3054">
        <f t="shared" si="1"/>
        <v>2010.07</v>
      </c>
      <c r="E29" s="3054">
        <v>2010.07</v>
      </c>
      <c r="F29" s="3051"/>
      <c r="G29" s="3051"/>
      <c r="H29" s="3051"/>
      <c r="I29" s="3051"/>
      <c r="J29" s="3051">
        <v>4</v>
      </c>
      <c r="Q29" s="3041" t="s">
        <v>3168</v>
      </c>
      <c r="R29" s="3077">
        <f t="shared" si="0"/>
        <v>2979.06</v>
      </c>
      <c r="S29" s="3042">
        <v>2474.61</v>
      </c>
      <c r="T29" s="3063" t="s">
        <v>3088</v>
      </c>
      <c r="U29" s="3047">
        <v>504.45</v>
      </c>
      <c r="V29" s="3041" t="s">
        <v>3088</v>
      </c>
      <c r="W29" s="3043">
        <v>4</v>
      </c>
      <c r="X29" s="3043" t="s">
        <v>3233</v>
      </c>
      <c r="Y29" s="3044">
        <v>0.9</v>
      </c>
      <c r="Z29" s="3043"/>
      <c r="AA29" s="3043"/>
    </row>
    <row r="30" spans="1:30" ht="27">
      <c r="A30" s="3071" t="s">
        <v>3216</v>
      </c>
      <c r="B30" s="3053" t="s">
        <v>3169</v>
      </c>
      <c r="C30" s="3054" t="s">
        <v>3170</v>
      </c>
      <c r="D30" s="3054">
        <f t="shared" si="1"/>
        <v>1117.77</v>
      </c>
      <c r="E30" s="3054">
        <v>1117.77</v>
      </c>
      <c r="F30" s="3051"/>
      <c r="G30" s="3051"/>
      <c r="H30" s="3051"/>
      <c r="I30" s="3051"/>
      <c r="J30" s="3051">
        <v>3</v>
      </c>
      <c r="K30" s="3037"/>
      <c r="N30" s="3037"/>
      <c r="O30" s="3037"/>
      <c r="Q30" s="3041" t="s">
        <v>3171</v>
      </c>
      <c r="R30" s="3077">
        <f t="shared" si="0"/>
        <v>3009.5299999999997</v>
      </c>
      <c r="S30" s="3042">
        <v>2443.83</v>
      </c>
      <c r="T30" s="3063" t="s">
        <v>3088</v>
      </c>
      <c r="U30" s="3047">
        <v>565.70000000000005</v>
      </c>
      <c r="V30" s="3041" t="s">
        <v>3088</v>
      </c>
      <c r="W30" s="3043">
        <v>4</v>
      </c>
      <c r="X30" s="3043" t="s">
        <v>3233</v>
      </c>
      <c r="Y30" s="3044">
        <v>0.9</v>
      </c>
      <c r="Z30" s="3043"/>
      <c r="AA30" s="3043"/>
    </row>
    <row r="31" spans="1:30" ht="27">
      <c r="A31" s="3071" t="s">
        <v>3217</v>
      </c>
      <c r="B31" s="3053" t="s">
        <v>3172</v>
      </c>
      <c r="C31" s="3054" t="s">
        <v>3173</v>
      </c>
      <c r="D31" s="3054">
        <f t="shared" si="1"/>
        <v>1928.9</v>
      </c>
      <c r="E31" s="3054">
        <v>1928.9</v>
      </c>
      <c r="F31" s="3051"/>
      <c r="G31" s="3051"/>
      <c r="H31" s="3051"/>
      <c r="I31" s="3051"/>
      <c r="J31" s="3051">
        <v>4</v>
      </c>
      <c r="L31" s="3037"/>
      <c r="N31" s="3037"/>
      <c r="Q31" s="3041" t="s">
        <v>3174</v>
      </c>
      <c r="R31" s="3077">
        <f t="shared" si="0"/>
        <v>3032.52</v>
      </c>
      <c r="S31" s="3042">
        <v>2443.83</v>
      </c>
      <c r="T31" s="3063" t="s">
        <v>3088</v>
      </c>
      <c r="U31" s="3047">
        <v>588.69000000000005</v>
      </c>
      <c r="V31" s="3041" t="s">
        <v>3088</v>
      </c>
      <c r="W31" s="3043">
        <v>4</v>
      </c>
      <c r="X31" s="3043" t="s">
        <v>3233</v>
      </c>
      <c r="Y31" s="3044">
        <v>0.9</v>
      </c>
      <c r="Z31" s="3043"/>
      <c r="AA31" s="3043"/>
    </row>
    <row r="32" spans="1:30" ht="27">
      <c r="A32" s="3071" t="s">
        <v>3218</v>
      </c>
      <c r="B32" s="3053" t="s">
        <v>3175</v>
      </c>
      <c r="C32" s="3054" t="s">
        <v>3176</v>
      </c>
      <c r="D32" s="3054">
        <f t="shared" si="1"/>
        <v>2056.79</v>
      </c>
      <c r="E32" s="3054">
        <v>2056.79</v>
      </c>
      <c r="F32" s="3051"/>
      <c r="G32" s="3051"/>
      <c r="H32" s="3051"/>
      <c r="I32" s="3051"/>
      <c r="J32" s="3051">
        <v>3</v>
      </c>
      <c r="L32" s="3037"/>
      <c r="Q32" s="3041" t="s">
        <v>3177</v>
      </c>
      <c r="R32" s="3077">
        <f t="shared" si="0"/>
        <v>3031.57</v>
      </c>
      <c r="S32" s="3042">
        <v>2474.61</v>
      </c>
      <c r="T32" s="3063" t="s">
        <v>3088</v>
      </c>
      <c r="U32" s="3047">
        <v>556.96</v>
      </c>
      <c r="V32" s="3041" t="s">
        <v>3088</v>
      </c>
      <c r="W32" s="3043">
        <v>4</v>
      </c>
      <c r="X32" s="3043" t="s">
        <v>3233</v>
      </c>
      <c r="Y32" s="3044">
        <v>0.9</v>
      </c>
      <c r="Z32" s="3043"/>
      <c r="AA32" s="3043"/>
    </row>
    <row r="33" spans="1:27" ht="27">
      <c r="A33" s="3071" t="s">
        <v>3220</v>
      </c>
      <c r="B33" s="3053" t="s">
        <v>3178</v>
      </c>
      <c r="C33" s="3054" t="s">
        <v>3179</v>
      </c>
      <c r="D33" s="3054">
        <f t="shared" si="1"/>
        <v>2010.26</v>
      </c>
      <c r="E33" s="3054">
        <v>2010.26</v>
      </c>
      <c r="F33" s="3051"/>
      <c r="G33" s="3051"/>
      <c r="H33" s="3051"/>
      <c r="I33" s="3051"/>
      <c r="J33" s="3051">
        <v>4</v>
      </c>
      <c r="L33" s="3037"/>
      <c r="O33" s="3037"/>
      <c r="Q33" s="3041" t="s">
        <v>3180</v>
      </c>
      <c r="R33" s="3077">
        <f t="shared" si="0"/>
        <v>3040.12</v>
      </c>
      <c r="S33" s="3042">
        <v>2443.83</v>
      </c>
      <c r="T33" s="3063" t="s">
        <v>3088</v>
      </c>
      <c r="U33" s="3047">
        <v>596.29</v>
      </c>
      <c r="V33" s="3041" t="s">
        <v>3088</v>
      </c>
      <c r="W33" s="3043">
        <v>4</v>
      </c>
      <c r="X33" s="3043" t="s">
        <v>3233</v>
      </c>
      <c r="Y33" s="3044">
        <v>0.9</v>
      </c>
      <c r="Z33" s="3043"/>
      <c r="AA33" s="3043"/>
    </row>
    <row r="34" spans="1:27" ht="27">
      <c r="A34" s="3071" t="s">
        <v>3219</v>
      </c>
      <c r="B34" s="3053" t="s">
        <v>3181</v>
      </c>
      <c r="C34" s="3054" t="s">
        <v>3182</v>
      </c>
      <c r="D34" s="3054">
        <f t="shared" si="1"/>
        <v>2056.79</v>
      </c>
      <c r="E34" s="3054">
        <v>2056.79</v>
      </c>
      <c r="F34" s="3051"/>
      <c r="G34" s="3051"/>
      <c r="H34" s="3051"/>
      <c r="I34" s="3051"/>
      <c r="J34" s="3051">
        <v>3</v>
      </c>
      <c r="Q34" s="3041" t="s">
        <v>3183</v>
      </c>
      <c r="R34" s="3077">
        <f t="shared" si="0"/>
        <v>282.24</v>
      </c>
      <c r="S34" s="3062">
        <v>282.24</v>
      </c>
      <c r="T34" s="3063" t="s">
        <v>3158</v>
      </c>
      <c r="U34" s="3058">
        <v>0</v>
      </c>
      <c r="V34" s="3041" t="s">
        <v>70</v>
      </c>
      <c r="W34" s="3043">
        <v>4</v>
      </c>
      <c r="X34" s="3043" t="s">
        <v>3233</v>
      </c>
      <c r="Y34" s="3044">
        <v>0.9</v>
      </c>
      <c r="Z34" s="3043"/>
      <c r="AA34" s="3043"/>
    </row>
    <row r="35" spans="1:27" ht="27">
      <c r="A35" s="3071" t="s">
        <v>3222</v>
      </c>
      <c r="B35" s="3053" t="s">
        <v>3184</v>
      </c>
      <c r="C35" s="3054" t="s">
        <v>3185</v>
      </c>
      <c r="D35" s="3054">
        <f t="shared" si="1"/>
        <v>1928.9</v>
      </c>
      <c r="E35" s="3054">
        <v>1928.9</v>
      </c>
      <c r="F35" s="3051"/>
      <c r="G35" s="3051"/>
      <c r="H35" s="3051"/>
      <c r="I35" s="3051"/>
      <c r="J35" s="3051">
        <v>4</v>
      </c>
      <c r="Q35" s="3041" t="s">
        <v>3186</v>
      </c>
      <c r="R35" s="3077">
        <f t="shared" si="0"/>
        <v>3192.48</v>
      </c>
      <c r="S35" s="3042">
        <v>2474.61</v>
      </c>
      <c r="T35" s="3063" t="s">
        <v>3088</v>
      </c>
      <c r="U35" s="3047">
        <v>717.87</v>
      </c>
      <c r="V35" s="3041" t="s">
        <v>3088</v>
      </c>
      <c r="W35" s="3043">
        <v>1</v>
      </c>
      <c r="X35" s="3043" t="s">
        <v>3233</v>
      </c>
      <c r="Y35" s="3044">
        <v>0.9</v>
      </c>
      <c r="Z35" s="3043"/>
      <c r="AA35" s="3043"/>
    </row>
    <row r="36" spans="1:27" ht="27">
      <c r="A36" s="3071" t="s">
        <v>3223</v>
      </c>
      <c r="B36" s="3053" t="s">
        <v>3187</v>
      </c>
      <c r="C36" s="3054" t="s">
        <v>3224</v>
      </c>
      <c r="D36" s="3054">
        <f t="shared" si="1"/>
        <v>15670.04</v>
      </c>
      <c r="E36" s="3051"/>
      <c r="F36" s="3051"/>
      <c r="G36" s="3051"/>
      <c r="H36" s="3051">
        <v>15670.04</v>
      </c>
      <c r="I36" s="3051"/>
      <c r="J36" s="3051">
        <v>-1</v>
      </c>
      <c r="K36">
        <v>15663.88</v>
      </c>
      <c r="Q36" s="3041" t="s">
        <v>3232</v>
      </c>
      <c r="R36" s="3077">
        <v>3049.99</v>
      </c>
      <c r="S36" s="3042">
        <v>2443.83</v>
      </c>
      <c r="T36" s="3063" t="s">
        <v>3088</v>
      </c>
      <c r="U36" s="3047">
        <v>606.16</v>
      </c>
      <c r="V36" s="3041" t="s">
        <v>3088</v>
      </c>
      <c r="W36" s="3043"/>
      <c r="X36" s="3043" t="s">
        <v>3233</v>
      </c>
      <c r="Y36" s="3044">
        <v>0.9</v>
      </c>
      <c r="Z36" s="3043"/>
      <c r="AA36" s="3043"/>
    </row>
    <row r="37" spans="1:27">
      <c r="B37" s="3051"/>
      <c r="C37" s="3051"/>
      <c r="D37" s="3051"/>
      <c r="E37" s="3051"/>
      <c r="F37" s="3051"/>
      <c r="G37" s="3051"/>
      <c r="H37" s="3060">
        <f>ROUND(K37/$K$36*$H$36,2)</f>
        <v>7224.48</v>
      </c>
      <c r="I37" s="3060" t="s">
        <v>3189</v>
      </c>
      <c r="J37" s="3051"/>
      <c r="K37">
        <v>7221.64</v>
      </c>
      <c r="Q37" s="3041" t="s">
        <v>3188</v>
      </c>
      <c r="R37" s="3041">
        <f t="shared" si="0"/>
        <v>3102.67</v>
      </c>
      <c r="S37" s="3042">
        <v>2469.9499999999998</v>
      </c>
      <c r="T37" s="3063" t="s">
        <v>3088</v>
      </c>
      <c r="U37" s="3058">
        <v>632.72</v>
      </c>
      <c r="V37" s="3041" t="s">
        <v>3088</v>
      </c>
      <c r="W37" s="3043">
        <v>4</v>
      </c>
      <c r="X37" s="3043" t="s">
        <v>3233</v>
      </c>
      <c r="Y37" s="3044">
        <v>0.9</v>
      </c>
      <c r="Z37" s="3043"/>
      <c r="AA37" s="3043"/>
    </row>
    <row r="38" spans="1:27">
      <c r="B38" s="3051"/>
      <c r="C38" s="3051"/>
      <c r="D38" s="3051"/>
      <c r="E38" s="3051"/>
      <c r="F38" s="3051"/>
      <c r="G38" s="3051"/>
      <c r="H38" s="3060">
        <f>ROUND(K38/$K$36*$H$36,2)</f>
        <v>7611.54</v>
      </c>
      <c r="I38" s="3060" t="s">
        <v>3191</v>
      </c>
      <c r="J38" s="3051"/>
      <c r="K38">
        <v>7608.55</v>
      </c>
      <c r="Q38" s="3041" t="s">
        <v>3190</v>
      </c>
      <c r="R38" s="3041">
        <f t="shared" si="0"/>
        <v>3090.49</v>
      </c>
      <c r="S38" s="3042">
        <v>2443.83</v>
      </c>
      <c r="T38" s="3063" t="s">
        <v>3088</v>
      </c>
      <c r="U38" s="3058">
        <v>646.66</v>
      </c>
      <c r="V38" s="3041" t="s">
        <v>3088</v>
      </c>
      <c r="W38" s="3043">
        <v>4</v>
      </c>
      <c r="X38" s="3043" t="s">
        <v>3233</v>
      </c>
      <c r="Y38" s="3044">
        <v>0.9</v>
      </c>
      <c r="Z38" s="3043"/>
      <c r="AA38" s="3043"/>
    </row>
    <row r="39" spans="1:27">
      <c r="B39" s="3051"/>
      <c r="C39" s="3051"/>
      <c r="D39" s="3051"/>
      <c r="E39" s="3051"/>
      <c r="F39" s="3051"/>
      <c r="G39" s="3051"/>
      <c r="H39" s="3060">
        <f>ROUND(K39/$K$36*$H$36,2)</f>
        <v>834.02</v>
      </c>
      <c r="I39" s="3060" t="s">
        <v>3193</v>
      </c>
      <c r="J39" s="3051"/>
      <c r="K39">
        <v>833.69</v>
      </c>
      <c r="Q39" s="3041" t="s">
        <v>3192</v>
      </c>
      <c r="R39" s="3041">
        <f t="shared" si="0"/>
        <v>3288.6899999999996</v>
      </c>
      <c r="S39" s="3042">
        <v>2469.9499999999998</v>
      </c>
      <c r="T39" s="3063" t="s">
        <v>3088</v>
      </c>
      <c r="U39" s="3058">
        <v>818.74</v>
      </c>
      <c r="V39" s="3041" t="s">
        <v>3088</v>
      </c>
      <c r="W39" s="3043">
        <v>4</v>
      </c>
      <c r="X39" s="3043" t="s">
        <v>3233</v>
      </c>
      <c r="Y39" s="3044">
        <v>0.9</v>
      </c>
      <c r="Z39" s="3043"/>
      <c r="AA39" s="3043"/>
    </row>
    <row r="40" spans="1:27">
      <c r="B40" s="3053" t="s">
        <v>3195</v>
      </c>
      <c r="C40" s="3053"/>
      <c r="D40" s="3054">
        <f>SUM(D20:D36)</f>
        <v>43692.310000000005</v>
      </c>
      <c r="E40" s="3054">
        <f>SUM(E20:E36)</f>
        <v>28022.270000000004</v>
      </c>
      <c r="F40" s="3054">
        <f>SUM(F20:F36)</f>
        <v>0</v>
      </c>
      <c r="G40" s="3054">
        <f>SUM(G20:G36)</f>
        <v>0</v>
      </c>
      <c r="H40" s="3054">
        <f>SUM(H20:H36)</f>
        <v>15670.04</v>
      </c>
      <c r="I40" s="3051"/>
      <c r="J40" s="3051"/>
      <c r="Q40" s="3041" t="s">
        <v>3194</v>
      </c>
      <c r="R40" s="3041">
        <f t="shared" si="0"/>
        <v>3352.04</v>
      </c>
      <c r="S40" s="3042">
        <v>2443.83</v>
      </c>
      <c r="T40" s="3063" t="s">
        <v>3088</v>
      </c>
      <c r="U40" s="3058">
        <v>908.21</v>
      </c>
      <c r="V40" s="3041" t="s">
        <v>3088</v>
      </c>
      <c r="W40" s="3043">
        <v>4</v>
      </c>
      <c r="X40" s="3043" t="s">
        <v>3233</v>
      </c>
      <c r="Y40" s="3044">
        <v>0.9</v>
      </c>
      <c r="Z40" s="3043"/>
      <c r="AA40" s="3043"/>
    </row>
    <row r="41" spans="1:27">
      <c r="B41" s="3053" t="s">
        <v>3197</v>
      </c>
      <c r="C41" s="3053"/>
      <c r="D41" s="3054">
        <f>D19+D40</f>
        <v>71991.37000000001</v>
      </c>
      <c r="E41" s="3054">
        <f>E19+E40</f>
        <v>37455.800000000003</v>
      </c>
      <c r="F41" s="3054">
        <f>F19+F40</f>
        <v>8269.76</v>
      </c>
      <c r="G41" s="3054">
        <f>G19+G40</f>
        <v>0</v>
      </c>
      <c r="H41" s="3054">
        <f>H19+H40</f>
        <v>26265.81</v>
      </c>
      <c r="I41" s="3051"/>
      <c r="J41" s="3051"/>
      <c r="Q41" s="3041" t="s">
        <v>3196</v>
      </c>
      <c r="R41" s="3041">
        <f t="shared" si="0"/>
        <v>3253.02</v>
      </c>
      <c r="S41" s="3042">
        <v>2469.9499999999998</v>
      </c>
      <c r="T41" s="3063" t="s">
        <v>3088</v>
      </c>
      <c r="U41" s="3058">
        <v>783.07</v>
      </c>
      <c r="V41" s="3041" t="s">
        <v>3088</v>
      </c>
      <c r="W41" s="3043">
        <v>4</v>
      </c>
      <c r="X41" s="3043" t="s">
        <v>3233</v>
      </c>
      <c r="Y41" s="3044">
        <v>0.9</v>
      </c>
      <c r="Z41" s="3043"/>
      <c r="AA41" s="3043"/>
    </row>
    <row r="42" spans="1:27">
      <c r="L42" s="3037"/>
      <c r="M42" s="3037"/>
      <c r="Q42" s="3041" t="s">
        <v>48</v>
      </c>
      <c r="R42" s="3041">
        <f>S42+U42</f>
        <v>17651.66</v>
      </c>
      <c r="S42" s="3042">
        <v>0</v>
      </c>
      <c r="T42" s="3065"/>
      <c r="U42" s="3066">
        <v>17651.66</v>
      </c>
      <c r="V42" s="3041" t="s">
        <v>48</v>
      </c>
      <c r="W42" s="3043">
        <v>5</v>
      </c>
      <c r="X42" s="3043" t="s">
        <v>3200</v>
      </c>
      <c r="Y42" s="3044">
        <v>0.9</v>
      </c>
      <c r="Z42" s="3043"/>
      <c r="AA42" s="3043"/>
    </row>
    <row r="43" spans="1:27">
      <c r="B43" s="3041" t="s">
        <v>3198</v>
      </c>
      <c r="D43" s="3041">
        <f>E43+H43+G43</f>
        <v>30777.320000000003</v>
      </c>
      <c r="E43" s="3042">
        <f>29441.65</f>
        <v>29441.65</v>
      </c>
      <c r="F43" s="3063"/>
      <c r="G43">
        <v>572.02</v>
      </c>
      <c r="H43" s="3064">
        <v>763.65</v>
      </c>
      <c r="I43" s="3041" t="s">
        <v>3199</v>
      </c>
      <c r="J43" s="3043"/>
      <c r="K43" s="3048"/>
      <c r="L43" s="3037"/>
      <c r="M43" s="3038"/>
      <c r="Q43" s="3041" t="s">
        <v>3201</v>
      </c>
      <c r="R43" s="3041">
        <f t="shared" si="0"/>
        <v>1155.6199999999999</v>
      </c>
      <c r="S43" s="3042">
        <v>0</v>
      </c>
      <c r="T43" s="3065"/>
      <c r="U43" s="3062">
        <f>920.27+235.35</f>
        <v>1155.6199999999999</v>
      </c>
      <c r="V43" s="3041" t="s">
        <v>3199</v>
      </c>
      <c r="W43" s="3043"/>
      <c r="X43" s="3043" t="s">
        <v>3200</v>
      </c>
      <c r="Y43" s="3044">
        <v>0.9</v>
      </c>
      <c r="Z43" s="3043"/>
      <c r="AA43" s="3043"/>
    </row>
    <row r="44" spans="1:27">
      <c r="Q44" s="3041" t="s">
        <v>3202</v>
      </c>
      <c r="R44" s="3041">
        <f t="shared" si="0"/>
        <v>0</v>
      </c>
      <c r="S44" s="3042">
        <v>0</v>
      </c>
      <c r="T44" s="3065"/>
      <c r="U44" s="3047"/>
      <c r="V44" s="3041" t="s">
        <v>3088</v>
      </c>
      <c r="W44" s="3043"/>
      <c r="X44" s="3043"/>
      <c r="Y44" s="3048"/>
      <c r="Z44" s="3043"/>
      <c r="AA44" s="3043"/>
    </row>
    <row r="45" spans="1:27">
      <c r="M45" s="3037"/>
      <c r="Q45" s="3041" t="s">
        <v>3203</v>
      </c>
      <c r="R45" s="3041">
        <f t="shared" si="0"/>
        <v>2865</v>
      </c>
      <c r="S45" s="3067">
        <v>56</v>
      </c>
      <c r="T45" s="3065"/>
      <c r="U45" s="3067">
        <v>2809</v>
      </c>
      <c r="V45" s="3041"/>
      <c r="W45" s="3043"/>
      <c r="X45" s="3043"/>
      <c r="Y45" s="3048"/>
      <c r="Z45" s="3043"/>
      <c r="AA45" s="3043"/>
    </row>
    <row r="46" spans="1:27">
      <c r="L46" s="3037"/>
      <c r="Q46" s="3041" t="s">
        <v>3204</v>
      </c>
      <c r="R46" s="3075">
        <f>S46+U46</f>
        <v>146045.50000000003</v>
      </c>
      <c r="S46" s="3068">
        <f>SUM(S6:S45)</f>
        <v>103740.20000000001</v>
      </c>
      <c r="T46" s="3065"/>
      <c r="U46" s="3068">
        <f>SUM(U6:U45)</f>
        <v>42305.30000000001</v>
      </c>
      <c r="V46" s="3065"/>
      <c r="W46" s="3043"/>
      <c r="X46" s="3043"/>
      <c r="Y46" s="3048"/>
      <c r="Z46" s="3070"/>
      <c r="AA46" s="3070"/>
    </row>
    <row r="47" spans="1:27">
      <c r="L47" s="3037"/>
      <c r="R47" s="3076">
        <f>R46-R45</f>
        <v>143180.50000000003</v>
      </c>
      <c r="S47" s="3069">
        <f>S46-S45</f>
        <v>103684.20000000001</v>
      </c>
      <c r="U47" s="3069">
        <f>U46-U45</f>
        <v>39496.30000000001</v>
      </c>
      <c r="W47" s="3070"/>
      <c r="X47" s="3070"/>
      <c r="Y47" s="3044">
        <f>ROUND(SUMPRODUCT(R6:R43,Y6:Y43)/R47,2)</f>
        <v>0.9</v>
      </c>
    </row>
    <row r="48" spans="1:27">
      <c r="L48" s="3037"/>
    </row>
    <row r="49" spans="12:16">
      <c r="L49" s="3037"/>
    </row>
    <row r="50" spans="12:16">
      <c r="L50" s="3037"/>
    </row>
    <row r="51" spans="12:16">
      <c r="L51" s="3037"/>
    </row>
    <row r="53" spans="12:16">
      <c r="M53" s="3037"/>
      <c r="N53" s="3037"/>
      <c r="O53" s="3037" t="s">
        <v>3206</v>
      </c>
      <c r="P53" s="3037" t="s">
        <v>3207</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16" t="s">
        <v>1816</v>
      </c>
      <c r="B2" s="3216"/>
      <c r="C2" s="3216"/>
      <c r="D2" s="906" t="s">
        <v>1792</v>
      </c>
      <c r="E2" s="1827" t="s">
        <v>1793</v>
      </c>
      <c r="F2" s="2884"/>
      <c r="G2" s="2875"/>
      <c r="H2" s="2876"/>
      <c r="I2" s="2550" t="s">
        <v>1817</v>
      </c>
      <c r="J2" s="2884"/>
      <c r="K2" s="2884"/>
      <c r="L2" s="2884"/>
      <c r="M2" s="2884"/>
      <c r="N2" s="2886"/>
      <c r="O2" s="2884"/>
      <c r="P2" s="2884"/>
    </row>
    <row r="3" spans="1:16" ht="15.75" thickBot="1">
      <c r="A3" s="3217" t="s">
        <v>1790</v>
      </c>
      <c r="B3" s="3217"/>
      <c r="C3" s="3217"/>
      <c r="D3" s="46">
        <f>'数据-基础表'!AY6</f>
        <v>68983.08</v>
      </c>
      <c r="E3" s="46">
        <f>'数据-基础表'!AZ5</f>
        <v>143180.50000000003</v>
      </c>
      <c r="F3" s="2884"/>
      <c r="G3" s="1309"/>
      <c r="H3" s="1159" t="s">
        <v>1791</v>
      </c>
      <c r="I3" s="966">
        <f>ROUND('数据-基础表'!B3/'数据-基础表'!A3,2)</f>
        <v>2.08</v>
      </c>
      <c r="J3" s="2884"/>
      <c r="K3" s="2884"/>
      <c r="L3" s="2884"/>
      <c r="M3" s="2884"/>
      <c r="N3" s="2886"/>
      <c r="O3" s="2884"/>
      <c r="P3" s="2884"/>
    </row>
    <row r="4" spans="1:16" ht="15">
      <c r="A4" s="3218"/>
      <c r="B4" s="3219"/>
      <c r="C4" s="3220"/>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1" t="s">
        <v>1795</v>
      </c>
      <c r="C5" s="3221"/>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1" t="s">
        <v>1796</v>
      </c>
      <c r="C6" s="3221"/>
      <c r="D6" s="48">
        <f>ROUND($D$3*E6/$E$3,2)</f>
        <v>68983.08</v>
      </c>
      <c r="E6" s="49">
        <f>E3-E5</f>
        <v>143180.50000000003</v>
      </c>
      <c r="F6" s="2884"/>
      <c r="G6" s="2878" t="s">
        <v>1797</v>
      </c>
      <c r="H6" s="1310" t="s">
        <v>1798</v>
      </c>
      <c r="I6" s="2879">
        <f>ROUND(F31/D31,2)</f>
        <v>1.5</v>
      </c>
      <c r="J6" s="2884"/>
      <c r="K6" s="2884"/>
      <c r="L6" s="2884"/>
      <c r="M6" s="2884"/>
      <c r="N6" s="2884"/>
      <c r="O6" s="2884"/>
      <c r="P6" s="2884"/>
    </row>
    <row r="7" spans="1:16" ht="15.75" thickBot="1">
      <c r="A7" s="3213"/>
      <c r="B7" s="3214"/>
      <c r="C7" s="3215"/>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49672.28</v>
      </c>
      <c r="E8" s="51">
        <f>SUMIF('数据-基础表'!BB10:BK10,"地上",'数据-基础表'!BB5:BK5)</f>
        <v>103099.22</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9967.7800000000007</v>
      </c>
      <c r="E12" s="51">
        <f>SUMPRODUCT(('数据-基础表'!BB10:BK10="地下")*('数据-基础表'!BB11:BK11="仓储")*('数据-基础表'!BB5:BK5))</f>
        <v>20689.020000000008</v>
      </c>
      <c r="F12" s="2884"/>
      <c r="G12" s="2885"/>
      <c r="H12" s="2885"/>
      <c r="I12" s="2884"/>
      <c r="J12" s="2884"/>
      <c r="K12" s="2884"/>
      <c r="L12" s="2884"/>
      <c r="M12" s="2884"/>
      <c r="N12" s="2884"/>
      <c r="O12" s="2884"/>
      <c r="P12" s="2884"/>
    </row>
    <row r="13" spans="1:16">
      <c r="A13" s="1834"/>
      <c r="B13" s="1835"/>
      <c r="C13" s="48" t="s">
        <v>1807</v>
      </c>
      <c r="D13" s="48">
        <f t="shared" si="0"/>
        <v>8504.41</v>
      </c>
      <c r="E13" s="51">
        <f>SUMPRODUCT(('数据-基础表'!BB10:BK10="地下")*('数据-基础表'!BB11:BK11="车库")*('数据-基础表'!BB5:BK5))</f>
        <v>17651.66</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68144.47</v>
      </c>
      <c r="E16" s="53">
        <f>SUM(E8:E15)</f>
        <v>141439.9</v>
      </c>
      <c r="F16" s="2884"/>
      <c r="G16" s="2885"/>
      <c r="H16" s="1836" t="s">
        <v>1820</v>
      </c>
      <c r="I16" s="1837"/>
      <c r="J16" s="2884"/>
      <c r="K16" s="3210" t="s">
        <v>1820</v>
      </c>
      <c r="L16" s="3211"/>
      <c r="M16" s="3211"/>
      <c r="N16" s="3211"/>
      <c r="O16" s="3211"/>
      <c r="P16" s="3212"/>
    </row>
    <row r="17" spans="1:19" ht="15">
      <c r="A17" s="1838" t="s">
        <v>1821</v>
      </c>
      <c r="B17" s="1839" t="s">
        <v>1822</v>
      </c>
      <c r="C17" s="1840" t="s">
        <v>1823</v>
      </c>
      <c r="D17" s="1841" t="s">
        <v>1811</v>
      </c>
      <c r="E17" s="1842" t="s">
        <v>1812</v>
      </c>
      <c r="F17" s="1843"/>
      <c r="G17" s="1844"/>
      <c r="H17" s="1845" t="s">
        <v>1824</v>
      </c>
      <c r="I17" s="1846" t="s">
        <v>1809</v>
      </c>
      <c r="J17" s="2884"/>
      <c r="K17" s="3207" t="s">
        <v>1825</v>
      </c>
      <c r="L17" s="3208"/>
      <c r="M17" s="3209"/>
      <c r="N17" s="3207" t="s">
        <v>1826</v>
      </c>
      <c r="O17" s="3208"/>
      <c r="P17" s="3209"/>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1" t="s">
        <v>3282</v>
      </c>
      <c r="D19" s="48">
        <f>ROUND($D$3*E19/$E$3,2)</f>
        <v>49672.28</v>
      </c>
      <c r="E19" s="56">
        <f t="shared" ref="E19:E26" si="1">SUM(F19:G19)</f>
        <v>103099.22</v>
      </c>
      <c r="F19" s="57">
        <f>SUM('数据-基础表'!I34:I71)</f>
        <v>103099.22</v>
      </c>
      <c r="G19" s="58"/>
      <c r="H19" s="682">
        <f>ROUND($D$3*I19/$E$3,2)</f>
        <v>611.28</v>
      </c>
      <c r="I19" s="51">
        <f t="shared" ref="I19:I26" si="2">IF($I$17="自定义",P19,M19)</f>
        <v>1268.77</v>
      </c>
      <c r="J19" s="2884"/>
      <c r="K19" s="1302">
        <f t="shared" ref="K19:K26" si="3">ROUND(E$28*E19/E$27,2)</f>
        <v>1268.77</v>
      </c>
      <c r="L19" s="1159">
        <f t="shared" ref="L19:L26" si="4">ROUND(IF(COUNTIF(C19,"*住宅*")&gt;0,E$29*E19/E$32,0),2)</f>
        <v>0</v>
      </c>
      <c r="M19" s="1314">
        <f>K19+L19</f>
        <v>1268.77</v>
      </c>
      <c r="N19" s="1856"/>
      <c r="O19" s="1857"/>
      <c r="P19" s="1314">
        <f>N19+O19</f>
        <v>0</v>
      </c>
      <c r="R19" s="1159">
        <f t="shared" ref="R19:S26" si="5">D19+H19</f>
        <v>50283.56</v>
      </c>
      <c r="S19" s="1160">
        <f t="shared" si="5"/>
        <v>104367.99</v>
      </c>
    </row>
    <row r="20" spans="1:19">
      <c r="A20" s="1858"/>
      <c r="B20" s="50" t="s">
        <v>1838</v>
      </c>
      <c r="C20" s="3111" t="s">
        <v>3283</v>
      </c>
      <c r="D20" s="48">
        <f t="shared" ref="D20:D26" si="6">ROUND($D$3*E20/$E$3,2)</f>
        <v>9967.7800000000007</v>
      </c>
      <c r="E20" s="56">
        <f t="shared" si="1"/>
        <v>20689.020000000008</v>
      </c>
      <c r="F20" s="57"/>
      <c r="G20" s="58">
        <f>SUM('数据-基础表'!K34:K71)</f>
        <v>20689.020000000008</v>
      </c>
      <c r="H20" s="682">
        <f t="shared" ref="H20:H26" si="7">ROUND($D$3*I20/$E$3,2)</f>
        <v>122.67</v>
      </c>
      <c r="I20" s="51">
        <f t="shared" si="2"/>
        <v>254.61</v>
      </c>
      <c r="J20" s="2884"/>
      <c r="K20" s="1302">
        <f t="shared" si="3"/>
        <v>254.61</v>
      </c>
      <c r="L20" s="1159">
        <f t="shared" si="4"/>
        <v>0</v>
      </c>
      <c r="M20" s="1314">
        <f t="shared" ref="M20:M26" si="8">K20+L20</f>
        <v>254.61</v>
      </c>
      <c r="N20" s="1856"/>
      <c r="O20" s="1857"/>
      <c r="P20" s="1314">
        <f t="shared" ref="P20:P26" si="9">N20+O20</f>
        <v>0</v>
      </c>
      <c r="R20" s="1159">
        <f t="shared" si="5"/>
        <v>10090.450000000001</v>
      </c>
      <c r="S20" s="1160">
        <f t="shared" si="5"/>
        <v>20943.630000000008</v>
      </c>
    </row>
    <row r="21" spans="1:19">
      <c r="A21" s="1858"/>
      <c r="B21" s="50" t="s">
        <v>1838</v>
      </c>
      <c r="C21" s="3111" t="s">
        <v>3284</v>
      </c>
      <c r="D21" s="48">
        <f t="shared" si="6"/>
        <v>8504.41</v>
      </c>
      <c r="E21" s="56">
        <f t="shared" si="1"/>
        <v>17651.66</v>
      </c>
      <c r="F21" s="57"/>
      <c r="G21" s="58">
        <f>SUM('数据-基础表'!M34:M71)</f>
        <v>17651.66</v>
      </c>
      <c r="H21" s="682">
        <f t="shared" si="7"/>
        <v>104.66</v>
      </c>
      <c r="I21" s="51">
        <f t="shared" si="2"/>
        <v>217.23</v>
      </c>
      <c r="J21" s="2884"/>
      <c r="K21" s="1302">
        <f t="shared" si="3"/>
        <v>217.23</v>
      </c>
      <c r="L21" s="1159">
        <f t="shared" si="4"/>
        <v>0</v>
      </c>
      <c r="M21" s="1314">
        <f t="shared" si="8"/>
        <v>217.23</v>
      </c>
      <c r="N21" s="1856"/>
      <c r="O21" s="1857"/>
      <c r="P21" s="1314">
        <f t="shared" si="9"/>
        <v>0</v>
      </c>
      <c r="R21" s="1159">
        <f t="shared" si="5"/>
        <v>8609.07</v>
      </c>
      <c r="S21" s="1160">
        <f t="shared" si="5"/>
        <v>17868.89</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68144.47</v>
      </c>
      <c r="E27" s="1305">
        <f>IF(SUM(E19:E26)='数据-基础表'!BA5,SUM(E19:E26),IF(F27="地上面积有误","面积有误","地下面积有误"))</f>
        <v>141439.9</v>
      </c>
      <c r="F27" s="1304">
        <f>IF(SUM(F19:F26)=E8,SUM(F19:F26),"地上面积有误")</f>
        <v>103099.22</v>
      </c>
      <c r="G27" s="1306">
        <f>SUM(G19:G26)</f>
        <v>38340.680000000008</v>
      </c>
      <c r="H27" s="1307">
        <f>SUM(H19:H26)</f>
        <v>838.6099999999999</v>
      </c>
      <c r="I27" s="1308">
        <f>SUM(I19:I26)</f>
        <v>1740.6100000000001</v>
      </c>
      <c r="J27" s="2884"/>
      <c r="K27" s="1311">
        <f>SUM(K19:K26)</f>
        <v>1740.6100000000001</v>
      </c>
      <c r="L27" s="1312">
        <f>SUM(L19:L26)</f>
        <v>0</v>
      </c>
      <c r="M27" s="1315">
        <f>SUM(M19:M26)</f>
        <v>1740.6100000000001</v>
      </c>
      <c r="N27" s="1311">
        <f t="shared" ref="N27:O27" si="10">SUM(N19:N26)</f>
        <v>0</v>
      </c>
      <c r="O27" s="1312">
        <f t="shared" si="10"/>
        <v>0</v>
      </c>
      <c r="P27" s="1313">
        <f>SUM(P19:P26)</f>
        <v>0</v>
      </c>
      <c r="R27" s="1161">
        <f>IF(SUM(R19:R26)=$D$3,SUM(R19:R26),SUM(R19:R26)&amp;"误差"&amp;ROUND(SUM(R19:R26)-$D$3,2))</f>
        <v>68983.079999999987</v>
      </c>
      <c r="S27" s="1159" t="str">
        <f>IF(SUM(S19:S26)=$E$3,SUM(S19:S26),SUM(S19:S26)&amp;"误差"&amp;ROUND(SUM(S19:S26)-E3,2))</f>
        <v>143180.51误差0.01</v>
      </c>
    </row>
    <row r="28" spans="1:19">
      <c r="A28" s="1858"/>
      <c r="B28" s="50" t="s">
        <v>1840</v>
      </c>
      <c r="C28" s="1171" t="s">
        <v>1841</v>
      </c>
      <c r="D28" s="48">
        <f>ROUND($D$3*E28/$E$3,2)</f>
        <v>838.61</v>
      </c>
      <c r="E28" s="56">
        <f>SUM(F28:G28)</f>
        <v>1740.6</v>
      </c>
      <c r="F28" s="64">
        <f>'数据-基础表'!BQ5+'数据-基础表'!BS5</f>
        <v>584.98</v>
      </c>
      <c r="G28" s="65">
        <f>'数据-基础表'!BR5+'数据-基础表'!BT5</f>
        <v>1155.6199999999999</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838.61</v>
      </c>
      <c r="E30" s="1304">
        <f>SUM(E28:E29)</f>
        <v>1740.6</v>
      </c>
      <c r="F30" s="1304">
        <f>SUM(F28:F29)</f>
        <v>584.98</v>
      </c>
      <c r="G30" s="1306">
        <f>SUM(G28:G29)</f>
        <v>1155.6199999999999</v>
      </c>
      <c r="H30" s="2884"/>
      <c r="I30" s="2884"/>
      <c r="J30" s="2884"/>
      <c r="K30" s="2884"/>
      <c r="L30" s="2884"/>
      <c r="M30" s="2884"/>
      <c r="N30" s="2884"/>
      <c r="O30" s="2884"/>
      <c r="P30" s="2884"/>
    </row>
    <row r="31" spans="1:19" ht="15.75" thickBot="1">
      <c r="A31" s="1864"/>
      <c r="B31" s="1865"/>
      <c r="C31" s="946" t="s">
        <v>1843</v>
      </c>
      <c r="D31" s="688">
        <f>D27+D30</f>
        <v>68983.08</v>
      </c>
      <c r="E31" s="688">
        <f>E27+E30</f>
        <v>143180.5</v>
      </c>
      <c r="F31" s="689">
        <f>F27+F30</f>
        <v>103684.2</v>
      </c>
      <c r="G31" s="690">
        <f>G27+G30</f>
        <v>39496.30000000001</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44166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3454</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43.17</v>
      </c>
      <c r="G6" s="73">
        <f>IF(ISERROR(ROUND(POWER(1+H6,D6-F6)*(POWER(1+H6,F6)-1)/(POWER(1+H6,D6)-1),3)),0,ROUND(POWER(1+H6,D6-F6)*(POWER(1+H6,F6)-1)/(POWER(1+H6,D6)-1),3))</f>
        <v>0.95599999999999996</v>
      </c>
      <c r="H6" s="743">
        <v>4.4999999999999998E-2</v>
      </c>
      <c r="I6" s="743">
        <v>0.05</v>
      </c>
      <c r="J6" s="74">
        <v>0.08</v>
      </c>
      <c r="K6" s="1163">
        <f>SUMIF('数据-汇总表'!C$19:C$33,A6,'数据-汇总表'!E$19:E$33)</f>
        <v>103099.22</v>
      </c>
      <c r="L6" s="744">
        <v>3700</v>
      </c>
      <c r="M6" s="75">
        <f t="shared" ref="M6:M14" si="0">ROUND(K6*L6/10000,0)</f>
        <v>38147</v>
      </c>
      <c r="N6" s="74">
        <f>面积表!Y47</f>
        <v>0.9</v>
      </c>
      <c r="O6" s="75">
        <f>IF($N$5="成新度","——",ROUND(M6*N6,0))</f>
        <v>34332</v>
      </c>
      <c r="P6" s="76">
        <f>IF($N$5="成新度","——",M6-O6)</f>
        <v>3815</v>
      </c>
      <c r="Q6" s="745">
        <v>0.15</v>
      </c>
      <c r="R6" s="77">
        <f ca="1">SUMIF('数据-汇总表'!C$19:C$33,A6,'数据-汇总表'!R$19:R$27)</f>
        <v>50283.56</v>
      </c>
      <c r="S6" s="54">
        <f>IF('数据-汇总表'!$I$17="按面积比例",SUMIF('数据-汇总表'!C$19:C$33,A6,'数据-汇总表'!K$19:K$33),SUMIF('数据-汇总表'!C$19:C$33,A6,'数据-汇总表'!N$19:N$33))</f>
        <v>1268.77</v>
      </c>
      <c r="T6" s="1336">
        <f>ROUND($L$14*S6/10000,0)</f>
        <v>469</v>
      </c>
      <c r="U6" s="78">
        <v>1.3</v>
      </c>
      <c r="V6" s="79">
        <v>3.5000000000000003E-2</v>
      </c>
      <c r="W6" s="79">
        <v>0.1</v>
      </c>
      <c r="X6" s="1173"/>
      <c r="Y6" s="80">
        <v>1</v>
      </c>
      <c r="Z6" s="81"/>
      <c r="AA6" s="74"/>
      <c r="AB6" s="74"/>
      <c r="AC6" s="1173"/>
      <c r="AD6" s="82"/>
      <c r="AE6" s="1174">
        <f ca="1">IF(AN6="",0,SUMIF(INDIRECT("'"&amp;AN6&amp;"'"&amp;"!E:E"),$AE$5,INDIRECT("'"&amp;AN6&amp;"'"&amp;"!F:F")))</f>
        <v>42.97</v>
      </c>
      <c r="AF6" s="1535"/>
      <c r="AG6" s="146">
        <f>IF(AF6="",0,AE6-AF6)</f>
        <v>0</v>
      </c>
      <c r="AH6" s="83"/>
      <c r="AI6" s="85">
        <v>365</v>
      </c>
      <c r="AJ6" s="86"/>
      <c r="AK6" s="87">
        <v>1.4999999999999999E-2</v>
      </c>
      <c r="AL6" s="88">
        <v>1.5E-3</v>
      </c>
      <c r="AM6" s="89">
        <v>0.01</v>
      </c>
      <c r="AN6" s="1903" t="s">
        <v>3285</v>
      </c>
      <c r="AO6" s="55">
        <f ca="1">SUMIF(INDIRECT("'"&amp;AN6&amp;"'"&amp;"!A:A"),"总价",INDIRECT("'"&amp;AN6&amp;"'"&amp;"!B:B"))</f>
        <v>82081</v>
      </c>
      <c r="AP6" s="1904">
        <f>IF(C6="住宅",K6*L6,0)</f>
        <v>0</v>
      </c>
      <c r="AQ6" s="55">
        <f>ROUND($L$14*$N$14*S6/10000,0)</f>
        <v>423</v>
      </c>
      <c r="AR6" s="55">
        <f>ROUND($L$14*(1-$N$14)*S6/10000,0)</f>
        <v>47</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43.17</v>
      </c>
      <c r="G7" s="73">
        <f t="shared" ref="G7:G11" si="2">IF(ISERROR(ROUND(POWER(1+H7,D7-F7)*(POWER(1+H7,F7)-1)/(POWER(1+H7,D7)-1),3)),0,ROUND(POWER(1+H7,D7-F7)*(POWER(1+H7,F7)-1)/(POWER(1+H7,D7)-1),3))</f>
        <v>0.95599999999999996</v>
      </c>
      <c r="H7" s="743">
        <v>4.4999999999999998E-2</v>
      </c>
      <c r="I7" s="743">
        <f t="shared" ref="I7:I8" si="3">H7+0.005</f>
        <v>4.9999999999999996E-2</v>
      </c>
      <c r="J7" s="74">
        <v>0.08</v>
      </c>
      <c r="K7" s="1163">
        <f>SUMIF('数据-汇总表'!C$19:C$33,A7,'数据-汇总表'!E$19:E$33)</f>
        <v>20689.020000000008</v>
      </c>
      <c r="L7" s="744">
        <f>L6</f>
        <v>3700</v>
      </c>
      <c r="M7" s="75">
        <f t="shared" si="0"/>
        <v>7655</v>
      </c>
      <c r="N7" s="74">
        <f>N6</f>
        <v>0.9</v>
      </c>
      <c r="O7" s="75">
        <f t="shared" ref="O7:O14" si="4">IF($N$5="成新度","——",ROUND(M7*N7,0))</f>
        <v>6890</v>
      </c>
      <c r="P7" s="76">
        <f t="shared" ref="P7:P14" si="5">IF($N$5="成新度","——",M7-O7)</f>
        <v>765</v>
      </c>
      <c r="Q7" s="745">
        <v>0.08</v>
      </c>
      <c r="R7" s="77">
        <f ca="1">SUMIF('数据-汇总表'!C$19:C$33,A7,'数据-汇总表'!R$19:R$27)</f>
        <v>10090.450000000001</v>
      </c>
      <c r="S7" s="54">
        <f>IF('数据-汇总表'!$I$17="按面积比例",SUMIF('数据-汇总表'!C$19:C$33,A7,'数据-汇总表'!K$19:K$33),SUMIF('数据-汇总表'!C$19:C$33,A7,'数据-汇总表'!N$19:N$33))</f>
        <v>254.61</v>
      </c>
      <c r="T7" s="1336">
        <f t="shared" ref="T7:T13" si="6">ROUND($L$14*S7/10000,0)</f>
        <v>94</v>
      </c>
      <c r="U7" s="78">
        <v>0.95</v>
      </c>
      <c r="V7" s="79">
        <v>2.5000000000000001E-2</v>
      </c>
      <c r="W7" s="79">
        <v>0.1</v>
      </c>
      <c r="X7" s="1173"/>
      <c r="Y7" s="80">
        <v>1</v>
      </c>
      <c r="Z7" s="81"/>
      <c r="AA7" s="74"/>
      <c r="AB7" s="74"/>
      <c r="AC7" s="1173"/>
      <c r="AD7" s="82"/>
      <c r="AE7" s="1174">
        <f t="shared" ref="AE7:AE13" ca="1" si="7">IF(AN7="",0,SUMIF(INDIRECT("'"&amp;AN7&amp;"'"&amp;"!E:E"),$AE$5,INDIRECT("'"&amp;AN7&amp;"'"&amp;"!F:F")))</f>
        <v>42.97</v>
      </c>
      <c r="AF7" s="1535"/>
      <c r="AG7" s="146">
        <f t="shared" ref="AG7:AG13" si="8">IF(AF7="",0,AE7-AF7)</f>
        <v>0</v>
      </c>
      <c r="AH7" s="83"/>
      <c r="AI7" s="85">
        <v>365</v>
      </c>
      <c r="AJ7" s="86"/>
      <c r="AK7" s="87">
        <v>5.0000000000000001E-3</v>
      </c>
      <c r="AL7" s="88">
        <v>1.5E-3</v>
      </c>
      <c r="AM7" s="89">
        <v>0.01</v>
      </c>
      <c r="AN7" s="1903" t="s">
        <v>3290</v>
      </c>
      <c r="AO7" s="55">
        <f t="shared" ref="AO7:AO13" ca="1" si="9">SUMIF(INDIRECT("'"&amp;AN7&amp;"'"&amp;"!A:A"),"总价",INDIRECT("'"&amp;AN7&amp;"'"&amp;"!B:B"))</f>
        <v>11893</v>
      </c>
      <c r="AP7" s="1904">
        <f t="shared" ref="AP7:AP13" si="10">IF(C7="住宅",K7*L7,0)</f>
        <v>0</v>
      </c>
      <c r="AQ7" s="55">
        <f t="shared" ref="AQ7:AQ13" si="11">ROUND($L$14*$N$14*S7/10000,0)</f>
        <v>85</v>
      </c>
      <c r="AR7" s="55">
        <f t="shared" ref="AR7:AR13" si="12">ROUND($L$14*(1-$N$14)*S7/10000,0)</f>
        <v>9</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3256</v>
      </c>
      <c r="D8" s="969">
        <f>SUMIF(项目基本情况!D$12:I$12,C8,项目基本情况!D$14:I$14)</f>
        <v>50</v>
      </c>
      <c r="E8" s="968">
        <f>IF(B8="","",SUMIF(项目基本情况!D$12:I$12,C8,项目基本情况!D$13:I$13))</f>
        <v>59926</v>
      </c>
      <c r="F8" s="72">
        <f>SUMIF(项目基本情况!D$12:I$12,C8,项目基本情况!D$15:I$15)</f>
        <v>43.17</v>
      </c>
      <c r="G8" s="73">
        <f t="shared" si="2"/>
        <v>0.95</v>
      </c>
      <c r="H8" s="743">
        <v>0.04</v>
      </c>
      <c r="I8" s="743">
        <f t="shared" si="3"/>
        <v>4.4999999999999998E-2</v>
      </c>
      <c r="J8" s="74">
        <v>0.08</v>
      </c>
      <c r="K8" s="1163">
        <f>SUMIF('数据-汇总表'!C$19:C$33,A8,'数据-汇总表'!E$19:E$33)</f>
        <v>17651.66</v>
      </c>
      <c r="L8" s="744">
        <f>L6</f>
        <v>3700</v>
      </c>
      <c r="M8" s="75">
        <f>ROUND(K8*L8/10000,0)</f>
        <v>6531</v>
      </c>
      <c r="N8" s="74">
        <f>N6</f>
        <v>0.9</v>
      </c>
      <c r="O8" s="75">
        <f t="shared" si="4"/>
        <v>5878</v>
      </c>
      <c r="P8" s="76">
        <f t="shared" si="5"/>
        <v>653</v>
      </c>
      <c r="Q8" s="745">
        <v>0.03</v>
      </c>
      <c r="R8" s="77">
        <f ca="1">SUMIF('数据-汇总表'!C$19:C$33,A8,'数据-汇总表'!R$19:R$27)</f>
        <v>8609.07</v>
      </c>
      <c r="S8" s="54">
        <f>IF('数据-汇总表'!$I$17="按面积比例",SUMIF('数据-汇总表'!C$19:C$33,A8,'数据-汇总表'!K$19:K$33),SUMIF('数据-汇总表'!C$19:C$33,A8,'数据-汇总表'!N$19:N$33))</f>
        <v>217.23</v>
      </c>
      <c r="T8" s="1336">
        <f t="shared" si="6"/>
        <v>80</v>
      </c>
      <c r="U8" s="746">
        <v>0.3</v>
      </c>
      <c r="V8" s="747">
        <v>1.4999999999999999E-2</v>
      </c>
      <c r="W8" s="747">
        <v>0.1</v>
      </c>
      <c r="X8" s="1173"/>
      <c r="Y8" s="748">
        <v>1</v>
      </c>
      <c r="Z8" s="81"/>
      <c r="AA8" s="74"/>
      <c r="AB8" s="74"/>
      <c r="AC8" s="1173"/>
      <c r="AD8" s="82"/>
      <c r="AE8" s="1174">
        <f t="shared" ca="1" si="7"/>
        <v>42.97</v>
      </c>
      <c r="AF8" s="1535"/>
      <c r="AG8" s="146">
        <f t="shared" si="8"/>
        <v>0</v>
      </c>
      <c r="AH8" s="749"/>
      <c r="AI8" s="85">
        <v>365</v>
      </c>
      <c r="AJ8" s="86"/>
      <c r="AK8" s="750">
        <v>5.0000000000000001E-3</v>
      </c>
      <c r="AL8" s="751">
        <v>1.5E-3</v>
      </c>
      <c r="AM8" s="752">
        <v>0.01</v>
      </c>
      <c r="AN8" s="1903" t="s">
        <v>3292</v>
      </c>
      <c r="AO8" s="55">
        <f t="shared" ca="1" si="9"/>
        <v>2023</v>
      </c>
      <c r="AP8" s="1904">
        <f t="shared" si="10"/>
        <v>0</v>
      </c>
      <c r="AQ8" s="55">
        <f t="shared" si="11"/>
        <v>72</v>
      </c>
      <c r="AR8" s="55">
        <f t="shared" si="12"/>
        <v>8</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74"/>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74"/>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74"/>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74"/>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74"/>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1740.6</v>
      </c>
      <c r="L14" s="91">
        <f>L6</f>
        <v>3700</v>
      </c>
      <c r="M14" s="75">
        <f t="shared" si="0"/>
        <v>644</v>
      </c>
      <c r="N14" s="74">
        <f>N6</f>
        <v>0.9</v>
      </c>
      <c r="O14" s="75">
        <f t="shared" si="4"/>
        <v>580</v>
      </c>
      <c r="P14" s="76">
        <f t="shared" si="5"/>
        <v>64</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0.95499999999999996</v>
      </c>
      <c r="H16" s="98">
        <f>ROUND(SUMPRODUCT(H6:H13,K6:K13)/SUMPRODUCT((H6:H13&gt;0)*(K6:K13)),3)</f>
        <v>4.3999999999999997E-2</v>
      </c>
      <c r="I16" s="99"/>
      <c r="J16" s="99"/>
      <c r="K16" s="100">
        <f>SUM(K6:K15)</f>
        <v>143180.5</v>
      </c>
      <c r="L16" s="101">
        <f>ROUND(M16*10000/SUM(K6:K14),0)</f>
        <v>3700</v>
      </c>
      <c r="M16" s="101">
        <f>SUM(M6:M14)</f>
        <v>52977</v>
      </c>
      <c r="N16" s="102">
        <f>ROUND(SUMPRODUCT(M6:M14,N6:N14)/M16,3)</f>
        <v>0.9</v>
      </c>
      <c r="O16" s="101">
        <f>SUM(O6:O14)</f>
        <v>47680</v>
      </c>
      <c r="P16" s="101">
        <f>SUM(P6:P14)</f>
        <v>5297</v>
      </c>
      <c r="Q16" s="103">
        <f>ROUND(SUMPRODUCT(Q6:Q13,K6:K13)/SUMPRODUCT((Q6:Q13&gt;0)*(K6:K13)),2)</f>
        <v>0.12</v>
      </c>
      <c r="R16" s="1167">
        <f ca="1">SUM(R6:R13)</f>
        <v>68983.079999999987</v>
      </c>
      <c r="S16" s="104">
        <f>SUM(S6:S13)</f>
        <v>1740.6100000000001</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3063</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3060</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2">
        <f>ROUND(B20*N16,1)</f>
        <v>1.8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1.8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0.19999999999999996</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3048</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2720</v>
      </c>
      <c r="C29" s="2905" t="s">
        <v>3049</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3051</v>
      </c>
      <c r="D34" s="2912" t="s">
        <v>3062</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3052</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2.5000000000000001E-2</v>
      </c>
      <c r="C37" s="2908" t="s">
        <v>3054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2.5000000000000001E-2</v>
      </c>
      <c r="C38" s="2908" t="s">
        <v>3054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3055</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3061</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3057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3058</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3059</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2" t="s">
        <v>3040</v>
      </c>
      <c r="B1" s="3223"/>
      <c r="C1" s="3223"/>
      <c r="D1" s="3223"/>
      <c r="E1" s="3223"/>
      <c r="F1" s="3223"/>
      <c r="G1" s="322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3035</v>
      </c>
      <c r="D2" s="2685"/>
      <c r="E2" s="2682"/>
      <c r="F2" s="2686"/>
      <c r="G2" s="2684" t="s">
        <v>3036</v>
      </c>
      <c r="H2" s="909"/>
      <c r="I2" s="909"/>
      <c r="J2" s="909"/>
      <c r="K2" s="909"/>
      <c r="L2" s="909"/>
      <c r="M2" s="909"/>
      <c r="N2" s="909"/>
      <c r="O2" s="909"/>
      <c r="P2" s="909"/>
      <c r="Q2" s="909"/>
      <c r="R2" s="909"/>
    </row>
    <row r="3" spans="1:29" ht="48">
      <c r="A3" s="2665" t="s">
        <v>3037</v>
      </c>
      <c r="B3" s="2687" t="s">
        <v>3006</v>
      </c>
      <c r="C3" s="2688" t="s">
        <v>3038</v>
      </c>
      <c r="D3" s="2689"/>
      <c r="E3" s="2666" t="s">
        <v>3037</v>
      </c>
      <c r="F3" s="2690" t="s">
        <v>3007</v>
      </c>
      <c r="G3" s="2691" t="s">
        <v>3039</v>
      </c>
      <c r="H3" s="909"/>
      <c r="I3" s="909"/>
      <c r="J3" s="909"/>
      <c r="K3" s="909"/>
      <c r="L3" s="909"/>
      <c r="M3" s="909"/>
      <c r="N3" s="909"/>
      <c r="O3" s="909"/>
      <c r="P3" s="909"/>
      <c r="Q3" s="909"/>
      <c r="R3" s="909"/>
    </row>
    <row r="4" spans="1:29" ht="36.75">
      <c r="A4" s="2666"/>
      <c r="B4" s="332" t="s">
        <v>3008</v>
      </c>
      <c r="C4" s="2692" t="s">
        <v>3009</v>
      </c>
      <c r="D4" s="2689"/>
      <c r="E4" s="2693"/>
      <c r="F4" s="1560" t="s">
        <v>3010</v>
      </c>
      <c r="G4" s="2694" t="s">
        <v>3011</v>
      </c>
      <c r="H4" s="909"/>
      <c r="I4" s="909"/>
      <c r="J4" s="909"/>
      <c r="K4" s="909"/>
      <c r="L4" s="909"/>
      <c r="M4" s="909"/>
      <c r="N4" s="909"/>
      <c r="O4" s="909"/>
      <c r="P4" s="909"/>
      <c r="Q4" s="909"/>
      <c r="R4" s="909"/>
    </row>
    <row r="5" spans="1:29" ht="36.75">
      <c r="A5" s="2666"/>
      <c r="B5" s="332" t="s">
        <v>3012</v>
      </c>
      <c r="C5" s="2692" t="s">
        <v>3013</v>
      </c>
      <c r="D5" s="2689"/>
      <c r="E5" s="2693"/>
      <c r="F5" s="332" t="s">
        <v>3014</v>
      </c>
      <c r="G5" s="2694" t="s">
        <v>3015</v>
      </c>
      <c r="H5" s="909"/>
      <c r="I5" s="909"/>
      <c r="J5" s="909"/>
      <c r="K5" s="909"/>
      <c r="L5" s="909"/>
      <c r="M5" s="909"/>
      <c r="N5" s="909"/>
      <c r="O5" s="909"/>
      <c r="P5" s="909"/>
      <c r="Q5" s="909"/>
      <c r="R5" s="909"/>
    </row>
    <row r="6" spans="1:29" ht="36">
      <c r="A6" s="2666"/>
      <c r="B6" s="332" t="s">
        <v>3016</v>
      </c>
      <c r="C6" s="2694" t="s">
        <v>3011</v>
      </c>
      <c r="D6" s="2689"/>
      <c r="E6" s="2693"/>
      <c r="F6" s="332" t="s">
        <v>3017</v>
      </c>
      <c r="G6" s="2694" t="s">
        <v>3018</v>
      </c>
      <c r="H6" s="909"/>
      <c r="I6" s="909"/>
      <c r="J6" s="909"/>
      <c r="K6" s="909"/>
      <c r="L6" s="909"/>
      <c r="M6" s="909"/>
      <c r="N6" s="909"/>
      <c r="O6" s="909"/>
      <c r="P6" s="909"/>
      <c r="Q6" s="909"/>
      <c r="R6" s="909"/>
    </row>
    <row r="7" spans="1:29" ht="24.75" thickBot="1">
      <c r="A7" s="2666"/>
      <c r="B7" s="332" t="s">
        <v>3014</v>
      </c>
      <c r="C7" s="2694" t="s">
        <v>3015</v>
      </c>
      <c r="D7" s="2695"/>
      <c r="E7" s="2696"/>
      <c r="F7" s="2697" t="s">
        <v>3019</v>
      </c>
      <c r="G7" s="2698" t="s">
        <v>3020</v>
      </c>
      <c r="H7" s="909"/>
      <c r="I7" s="909"/>
      <c r="J7" s="909"/>
      <c r="K7" s="909"/>
      <c r="L7" s="909"/>
      <c r="M7" s="909"/>
      <c r="N7" s="909"/>
      <c r="O7" s="909"/>
      <c r="P7" s="909"/>
      <c r="Q7" s="909"/>
      <c r="R7" s="909"/>
    </row>
    <row r="8" spans="1:29">
      <c r="A8" s="2666"/>
      <c r="B8" s="332" t="s">
        <v>3017</v>
      </c>
      <c r="C8" s="2694" t="s">
        <v>3018</v>
      </c>
      <c r="D8" s="2695"/>
      <c r="E8" s="2695"/>
      <c r="F8" s="2699"/>
      <c r="G8" s="2699"/>
      <c r="H8" s="909"/>
      <c r="I8" s="909"/>
      <c r="J8" s="909"/>
      <c r="K8" s="909"/>
      <c r="L8" s="909"/>
      <c r="M8" s="909"/>
      <c r="N8" s="909"/>
      <c r="O8" s="909"/>
      <c r="P8" s="909"/>
      <c r="Q8" s="909"/>
      <c r="R8" s="909"/>
    </row>
    <row r="9" spans="1:29" ht="24">
      <c r="A9" s="2666"/>
      <c r="B9" s="332" t="s">
        <v>3021</v>
      </c>
      <c r="C9" s="2692" t="s">
        <v>3022</v>
      </c>
      <c r="D9" s="2689"/>
      <c r="E9" s="2695"/>
      <c r="F9" s="2699"/>
      <c r="G9" s="2699"/>
      <c r="H9" s="909"/>
      <c r="I9" s="909"/>
      <c r="J9" s="909"/>
      <c r="K9" s="909"/>
      <c r="L9" s="909"/>
      <c r="M9" s="909"/>
      <c r="N9" s="909"/>
      <c r="O9" s="909"/>
      <c r="P9" s="909"/>
      <c r="Q9" s="909"/>
      <c r="R9" s="909"/>
    </row>
    <row r="10" spans="1:29" s="2705" customFormat="1" ht="15" thickBot="1">
      <c r="A10" s="2667"/>
      <c r="B10" s="2700" t="s">
        <v>3023</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3041</v>
      </c>
      <c r="B13" s="2708"/>
      <c r="C13" s="2708"/>
      <c r="D13" s="2706"/>
      <c r="E13" s="2708"/>
      <c r="F13" s="2708"/>
      <c r="G13" s="2708"/>
    </row>
    <row r="14" spans="1:29" ht="15" thickBot="1">
      <c r="A14" s="2718"/>
      <c r="B14" s="2718"/>
      <c r="C14" s="2719" t="s">
        <v>3024</v>
      </c>
      <c r="D14" s="2689"/>
      <c r="E14" s="2720"/>
      <c r="F14" s="2720"/>
      <c r="G14" s="2684" t="s">
        <v>3025</v>
      </c>
    </row>
    <row r="15" spans="1:29" ht="51">
      <c r="A15" s="2668" t="s">
        <v>3026</v>
      </c>
      <c r="B15" s="2721" t="s">
        <v>3006</v>
      </c>
      <c r="C15" s="2722" t="str">
        <f>C3</f>
        <v>估价对象周边居住用地比例、居住小区规模和社区发展完善程度，综合评价居住社区成熟度一般</v>
      </c>
      <c r="D15" s="2689"/>
      <c r="E15" s="2669" t="s">
        <v>3027</v>
      </c>
      <c r="F15" s="2721" t="s">
        <v>3028</v>
      </c>
      <c r="G15" s="2723" t="str">
        <f>G3</f>
        <v>估价对象位于XX开发区，园区建设成熟度XX，产业集聚程度XX</v>
      </c>
    </row>
    <row r="16" spans="1:29" ht="38.25">
      <c r="A16" s="2670"/>
      <c r="B16" s="2724" t="s">
        <v>3008</v>
      </c>
      <c r="C16" s="2725" t="str">
        <f>C4</f>
        <v>估价对象位于XX商圈，周边商业氛围成熟，人流量大，商业繁华度好</v>
      </c>
      <c r="D16" s="2689"/>
      <c r="E16" s="2671"/>
      <c r="F16" s="2726" t="s">
        <v>3010</v>
      </c>
      <c r="G16" s="2727" t="str">
        <f>G4</f>
        <v>估价对象周边道路状况、公共交通通达情况、停车便捷程度，综合评价交通便捷度较好</v>
      </c>
    </row>
    <row r="17" spans="1:18" ht="38.25">
      <c r="A17" s="2670"/>
      <c r="B17" s="2724" t="s">
        <v>3012</v>
      </c>
      <c r="C17" s="2725" t="str">
        <f>C5</f>
        <v>估价对象位于XX商圈，周边办公楼项目较多，入驻率高，办公集聚程度较好</v>
      </c>
      <c r="D17" s="2695"/>
      <c r="E17" s="2671"/>
      <c r="F17" s="2726" t="s">
        <v>3029</v>
      </c>
      <c r="G17" s="2728"/>
    </row>
    <row r="18" spans="1:18" ht="38.25">
      <c r="A18" s="2670"/>
      <c r="B18" s="2726" t="s">
        <v>3016</v>
      </c>
      <c r="C18" s="2727" t="str">
        <f>C6</f>
        <v>估价对象周边道路状况、公共交通通达情况、停车便捷程度，综合评价交通便捷度较好</v>
      </c>
      <c r="D18" s="2695"/>
      <c r="E18" s="2671"/>
      <c r="F18" s="2726" t="s">
        <v>3019</v>
      </c>
      <c r="G18" s="2727" t="str">
        <f>G7</f>
        <v>该园区内是否有污染型企业，绿化情况，卫生条件，整体环境状况判断</v>
      </c>
    </row>
    <row r="19" spans="1:18" ht="25.5">
      <c r="A19" s="2670"/>
      <c r="B19" s="2726" t="s">
        <v>3030</v>
      </c>
      <c r="C19" s="2728"/>
      <c r="D19" s="2689"/>
      <c r="E19" s="2671"/>
      <c r="F19" s="332" t="s">
        <v>3014</v>
      </c>
      <c r="G19" s="2727" t="str">
        <f>G5</f>
        <v>估价对象所在区域公共配套设施齐备情况</v>
      </c>
    </row>
    <row r="20" spans="1:18" ht="25.5">
      <c r="A20" s="2670"/>
      <c r="B20" s="2726" t="s">
        <v>3031</v>
      </c>
      <c r="C20" s="2725" t="str">
        <f>C9</f>
        <v>区域自然环境：；人文环境；综合评价环境状况一般</v>
      </c>
      <c r="D20" s="2695"/>
      <c r="E20" s="2671"/>
      <c r="F20" s="332" t="s">
        <v>3017</v>
      </c>
      <c r="G20" s="2727" t="str">
        <f>G6</f>
        <v>估价对象所在区域基础设施水平</v>
      </c>
    </row>
    <row r="21" spans="1:18" ht="25.5">
      <c r="A21" s="2670"/>
      <c r="B21" s="332" t="s">
        <v>3014</v>
      </c>
      <c r="C21" s="2727" t="str">
        <f>C7</f>
        <v>估价对象所在区域公共配套设施齐备情况</v>
      </c>
      <c r="D21" s="2689"/>
      <c r="E21" s="2671"/>
      <c r="F21" s="2726" t="s">
        <v>3032</v>
      </c>
      <c r="G21" s="2729"/>
    </row>
    <row r="22" spans="1:18" ht="13.5" customHeight="1">
      <c r="A22" s="2670"/>
      <c r="B22" s="332" t="s">
        <v>3017</v>
      </c>
      <c r="C22" s="2727" t="str">
        <f>C8</f>
        <v>估价对象所在区域基础设施水平</v>
      </c>
      <c r="D22" s="2689"/>
      <c r="E22" s="2671"/>
      <c r="F22" s="2726" t="s">
        <v>3023</v>
      </c>
      <c r="G22" s="2728"/>
    </row>
    <row r="23" spans="1:18" s="909" customFormat="1" ht="15" thickBot="1">
      <c r="A23" s="2670"/>
      <c r="B23" s="2726" t="s">
        <v>3032</v>
      </c>
      <c r="C23" s="2729"/>
      <c r="D23" s="1929"/>
      <c r="E23" s="2672"/>
      <c r="F23" s="2730" t="s">
        <v>3033</v>
      </c>
      <c r="G23" s="2731"/>
      <c r="H23" s="2715"/>
      <c r="I23" s="2716"/>
      <c r="J23" s="2715"/>
      <c r="K23" s="2715"/>
      <c r="L23" s="2716"/>
      <c r="M23" s="2715"/>
      <c r="N23" s="2715"/>
      <c r="O23" s="2716"/>
      <c r="P23" s="2715"/>
      <c r="Q23" s="2715"/>
      <c r="R23" s="2717"/>
    </row>
    <row r="24" spans="1:18" s="909" customFormat="1" ht="15" thickBot="1">
      <c r="A24" s="2673"/>
      <c r="B24" s="2730" t="s">
        <v>3034</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0" sqref="G5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143180.50000000003</v>
      </c>
      <c r="C1" s="2915"/>
      <c r="D1" s="2915"/>
      <c r="E1" s="2915"/>
      <c r="F1" s="2915"/>
      <c r="G1" s="2916"/>
      <c r="H1" s="2917"/>
      <c r="I1" s="2917"/>
      <c r="J1" s="2917"/>
      <c r="K1" s="2917"/>
    </row>
    <row r="2" spans="1:11" ht="16.5">
      <c r="A2" s="2736" t="s">
        <v>1319</v>
      </c>
      <c r="B2" s="2736">
        <f>SUM(C14:C23)</f>
        <v>68983.08</v>
      </c>
      <c r="C2" s="2915"/>
      <c r="D2" s="2915"/>
      <c r="E2" s="2915"/>
      <c r="F2" s="2915"/>
      <c r="G2" s="2916"/>
      <c r="H2" s="2917"/>
      <c r="I2" s="2917"/>
      <c r="J2" s="2917"/>
      <c r="K2" s="2917"/>
    </row>
    <row r="3" spans="1:11" ht="16.5">
      <c r="A3" s="2736" t="s">
        <v>1328</v>
      </c>
      <c r="B3" s="2738">
        <f>项目基本情况!D3</f>
        <v>44166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86117</v>
      </c>
      <c r="C5" s="2736">
        <f ca="1">ROUND(B5*10000/$B$1,0)</f>
        <v>6015</v>
      </c>
      <c r="D5" s="2736">
        <f ca="1">ROUND(B5*10000/$B$2,0)</f>
        <v>12484</v>
      </c>
      <c r="E5" s="2915"/>
      <c r="F5" s="2916"/>
      <c r="G5" s="2916"/>
      <c r="H5" s="2917"/>
      <c r="I5" s="2917"/>
      <c r="J5" s="2917"/>
      <c r="K5" s="2917"/>
    </row>
    <row r="6" spans="1:11" ht="16.5">
      <c r="A6" s="2736" t="s">
        <v>1322</v>
      </c>
      <c r="B6" s="2736">
        <f ca="1">SUM(G14:G23)</f>
        <v>86117</v>
      </c>
      <c r="C6" s="2736">
        <f ca="1">ROUND(B6*10000/$B$1,0)</f>
        <v>6015</v>
      </c>
      <c r="D6" s="2736">
        <f ca="1">ROUND(B6*10000/$B$2,0)</f>
        <v>12484</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143180.50000000003</v>
      </c>
      <c r="C14" s="2742">
        <f>结果表!C118</f>
        <v>68983.08</v>
      </c>
      <c r="D14" s="2742">
        <f ca="1">结果表!H118</f>
        <v>86117</v>
      </c>
      <c r="E14" s="2742">
        <f ca="1">ROUND(D14*10000/B14,0)</f>
        <v>6015</v>
      </c>
      <c r="F14" s="2742">
        <f ca="1">ROUND(D14*10000/C14,0)</f>
        <v>12484</v>
      </c>
      <c r="G14" s="2742">
        <f ca="1">结果表!D122</f>
        <v>86117</v>
      </c>
      <c r="H14" s="2742" t="str">
        <f>结果表!D124</f>
        <v>——</v>
      </c>
      <c r="I14" s="2742" t="str">
        <f>结果表!D126</f>
        <v>——</v>
      </c>
      <c r="J14" s="2916"/>
      <c r="K14" s="2917"/>
    </row>
    <row r="15" spans="1:11" ht="16.5">
      <c r="A15" s="2741" t="s">
        <v>1315</v>
      </c>
      <c r="B15" s="2743"/>
      <c r="C15" s="2743"/>
      <c r="D15" s="2743"/>
      <c r="E15" s="2742" t="e">
        <f t="shared" ref="E15:E23" si="0">ROUND(D15*10000/B15,0)</f>
        <v>#DIV/0!</v>
      </c>
      <c r="F15" s="2742" t="e">
        <f t="shared" ref="F15:F23" si="1">ROUND(D15*10000/C15,0)</f>
        <v>#DIV/0!</v>
      </c>
      <c r="G15" s="1503"/>
      <c r="H15" s="1503"/>
      <c r="I15" s="2743"/>
      <c r="J15" s="2916"/>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workbookViewId="0">
      <selection activeCell="J41" sqref="J41"/>
    </sheetView>
  </sheetViews>
  <sheetFormatPr defaultRowHeight="13.5"/>
  <cols>
    <col min="2" max="2" width="10.875" customWidth="1"/>
    <col min="6" max="6" width="11.75" customWidth="1"/>
  </cols>
  <sheetData>
    <row r="1" spans="1:11">
      <c r="A1" s="3116"/>
      <c r="B1" s="3116" t="s">
        <v>3427</v>
      </c>
      <c r="C1" s="3116" t="s">
        <v>3428</v>
      </c>
      <c r="D1" s="3116" t="s">
        <v>3429</v>
      </c>
      <c r="E1" s="3116" t="s">
        <v>3449</v>
      </c>
      <c r="F1" s="3116" t="s">
        <v>3430</v>
      </c>
      <c r="G1" s="3116" t="s">
        <v>3431</v>
      </c>
      <c r="H1" s="3116"/>
      <c r="I1" s="3116"/>
      <c r="J1" s="3116"/>
      <c r="K1" s="3116"/>
    </row>
    <row r="2" spans="1:11">
      <c r="A2" s="3122" t="s">
        <v>3432</v>
      </c>
      <c r="B2" s="3116">
        <f>B11+B12+SUM(B17:B32)+B36</f>
        <v>75167.210000000006</v>
      </c>
      <c r="C2" s="3116">
        <f>B15+B34</f>
        <v>8285.41</v>
      </c>
      <c r="D2" s="3116">
        <f>B13+B33</f>
        <v>12549.75</v>
      </c>
      <c r="E2" s="3116">
        <f>B14+B16+B35+B37</f>
        <v>6766.32</v>
      </c>
      <c r="F2" s="3116">
        <f>SUM(B2:E2)</f>
        <v>102768.69</v>
      </c>
      <c r="G2" s="3116">
        <f>B2+C2+D2</f>
        <v>96002.37000000001</v>
      </c>
      <c r="H2" s="3116"/>
      <c r="I2" s="3116" t="s">
        <v>3451</v>
      </c>
      <c r="J2" s="3116" t="s">
        <v>3452</v>
      </c>
      <c r="K2" s="3116" t="s">
        <v>3453</v>
      </c>
    </row>
    <row r="3" spans="1:11">
      <c r="A3" s="3116" t="s">
        <v>3433</v>
      </c>
      <c r="B3" s="3116">
        <f>'土地比较法-工业'!F51</f>
        <v>14032</v>
      </c>
      <c r="C3" s="3116">
        <f>'土地比较法-工业'!F57</f>
        <v>141</v>
      </c>
      <c r="D3" s="3116">
        <f>'土地比较法-工业'!F58</f>
        <v>90</v>
      </c>
      <c r="E3" s="3116"/>
      <c r="F3" s="3116">
        <f>SUM(B3:E3)</f>
        <v>14263</v>
      </c>
      <c r="G3" s="3116"/>
      <c r="H3" s="3116"/>
      <c r="I3" s="3116">
        <f ca="1">结果表!H118</f>
        <v>86117</v>
      </c>
      <c r="J3" s="3116">
        <f ca="1">结果表!F118</f>
        <v>64502</v>
      </c>
      <c r="K3" s="3116">
        <f ca="1">结果表!D118</f>
        <v>21615</v>
      </c>
    </row>
    <row r="4" spans="1:11">
      <c r="A4" s="3116"/>
      <c r="B4" s="3116"/>
      <c r="C4" s="3116"/>
      <c r="D4" s="3116"/>
      <c r="E4" s="3116"/>
      <c r="F4" s="3116"/>
      <c r="G4" s="3116"/>
      <c r="H4" s="3116"/>
      <c r="I4" s="3116"/>
      <c r="J4" s="3116"/>
      <c r="K4" s="3116"/>
    </row>
    <row r="5" spans="1:11">
      <c r="A5" s="3116" t="s">
        <v>3434</v>
      </c>
      <c r="B5" s="3116">
        <f ca="1">ROUND(B3/$F$3*$K$3,0)</f>
        <v>21265</v>
      </c>
      <c r="C5" s="3116">
        <f t="shared" ref="C5:D5" ca="1" si="0">ROUND(C3/$F$3*$K$3,0)</f>
        <v>214</v>
      </c>
      <c r="D5" s="3116">
        <f t="shared" ca="1" si="0"/>
        <v>136</v>
      </c>
      <c r="E5" s="3116"/>
      <c r="F5" s="3116"/>
      <c r="G5" s="3116"/>
      <c r="H5" s="3116"/>
      <c r="I5" s="3116"/>
      <c r="J5" s="3116"/>
      <c r="K5" s="3116"/>
    </row>
    <row r="6" spans="1:11">
      <c r="A6" s="3125" t="s">
        <v>3435</v>
      </c>
      <c r="B6" s="3116">
        <f ca="1">ROUND(B5/B2*10000,0)</f>
        <v>2829</v>
      </c>
      <c r="C6" s="3116">
        <f ca="1">ROUND(C5/C2*10000,0)</f>
        <v>258</v>
      </c>
      <c r="D6" s="3116">
        <f ca="1">ROUND(D5/D2*10000,0)</f>
        <v>108</v>
      </c>
      <c r="E6" s="3116"/>
      <c r="F6" s="3116"/>
      <c r="G6" s="3116"/>
      <c r="H6" s="3116"/>
      <c r="I6" s="3116"/>
      <c r="J6" s="3116"/>
      <c r="K6" s="3116"/>
    </row>
    <row r="7" spans="1:11">
      <c r="A7" s="3116"/>
      <c r="B7" s="3116"/>
      <c r="C7" s="3116"/>
      <c r="D7" s="3116"/>
      <c r="E7" s="3116"/>
      <c r="F7" s="3116"/>
      <c r="G7" s="3116"/>
      <c r="H7" s="3116"/>
      <c r="I7" s="3116"/>
      <c r="J7" s="3116"/>
      <c r="K7" s="3116"/>
    </row>
    <row r="8" spans="1:11">
      <c r="A8" s="3116" t="s">
        <v>3436</v>
      </c>
      <c r="B8" s="3116">
        <f ca="1">ROUND(J3/F2*10000,0)</f>
        <v>6276</v>
      </c>
      <c r="C8" s="3116"/>
      <c r="D8" s="3116"/>
      <c r="E8" s="3116"/>
      <c r="F8" s="3116"/>
      <c r="G8" s="3116"/>
      <c r="H8" s="3116"/>
      <c r="I8" s="3116"/>
      <c r="J8" s="3116"/>
      <c r="K8" s="3116"/>
    </row>
    <row r="10" spans="1:11">
      <c r="D10" s="3037" t="s">
        <v>3437</v>
      </c>
    </row>
    <row r="11" spans="1:11">
      <c r="A11" s="3123" t="s">
        <v>3438</v>
      </c>
      <c r="B11" s="3124">
        <v>9433.5300000000007</v>
      </c>
      <c r="C11" s="3123" t="s">
        <v>3439</v>
      </c>
      <c r="D11" s="3124">
        <f ca="1">ROUND(B11*$B$6/10000+B11*$B$8/10000,0)</f>
        <v>8589</v>
      </c>
    </row>
    <row r="12" spans="1:11">
      <c r="A12" s="3123" t="s">
        <v>3115</v>
      </c>
      <c r="B12" s="3124">
        <f>面积表!D13</f>
        <v>8269.76</v>
      </c>
      <c r="C12" s="3123" t="s">
        <v>3440</v>
      </c>
      <c r="D12" s="3124">
        <f ca="1">ROUND(B12*$B$6/10000+B12*$B$8/10000,0)</f>
        <v>7530</v>
      </c>
    </row>
    <row r="13" spans="1:11">
      <c r="A13" s="3224" t="s">
        <v>3441</v>
      </c>
      <c r="B13" s="3124">
        <f>面积表!H15</f>
        <v>5325.27</v>
      </c>
      <c r="C13" s="3123" t="s">
        <v>3442</v>
      </c>
      <c r="D13" s="3124">
        <f ca="1">ROUND(B13*$D$6/10000+B13*$B$8/10000,0)</f>
        <v>3400</v>
      </c>
    </row>
    <row r="14" spans="1:11">
      <c r="A14" s="3224"/>
      <c r="B14" s="3124">
        <f>面积表!H16</f>
        <v>1393.64</v>
      </c>
      <c r="C14" s="3123" t="s">
        <v>3443</v>
      </c>
      <c r="D14" s="3124">
        <f ca="1">ROUND(B14*$B$8/10000,0)</f>
        <v>875</v>
      </c>
    </row>
    <row r="15" spans="1:11">
      <c r="A15" s="3224"/>
      <c r="B15" s="3124">
        <f>面积表!H17</f>
        <v>673.87</v>
      </c>
      <c r="C15" s="3123" t="s">
        <v>3088</v>
      </c>
      <c r="D15" s="3124">
        <f ca="1">ROUND(B15*$C$6/10000+B15*$B$8/10000,0)</f>
        <v>440</v>
      </c>
    </row>
    <row r="16" spans="1:11" ht="25.5">
      <c r="A16" s="3224"/>
      <c r="B16" s="3124">
        <f>面积表!H18</f>
        <v>3202.99</v>
      </c>
      <c r="C16" s="3123" t="s">
        <v>3444</v>
      </c>
      <c r="D16" s="3124">
        <f ca="1">ROUND(B16*$B$8/10000,0)</f>
        <v>2010</v>
      </c>
      <c r="E16">
        <f ca="1">D14+D15+D16+D13</f>
        <v>6725</v>
      </c>
    </row>
    <row r="17" spans="1:4">
      <c r="A17" s="3123" t="s">
        <v>3445</v>
      </c>
      <c r="B17" s="3123">
        <v>1500.94</v>
      </c>
      <c r="C17" s="3123" t="s">
        <v>3439</v>
      </c>
      <c r="D17" s="3124">
        <f ca="1">ROUND(B17*$B$6/10000+B17*$B$8/10000,0)</f>
        <v>1367</v>
      </c>
    </row>
    <row r="18" spans="1:4">
      <c r="A18" s="3123" t="s">
        <v>3269</v>
      </c>
      <c r="B18" s="3123">
        <v>1116.4000000000001</v>
      </c>
      <c r="C18" s="3123" t="s">
        <v>3439</v>
      </c>
      <c r="D18" s="3124">
        <f t="shared" ref="D18:D32" ca="1" si="1">ROUND(B18*$B$6/10000+B18*$B$8/10000,0)</f>
        <v>1016</v>
      </c>
    </row>
    <row r="19" spans="1:4">
      <c r="A19" s="3123" t="s">
        <v>3268</v>
      </c>
      <c r="B19" s="3123">
        <v>2056.79</v>
      </c>
      <c r="C19" s="3123" t="s">
        <v>3439</v>
      </c>
      <c r="D19" s="3124">
        <f ca="1">ROUND(B19*$B$6/10000+B19*$B$8/10000,0)</f>
        <v>1873</v>
      </c>
    </row>
    <row r="20" spans="1:4">
      <c r="A20" s="3123" t="s">
        <v>3446</v>
      </c>
      <c r="B20" s="3123">
        <v>2010</v>
      </c>
      <c r="C20" s="3123" t="s">
        <v>3439</v>
      </c>
      <c r="D20" s="3124">
        <f t="shared" ca="1" si="1"/>
        <v>1830</v>
      </c>
    </row>
    <row r="21" spans="1:4">
      <c r="A21" s="3123" t="s">
        <v>3148</v>
      </c>
      <c r="B21" s="3123">
        <v>1927.94</v>
      </c>
      <c r="C21" s="3123" t="s">
        <v>3439</v>
      </c>
      <c r="D21" s="3124">
        <f t="shared" ca="1" si="1"/>
        <v>1755</v>
      </c>
    </row>
    <row r="22" spans="1:4">
      <c r="A22" s="3123" t="s">
        <v>3151</v>
      </c>
      <c r="B22" s="3123">
        <v>1116.0999999999999</v>
      </c>
      <c r="C22" s="3123" t="s">
        <v>3439</v>
      </c>
      <c r="D22" s="3124">
        <f t="shared" ca="1" si="1"/>
        <v>1016</v>
      </c>
    </row>
    <row r="23" spans="1:4">
      <c r="A23" s="3123" t="s">
        <v>3156</v>
      </c>
      <c r="B23" s="3123">
        <v>2056.48</v>
      </c>
      <c r="C23" s="3123" t="s">
        <v>3439</v>
      </c>
      <c r="D23" s="3124">
        <f t="shared" ca="1" si="1"/>
        <v>1872</v>
      </c>
    </row>
    <row r="24" spans="1:4">
      <c r="A24" s="3123" t="s">
        <v>3160</v>
      </c>
      <c r="B24" s="3123">
        <v>2010.38</v>
      </c>
      <c r="C24" s="3123" t="s">
        <v>3439</v>
      </c>
      <c r="D24" s="3124">
        <f t="shared" ca="1" si="1"/>
        <v>1830</v>
      </c>
    </row>
    <row r="25" spans="1:4">
      <c r="A25" s="3123" t="s">
        <v>3164</v>
      </c>
      <c r="B25" s="3123">
        <v>1117.76</v>
      </c>
      <c r="C25" s="3123" t="s">
        <v>3439</v>
      </c>
      <c r="D25" s="3124">
        <f t="shared" ca="1" si="1"/>
        <v>1018</v>
      </c>
    </row>
    <row r="26" spans="1:4">
      <c r="A26" s="3123" t="s">
        <v>3167</v>
      </c>
      <c r="B26" s="3123">
        <v>2010.07</v>
      </c>
      <c r="C26" s="3123" t="s">
        <v>3439</v>
      </c>
      <c r="D26" s="3124">
        <f t="shared" ca="1" si="1"/>
        <v>1830</v>
      </c>
    </row>
    <row r="27" spans="1:4">
      <c r="A27" s="3123" t="s">
        <v>3170</v>
      </c>
      <c r="B27" s="3123">
        <v>1117.77</v>
      </c>
      <c r="C27" s="3123" t="s">
        <v>3439</v>
      </c>
      <c r="D27" s="3124">
        <f t="shared" ca="1" si="1"/>
        <v>1018</v>
      </c>
    </row>
    <row r="28" spans="1:4">
      <c r="A28" s="3123" t="s">
        <v>3173</v>
      </c>
      <c r="B28" s="3123">
        <v>1928.9</v>
      </c>
      <c r="C28" s="3123" t="s">
        <v>3439</v>
      </c>
      <c r="D28" s="3124">
        <f t="shared" ca="1" si="1"/>
        <v>1756</v>
      </c>
    </row>
    <row r="29" spans="1:4">
      <c r="A29" s="3123" t="s">
        <v>3176</v>
      </c>
      <c r="B29" s="3123">
        <v>2056.79</v>
      </c>
      <c r="C29" s="3123" t="s">
        <v>3439</v>
      </c>
      <c r="D29" s="3124">
        <f t="shared" ca="1" si="1"/>
        <v>1873</v>
      </c>
    </row>
    <row r="30" spans="1:4">
      <c r="A30" s="3123" t="s">
        <v>3179</v>
      </c>
      <c r="B30" s="3123">
        <v>2010.26</v>
      </c>
      <c r="C30" s="3123" t="s">
        <v>3439</v>
      </c>
      <c r="D30" s="3124">
        <f t="shared" ca="1" si="1"/>
        <v>1830</v>
      </c>
    </row>
    <row r="31" spans="1:4">
      <c r="A31" s="3123" t="s">
        <v>3182</v>
      </c>
      <c r="B31" s="3123">
        <v>2056.79</v>
      </c>
      <c r="C31" s="3123" t="s">
        <v>3439</v>
      </c>
      <c r="D31" s="3124">
        <f t="shared" ca="1" si="1"/>
        <v>1873</v>
      </c>
    </row>
    <row r="32" spans="1:4">
      <c r="A32" s="3123" t="s">
        <v>3185</v>
      </c>
      <c r="B32" s="3123">
        <v>1928.9</v>
      </c>
      <c r="C32" s="3123" t="s">
        <v>3439</v>
      </c>
      <c r="D32" s="3124">
        <f t="shared" ca="1" si="1"/>
        <v>1756</v>
      </c>
    </row>
    <row r="33" spans="1:5">
      <c r="A33" s="3225" t="s">
        <v>3224</v>
      </c>
      <c r="B33" s="3123">
        <v>7224.48</v>
      </c>
      <c r="C33" s="3123" t="s">
        <v>3442</v>
      </c>
      <c r="D33" s="3124">
        <f ca="1">ROUND(B33*$D$6/10000+B33*$B$8/10000,0)</f>
        <v>4612</v>
      </c>
    </row>
    <row r="34" spans="1:5">
      <c r="A34" s="3226"/>
      <c r="B34" s="3123">
        <v>7611.54</v>
      </c>
      <c r="C34" s="3123" t="s">
        <v>3088</v>
      </c>
      <c r="D34" s="3124">
        <f ca="1">ROUND(B34*$C$6/10000+B34*$B$8/10000,0)</f>
        <v>4973</v>
      </c>
    </row>
    <row r="35" spans="1:5" ht="25.5">
      <c r="A35" s="3227"/>
      <c r="B35" s="3123">
        <v>834.02</v>
      </c>
      <c r="C35" s="3123" t="s">
        <v>3444</v>
      </c>
      <c r="D35" s="3124">
        <f ca="1">ROUND(B35*$B$8/10000,0)</f>
        <v>523</v>
      </c>
      <c r="E35">
        <f ca="1">D34+D35+D33</f>
        <v>10108</v>
      </c>
    </row>
    <row r="36" spans="1:5">
      <c r="A36" s="3225" t="s">
        <v>3198</v>
      </c>
      <c r="B36" s="3123">
        <f>面积表!E43</f>
        <v>29441.65</v>
      </c>
      <c r="C36" s="3123" t="s">
        <v>3088</v>
      </c>
      <c r="D36" s="3124">
        <f ca="1">ROUND(B36*$B$6/10000+B36*$B$8/10000,0)</f>
        <v>26807</v>
      </c>
      <c r="E36">
        <f ca="1">D36+D37</f>
        <v>27652</v>
      </c>
    </row>
    <row r="37" spans="1:5">
      <c r="A37" s="3227"/>
      <c r="B37" s="3123">
        <f>面积表!G43+面积表!H43</f>
        <v>1335.67</v>
      </c>
      <c r="C37" s="3123" t="s">
        <v>3447</v>
      </c>
      <c r="D37" s="3124">
        <f ca="1">I3-SUM(D11:D36)</f>
        <v>845</v>
      </c>
    </row>
    <row r="38" spans="1:5">
      <c r="A38" s="3123" t="s">
        <v>3448</v>
      </c>
      <c r="B38" s="3123">
        <f>SUM(B11:B37)</f>
        <v>102768.68999999999</v>
      </c>
      <c r="C38" s="3123"/>
      <c r="D38" s="3124">
        <f ca="1">SUM(D11:D37)</f>
        <v>86117</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26" t="str">
        <f>项目基本情况!B1</f>
        <v>北京市房山区琉璃河镇中心区E-07地块1#综合厂房等3项、2#厂房等18项（中粮科技园标准厂房及配套附属设施建设项目）出让国有建设用地使用权及在建建筑物房地产抵押价值预评估</v>
      </c>
      <c r="C37" s="3126"/>
      <c r="D37" s="3126"/>
      <c r="E37" s="3126"/>
      <c r="F37" s="3126"/>
      <c r="G37" s="3126"/>
      <c r="H37" s="3126"/>
      <c r="I37" s="3126"/>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D125" sqref="D125:I125"/>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3456</v>
      </c>
      <c r="H1" s="1938" t="str">
        <f>IF(G1="现房","——","估价对象范围")</f>
        <v>估价对象范围</v>
      </c>
      <c r="I1" s="1939" t="s">
        <v>3424</v>
      </c>
    </row>
    <row r="2" spans="1:12" ht="21.75" customHeight="1" thickBot="1">
      <c r="A2" s="3298" t="str">
        <f>项目基本情况!S2</f>
        <v>北京市房山区琉璃河镇中心区E-07地块1#综合厂房等3项、2#厂房等18项（中粮科技园标准厂房及配套附属设施建设项目）出让国有建设用地使用权及在建建筑物房地产</v>
      </c>
      <c r="B2" s="3299"/>
      <c r="C2" s="3299"/>
      <c r="D2" s="3299"/>
      <c r="E2" s="3299"/>
      <c r="F2" s="3299"/>
      <c r="G2" s="3299"/>
      <c r="H2" s="3299"/>
      <c r="I2" s="3300"/>
    </row>
    <row r="3" spans="1:12" ht="12.75">
      <c r="A3" s="3303" t="s">
        <v>1951</v>
      </c>
      <c r="B3" s="3304"/>
      <c r="C3" s="3304"/>
      <c r="D3" s="3304"/>
      <c r="E3" s="3304"/>
      <c r="F3" s="3304"/>
      <c r="G3" s="3304"/>
      <c r="H3" s="3304"/>
      <c r="I3" s="3304"/>
    </row>
    <row r="4" spans="1:12" ht="14.25">
      <c r="A4" s="1942" t="s">
        <v>1952</v>
      </c>
      <c r="B4" s="1943" t="s">
        <v>1953</v>
      </c>
      <c r="C4" s="1944" t="s">
        <v>3425</v>
      </c>
      <c r="D4" s="1944" t="s">
        <v>3457</v>
      </c>
      <c r="E4" s="3308" t="s">
        <v>1954</v>
      </c>
      <c r="F4" s="3309"/>
      <c r="G4" s="3309"/>
      <c r="H4" s="3309"/>
      <c r="I4" s="3310"/>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2.75">
      <c r="A5" s="3243" t="s">
        <v>1955</v>
      </c>
      <c r="B5" s="3301">
        <v>25</v>
      </c>
      <c r="C5" s="3305"/>
      <c r="D5" s="3302"/>
      <c r="E5" s="139" t="s">
        <v>1956</v>
      </c>
      <c r="F5" s="1945"/>
      <c r="G5" s="1945"/>
      <c r="H5" s="1945"/>
      <c r="I5" s="1560"/>
    </row>
    <row r="6" spans="1:12" ht="12.75">
      <c r="A6" s="3243"/>
      <c r="B6" s="3301"/>
      <c r="C6" s="3307"/>
      <c r="D6" s="3302"/>
      <c r="E6" s="139" t="s">
        <v>1957</v>
      </c>
      <c r="F6" s="1945"/>
      <c r="G6" s="1945"/>
      <c r="H6" s="1945"/>
      <c r="I6" s="1560"/>
    </row>
    <row r="7" spans="1:12" ht="12.75">
      <c r="A7" s="3243"/>
      <c r="B7" s="3301"/>
      <c r="C7" s="3306"/>
      <c r="D7" s="3302"/>
      <c r="E7" s="139" t="s">
        <v>1958</v>
      </c>
      <c r="F7" s="1945"/>
      <c r="G7" s="1945"/>
      <c r="H7" s="1945"/>
      <c r="I7" s="1560"/>
    </row>
    <row r="8" spans="1:12" ht="12.75">
      <c r="A8" s="3243" t="s">
        <v>1959</v>
      </c>
      <c r="B8" s="3301">
        <v>15</v>
      </c>
      <c r="C8" s="3305"/>
      <c r="D8" s="3302"/>
      <c r="E8" s="139" t="s">
        <v>1960</v>
      </c>
      <c r="F8" s="1945"/>
      <c r="G8" s="1945"/>
      <c r="H8" s="1945"/>
      <c r="I8" s="1560"/>
    </row>
    <row r="9" spans="1:12" ht="12.75">
      <c r="A9" s="3243"/>
      <c r="B9" s="3301"/>
      <c r="C9" s="3306"/>
      <c r="D9" s="3302"/>
      <c r="E9" s="139" t="s">
        <v>1961</v>
      </c>
      <c r="F9" s="1945"/>
      <c r="G9" s="1945"/>
      <c r="H9" s="1945"/>
      <c r="I9" s="1560"/>
    </row>
    <row r="10" spans="1:12" ht="12.75">
      <c r="A10" s="3243" t="s">
        <v>1962</v>
      </c>
      <c r="B10" s="3301">
        <v>15</v>
      </c>
      <c r="C10" s="3305"/>
      <c r="D10" s="3302"/>
      <c r="E10" s="139" t="s">
        <v>1963</v>
      </c>
      <c r="F10" s="1945"/>
      <c r="G10" s="1945"/>
      <c r="H10" s="1945"/>
      <c r="I10" s="1560"/>
    </row>
    <row r="11" spans="1:12" ht="12.75">
      <c r="A11" s="3243"/>
      <c r="B11" s="3301"/>
      <c r="C11" s="3306"/>
      <c r="D11" s="3302"/>
      <c r="E11" s="139" t="s">
        <v>1964</v>
      </c>
      <c r="F11" s="1945"/>
      <c r="G11" s="1945"/>
      <c r="H11" s="1945"/>
      <c r="I11" s="1560"/>
    </row>
    <row r="12" spans="1:12" ht="12.75">
      <c r="A12" s="3243" t="s">
        <v>1965</v>
      </c>
      <c r="B12" s="3301">
        <v>15</v>
      </c>
      <c r="C12" s="3305"/>
      <c r="D12" s="3302"/>
      <c r="E12" s="139" t="s">
        <v>1966</v>
      </c>
      <c r="F12" s="1945"/>
      <c r="G12" s="1945"/>
      <c r="H12" s="1945"/>
      <c r="I12" s="1560"/>
    </row>
    <row r="13" spans="1:12" ht="12.75">
      <c r="A13" s="3243"/>
      <c r="B13" s="3301"/>
      <c r="C13" s="3306"/>
      <c r="D13" s="3302"/>
      <c r="E13" s="139" t="s">
        <v>1967</v>
      </c>
      <c r="F13" s="1945"/>
      <c r="G13" s="1945"/>
      <c r="H13" s="1945"/>
      <c r="I13" s="1560"/>
    </row>
    <row r="14" spans="1:12" ht="12.75">
      <c r="A14" s="3243" t="s">
        <v>1968</v>
      </c>
      <c r="B14" s="3301">
        <v>30</v>
      </c>
      <c r="C14" s="3321">
        <v>5</v>
      </c>
      <c r="D14" s="3292">
        <v>5</v>
      </c>
      <c r="E14" s="139" t="s">
        <v>1969</v>
      </c>
      <c r="F14" s="1945"/>
      <c r="G14" s="1945"/>
      <c r="H14" s="1945"/>
      <c r="I14" s="1560"/>
    </row>
    <row r="15" spans="1:12" ht="12.75">
      <c r="A15" s="3243"/>
      <c r="B15" s="3301"/>
      <c r="C15" s="3322"/>
      <c r="D15" s="3292"/>
      <c r="E15" s="139" t="s">
        <v>1970</v>
      </c>
      <c r="F15" s="1945"/>
      <c r="G15" s="1945"/>
      <c r="H15" s="1945"/>
      <c r="I15" s="1560"/>
    </row>
    <row r="16" spans="1:12" ht="12.75">
      <c r="A16" s="3243"/>
      <c r="B16" s="3301"/>
      <c r="C16" s="3323"/>
      <c r="D16" s="3292"/>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327" t="s">
        <v>2880</v>
      </c>
      <c r="F18" s="3328"/>
      <c r="G18" s="3328"/>
      <c r="H18" s="3328"/>
      <c r="I18" s="3328"/>
      <c r="K18" s="311" t="s">
        <v>1976</v>
      </c>
      <c r="L18" s="311">
        <f>IF(C1="",'数据-汇总表'!E3,SUMIF(项目类型,C1,'数据-汇总表'!E17:E26)+SUMIF(项目类型,C1,'数据-汇总表'!I17:I26))</f>
        <v>143180.50000000003</v>
      </c>
      <c r="M18" s="311">
        <f>IF(C1="",'数据-汇总表'!E3,SUMIF(项目类型,C1,'数据-汇总表'!E17:E26))</f>
        <v>143180.50000000003</v>
      </c>
    </row>
    <row r="19" spans="1:36" ht="15">
      <c r="A19" s="1949" t="s">
        <v>1977</v>
      </c>
      <c r="B19" s="1950" t="s">
        <v>1978</v>
      </c>
      <c r="C19" s="142">
        <f ca="1">SUMIF(INDIRECT("'"&amp;C4&amp;"'"&amp;"!A:A"),结果表!B19,INDIRECT("'"&amp;C4&amp;"'"&amp;"!B:B"))</f>
        <v>92429</v>
      </c>
      <c r="D19" s="143">
        <f ca="1">SUMIF(INDIRECT("'"&amp;D4&amp;"'"&amp;"!A:A"),结果表!B19,INDIRECT("'"&amp;D4&amp;"'"&amp;"!B:B"))</f>
        <v>79805</v>
      </c>
      <c r="E19" s="1949" t="s">
        <v>1979</v>
      </c>
      <c r="F19" s="1950" t="s">
        <v>1978</v>
      </c>
      <c r="G19" s="144">
        <f ca="1">ROUND(C19*$C$18+D19*$D$18,0)</f>
        <v>86117</v>
      </c>
      <c r="H19" s="1951" t="s">
        <v>1980</v>
      </c>
      <c r="I19" s="137"/>
      <c r="K19" s="311" t="s">
        <v>1981</v>
      </c>
      <c r="L19" s="311">
        <f>IF(C1="",'数据-汇总表'!D3,SUMIF(项目类型,C1,'数据-汇总表'!D17:D26)+SUMIF(项目类型,C1,'数据-汇总表'!H17:H27))</f>
        <v>68983.08</v>
      </c>
      <c r="M19" s="311">
        <f>IF(C1="",'数据-汇总表'!D3,SUMIF(项目类型,C1,'数据-汇总表'!D17:D26))</f>
        <v>68983.08</v>
      </c>
    </row>
    <row r="20" spans="1:36" ht="15">
      <c r="A20" s="1952"/>
      <c r="B20" s="1159" t="s">
        <v>1982</v>
      </c>
      <c r="C20" s="145">
        <f ca="1">SUMIF(INDIRECT("'"&amp;C4&amp;"'"&amp;"!A:A"),结果表!B20,INDIRECT("'"&amp;C4&amp;"'"&amp;"!B:B"))</f>
        <v>6455</v>
      </c>
      <c r="D20" s="146">
        <f ca="1">SUMIF(INDIRECT("'"&amp;D4&amp;"'"&amp;"!A:A"),结果表!B20,INDIRECT("'"&amp;D4&amp;"'"&amp;"!B:B"))</f>
        <v>5574</v>
      </c>
      <c r="E20" s="1952"/>
      <c r="F20" s="1159" t="s">
        <v>1982</v>
      </c>
      <c r="G20" s="147">
        <f ca="1">ROUND(C20*$C$18+D20*$D$18,0)</f>
        <v>6015</v>
      </c>
      <c r="H20" s="919" t="s">
        <v>1983</v>
      </c>
      <c r="I20" s="137"/>
    </row>
    <row r="21" spans="1:36" ht="15" customHeight="1" thickBot="1">
      <c r="A21" s="939"/>
      <c r="B21" s="1953" t="s">
        <v>1984</v>
      </c>
      <c r="C21" s="731">
        <f ca="1">ROUND(C19*10000/L19,0)</f>
        <v>13399</v>
      </c>
      <c r="D21" s="732">
        <f ca="1">ROUND(D19*10000/L19,0)</f>
        <v>11569</v>
      </c>
      <c r="E21" s="939"/>
      <c r="F21" s="1953" t="s">
        <v>1984</v>
      </c>
      <c r="G21" s="148">
        <f ca="1">ROUND(G19*10000/L19,0)</f>
        <v>12484</v>
      </c>
      <c r="H21" s="1954" t="s">
        <v>1983</v>
      </c>
      <c r="I21" s="137"/>
    </row>
    <row r="22" spans="1:36" ht="15" thickBot="1">
      <c r="A22" s="1876" t="s">
        <v>1985</v>
      </c>
      <c r="B22" s="1955"/>
      <c r="C22" s="1956"/>
      <c r="D22" s="733">
        <f ca="1">IF(C19&lt;D19,D19/C19-1,C19/D19-1)</f>
        <v>0.15818557734477801</v>
      </c>
      <c r="E22" s="137"/>
      <c r="F22" s="137"/>
      <c r="G22" s="137"/>
      <c r="H22" s="137"/>
      <c r="I22" s="137"/>
    </row>
    <row r="23" spans="1:36" ht="13.5" thickBot="1">
      <c r="A23" s="1935"/>
      <c r="B23" s="1935"/>
      <c r="C23" s="1935"/>
      <c r="D23" s="1935"/>
      <c r="E23" s="137"/>
      <c r="F23" s="137"/>
      <c r="G23" s="137"/>
      <c r="H23" s="137"/>
      <c r="I23" s="137"/>
    </row>
    <row r="24" spans="1:36" ht="14.25">
      <c r="A24" s="3317" t="s">
        <v>1986</v>
      </c>
      <c r="B24" s="1950" t="s">
        <v>1978</v>
      </c>
      <c r="C24" s="144">
        <f>IF(B30=0,0,D30)</f>
        <v>0</v>
      </c>
      <c r="D24" s="1957"/>
      <c r="E24" s="137"/>
      <c r="F24" s="137"/>
      <c r="G24" s="137"/>
      <c r="H24" s="137"/>
      <c r="I24" s="137"/>
    </row>
    <row r="25" spans="1:36" ht="14.25">
      <c r="A25" s="3318"/>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2881</v>
      </c>
      <c r="F30" s="137"/>
      <c r="G30" s="137"/>
      <c r="H30" s="137"/>
      <c r="I30" s="137"/>
    </row>
    <row r="31" spans="1:36" s="2529" customFormat="1" ht="26.45" customHeight="1" thickTop="1" thickBot="1">
      <c r="A31" s="2524"/>
      <c r="B31" s="2525"/>
      <c r="C31" s="2525"/>
      <c r="D31" s="2525"/>
      <c r="E31" s="2525"/>
      <c r="F31" s="2525"/>
      <c r="G31" s="2525"/>
      <c r="H31" s="2525"/>
      <c r="I31" s="2526" t="s">
        <v>2882</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86117</v>
      </c>
      <c r="D32" s="1963" t="s">
        <v>1993</v>
      </c>
      <c r="E32" s="137"/>
      <c r="F32" s="137"/>
      <c r="G32" s="137"/>
      <c r="H32" s="137"/>
      <c r="I32" s="137"/>
    </row>
    <row r="33" spans="1:15" ht="15">
      <c r="A33" s="896" t="s">
        <v>1994</v>
      </c>
      <c r="B33" s="1964"/>
      <c r="C33" s="1965" t="s">
        <v>3426</v>
      </c>
      <c r="D33" s="1966" t="s">
        <v>3425</v>
      </c>
      <c r="E33" s="1967" t="s">
        <v>1995</v>
      </c>
      <c r="F33" s="1968" t="str">
        <f>IF(D32="楼面单价","取值（单价）","取值（总价）")</f>
        <v>取值（总价）</v>
      </c>
      <c r="G33" s="137"/>
      <c r="H33" s="137"/>
      <c r="I33" s="137"/>
    </row>
    <row r="34" spans="1:15" ht="15">
      <c r="A34" s="1969"/>
      <c r="B34" s="1970" t="s">
        <v>1996</v>
      </c>
      <c r="C34" s="156">
        <f ca="1">IF(C33="自定义",F34,C32-C35)</f>
        <v>21615</v>
      </c>
      <c r="D34" s="972">
        <f ca="1">IF(C33="自定义",ROUND(C34/C32,3),IF(C33="收益比率",SUMIF(INDIRECT("'"&amp;D33&amp;"'"&amp;"!b:b"),"土地收益比率",INDIRECT("'"&amp;D33&amp;"'"&amp;"!c:c")),SUMIF(INDIRECT("'"&amp;D33&amp;"'"&amp;"!b:b"),"土地成本比率",INDIRECT("'"&amp;D33&amp;"'"&amp;"!c:c"))))</f>
        <v>0.251</v>
      </c>
      <c r="E34" s="1971" t="s">
        <v>1997</v>
      </c>
      <c r="F34" s="1501"/>
      <c r="G34" s="137"/>
      <c r="H34" s="137"/>
      <c r="I34" s="137"/>
    </row>
    <row r="35" spans="1:15" ht="15.75" thickBot="1">
      <c r="A35" s="1972"/>
      <c r="B35" s="1973" t="s">
        <v>1998</v>
      </c>
      <c r="C35" s="1334">
        <f ca="1">IF(C33="自定义",F35,ROUND(C32*D35,0))</f>
        <v>64502</v>
      </c>
      <c r="D35" s="1335">
        <f ca="1">IF(C33="自定义",ROUND(C35/C32,3),IF(C33="收益比率",SUMIF(INDIRECT("'"&amp;D33&amp;"'"&amp;"!b:b"),"建筑物收益比率",INDIRECT("'"&amp;D33&amp;"'"&amp;"!c:c")),SUMIF(INDIRECT("'"&amp;D33&amp;"'"&amp;"!b:b"),"建筑物成本比率",INDIRECT("'"&amp;D33&amp;"'"&amp;"!c:c"))))</f>
        <v>0.749</v>
      </c>
      <c r="E35" s="1974" t="s">
        <v>1999</v>
      </c>
      <c r="F35" s="162"/>
      <c r="G35" s="137"/>
      <c r="H35" s="137"/>
      <c r="I35" s="137"/>
    </row>
    <row r="36" spans="1:15" ht="15.75" thickBot="1">
      <c r="A36" s="3293" t="s">
        <v>2000</v>
      </c>
      <c r="B36" s="1975" t="s">
        <v>2001</v>
      </c>
      <c r="C36" s="153"/>
      <c r="D36" s="1976"/>
      <c r="E36" s="1977"/>
      <c r="F36" s="1978"/>
      <c r="G36" s="137"/>
      <c r="H36" s="137"/>
      <c r="I36" s="137"/>
    </row>
    <row r="37" spans="1:15" ht="15.75" thickBot="1">
      <c r="A37" s="3294"/>
      <c r="B37" s="1862" t="s">
        <v>2002</v>
      </c>
      <c r="C37" s="155"/>
      <c r="D37" s="1303"/>
      <c r="E37" s="1303"/>
      <c r="F37" s="1978"/>
      <c r="G37" s="137"/>
      <c r="H37" s="137"/>
      <c r="I37" s="137"/>
    </row>
    <row r="38" spans="1:15" ht="15.75" thickBot="1">
      <c r="A38" s="3295"/>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314" t="s">
        <v>2014</v>
      </c>
      <c r="B45" s="3315"/>
      <c r="C45" s="3316"/>
      <c r="D45" s="163">
        <f ca="1">ROUND(H101*F45,0)</f>
        <v>86117</v>
      </c>
      <c r="E45" s="164" t="s">
        <v>2015</v>
      </c>
      <c r="F45" s="165">
        <v>1</v>
      </c>
      <c r="G45" s="166" t="s">
        <v>2016</v>
      </c>
      <c r="H45" s="137"/>
      <c r="I45" s="137"/>
      <c r="J45" s="3230" t="s">
        <v>2017</v>
      </c>
      <c r="K45" s="3230"/>
      <c r="L45" s="3230"/>
      <c r="M45" s="3230"/>
      <c r="N45" s="3230"/>
      <c r="O45" s="3230"/>
    </row>
    <row r="46" spans="1:15" ht="14.25" customHeight="1">
      <c r="A46" s="3311" t="s">
        <v>2018</v>
      </c>
      <c r="B46" s="3312"/>
      <c r="C46" s="3312"/>
      <c r="D46" s="3312"/>
      <c r="E46" s="3312"/>
      <c r="F46" s="3312"/>
      <c r="G46" s="3313"/>
      <c r="H46" s="1994"/>
      <c r="I46" s="167"/>
      <c r="J46" s="2747">
        <v>1</v>
      </c>
      <c r="K46" s="3231" t="s">
        <v>2019</v>
      </c>
      <c r="L46" s="3231"/>
      <c r="M46" s="3232"/>
      <c r="N46" s="3232"/>
      <c r="O46" s="3232"/>
    </row>
    <row r="47" spans="1:15" ht="12" customHeight="1">
      <c r="A47" s="168" t="s">
        <v>2020</v>
      </c>
      <c r="B47" s="169"/>
      <c r="C47" s="170"/>
      <c r="D47" s="1249" t="s">
        <v>2021</v>
      </c>
      <c r="E47" s="311" t="s">
        <v>2022</v>
      </c>
      <c r="F47" s="171" t="s">
        <v>2023</v>
      </c>
      <c r="G47" s="2770" t="s">
        <v>2024</v>
      </c>
      <c r="H47" s="2771"/>
      <c r="I47" s="167"/>
      <c r="J47" s="2747">
        <v>2</v>
      </c>
      <c r="K47" s="3231" t="s">
        <v>2025</v>
      </c>
      <c r="L47" s="3231"/>
      <c r="M47" s="3233">
        <f>'数据-取费表'!B2</f>
        <v>44166</v>
      </c>
      <c r="N47" s="3233"/>
      <c r="O47" s="3233"/>
    </row>
    <row r="48" spans="1:15" ht="25.5">
      <c r="A48" s="3296" t="s">
        <v>2026</v>
      </c>
      <c r="B48" s="3297"/>
      <c r="C48" s="3297"/>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31" t="s">
        <v>2029</v>
      </c>
      <c r="L48" s="3231"/>
      <c r="M48" s="3234">
        <f ca="1">H101</f>
        <v>86117</v>
      </c>
      <c r="N48" s="3234"/>
      <c r="O48" s="3234"/>
    </row>
    <row r="49" spans="1:35" ht="25.5" customHeight="1">
      <c r="A49" s="2558" t="s">
        <v>2030</v>
      </c>
      <c r="B49" s="3279" t="s">
        <v>2031</v>
      </c>
      <c r="C49" s="3279"/>
      <c r="D49" s="1778">
        <v>0</v>
      </c>
      <c r="E49" s="333" t="s">
        <v>2032</v>
      </c>
      <c r="F49" s="2650" t="s">
        <v>34</v>
      </c>
      <c r="G49" s="3262"/>
      <c r="H49" s="2530" t="s">
        <v>2883</v>
      </c>
      <c r="I49" s="2531"/>
      <c r="J49" s="2747">
        <v>4</v>
      </c>
      <c r="K49" s="3231" t="str">
        <f>IF(项目基本情况!E8="房地产抵押价值","房地产抵押价值","抵押担保权已注销时的房地产抵押价值")</f>
        <v>房地产抵押价值</v>
      </c>
      <c r="L49" s="3231"/>
      <c r="M49" s="3234">
        <f ca="1">IF(项目基本情况!E8="房地产抵押价值",H107,H109)</f>
        <v>86117</v>
      </c>
      <c r="N49" s="3234"/>
      <c r="O49" s="3234"/>
    </row>
    <row r="50" spans="1:35" ht="25.5" customHeight="1">
      <c r="A50" s="2775"/>
      <c r="B50" s="3279" t="s">
        <v>2033</v>
      </c>
      <c r="C50" s="3279"/>
      <c r="D50" s="2776"/>
      <c r="E50" s="341"/>
      <c r="F50" s="2650"/>
      <c r="G50" s="3263"/>
      <c r="H50" s="2532" t="s">
        <v>2884</v>
      </c>
      <c r="I50" s="2531"/>
      <c r="J50" s="3230" t="s">
        <v>2034</v>
      </c>
      <c r="K50" s="3230"/>
      <c r="L50" s="3230"/>
      <c r="M50" s="3230"/>
      <c r="N50" s="3230"/>
      <c r="O50" s="3230"/>
    </row>
    <row r="51" spans="1:35" ht="20.45" customHeight="1">
      <c r="A51" s="2777"/>
      <c r="B51" s="3279" t="s">
        <v>2035</v>
      </c>
      <c r="C51" s="3279"/>
      <c r="D51" s="1249"/>
      <c r="E51" s="336"/>
      <c r="F51" s="2650"/>
      <c r="G51" s="3264"/>
      <c r="H51" s="2532" t="s">
        <v>2885</v>
      </c>
      <c r="I51" s="2531"/>
      <c r="J51" s="2748" t="s">
        <v>2036</v>
      </c>
      <c r="K51" s="3231" t="s">
        <v>2037</v>
      </c>
      <c r="L51" s="3231"/>
      <c r="M51" s="2748" t="s">
        <v>2038</v>
      </c>
      <c r="N51" s="2748" t="s">
        <v>2039</v>
      </c>
      <c r="O51" s="2748" t="s">
        <v>2040</v>
      </c>
    </row>
    <row r="52" spans="1:35" ht="24" customHeight="1">
      <c r="A52" s="2560" t="s">
        <v>2041</v>
      </c>
      <c r="B52" s="3279" t="s">
        <v>2042</v>
      </c>
      <c r="C52" s="3279"/>
      <c r="D52" s="1249">
        <f ca="1">ROUND(D45*'数据-取费表'!B41/(1+'数据-取费表'!C42),0)</f>
        <v>4511</v>
      </c>
      <c r="E52" s="2559" t="s">
        <v>2043</v>
      </c>
      <c r="F52" s="2778">
        <f>'数据-取费表'!B41</f>
        <v>5.5000000000000007E-2</v>
      </c>
      <c r="G52" s="2779"/>
      <c r="H52" s="2768"/>
      <c r="I52" s="1995"/>
      <c r="J52" s="2747">
        <v>1</v>
      </c>
      <c r="K52" s="3256" t="s">
        <v>2044</v>
      </c>
      <c r="L52" s="3256"/>
      <c r="M52" s="2749">
        <f>D48</f>
        <v>0</v>
      </c>
      <c r="N52" s="2747" t="str">
        <f>E48</f>
        <v>销售额×税（费）率</v>
      </c>
      <c r="O52" s="2750" t="str">
        <f>F48</f>
        <v>免征</v>
      </c>
    </row>
    <row r="53" spans="1:35" ht="12" customHeight="1">
      <c r="A53" s="2560" t="s">
        <v>2045</v>
      </c>
      <c r="B53" s="3280" t="s">
        <v>3045</v>
      </c>
      <c r="C53" s="3281"/>
      <c r="D53" s="1249">
        <f ca="1">ROUND(D45*'数据-取费表'!B41/(1+'数据-取费表'!C42),0)</f>
        <v>4511</v>
      </c>
      <c r="E53" s="2559" t="s">
        <v>2043</v>
      </c>
      <c r="F53" s="2778">
        <f>'数据-取费表'!B41</f>
        <v>5.5000000000000007E-2</v>
      </c>
      <c r="G53" s="2779"/>
      <c r="H53" s="2768"/>
      <c r="I53" s="1995"/>
      <c r="J53" s="2747">
        <v>2</v>
      </c>
      <c r="K53" s="3256" t="s">
        <v>2046</v>
      </c>
      <c r="L53" s="3256"/>
      <c r="M53" s="2749">
        <f t="shared" ref="M53:O54" ca="1" si="0">D55</f>
        <v>43</v>
      </c>
      <c r="N53" s="2747" t="str">
        <f t="shared" si="0"/>
        <v>销售额×税（费）率</v>
      </c>
      <c r="O53" s="2750">
        <f t="shared" si="0"/>
        <v>5.0000000000000001E-4</v>
      </c>
    </row>
    <row r="54" spans="1:35" ht="12" customHeight="1">
      <c r="A54" s="2560" t="s">
        <v>2047</v>
      </c>
      <c r="B54" s="3280" t="s">
        <v>3046</v>
      </c>
      <c r="C54" s="3281"/>
      <c r="D54" s="1249">
        <f ca="1">C68</f>
        <v>4511</v>
      </c>
      <c r="E54" s="336" t="s">
        <v>2048</v>
      </c>
      <c r="F54" s="2778">
        <f>'数据-取费表'!B41</f>
        <v>5.5000000000000007E-2</v>
      </c>
      <c r="G54" s="2779"/>
      <c r="H54" s="2780"/>
      <c r="I54" s="1995"/>
      <c r="J54" s="2747">
        <v>3</v>
      </c>
      <c r="K54" s="3256" t="s">
        <v>2049</v>
      </c>
      <c r="L54" s="3256"/>
      <c r="M54" s="2749">
        <f t="shared" ca="1" si="0"/>
        <v>48820</v>
      </c>
      <c r="N54" s="2747" t="str">
        <f t="shared" si="0"/>
        <v>增值额×税（费）率</v>
      </c>
      <c r="O54" s="2751" t="str">
        <f t="shared" si="0"/>
        <v>——</v>
      </c>
    </row>
    <row r="55" spans="1:35" ht="24" customHeight="1">
      <c r="A55" s="3320" t="s">
        <v>2050</v>
      </c>
      <c r="B55" s="3297"/>
      <c r="C55" s="3297"/>
      <c r="D55" s="2549">
        <f ca="1">IF(H55="个人住宅",0,ROUND(D45*I55,0))</f>
        <v>43</v>
      </c>
      <c r="E55" s="2559" t="s">
        <v>2051</v>
      </c>
      <c r="F55" s="2778">
        <f>IF(H55="正常",I55,"免征")</f>
        <v>5.0000000000000001E-4</v>
      </c>
      <c r="G55" s="2779"/>
      <c r="H55" s="2774" t="s">
        <v>2052</v>
      </c>
      <c r="I55" s="173">
        <f>'数据-取费表'!B49</f>
        <v>5.0000000000000001E-4</v>
      </c>
      <c r="J55" s="2747">
        <f>IF(H59="非个人房产","",4)</f>
        <v>4</v>
      </c>
      <c r="K55" s="3256" t="str">
        <f>IF(H59="非个人房产","——","个人所得税")</f>
        <v>个人所得税</v>
      </c>
      <c r="L55" s="3256"/>
      <c r="M55" s="2752">
        <f ca="1">D59</f>
        <v>861</v>
      </c>
      <c r="N55" s="2230" t="str">
        <f>E59</f>
        <v>销售额×税（费）率</v>
      </c>
      <c r="O55" s="2753">
        <f>F59</f>
        <v>0.01</v>
      </c>
    </row>
    <row r="56" spans="1:35" ht="24.75">
      <c r="A56" s="3320" t="s">
        <v>2053</v>
      </c>
      <c r="B56" s="3297"/>
      <c r="C56" s="3297"/>
      <c r="D56" s="2549">
        <f ca="1">IF(H56="个人住宅",D57,D58)</f>
        <v>48820</v>
      </c>
      <c r="E56" s="2559" t="s">
        <v>2054</v>
      </c>
      <c r="F56" s="2778" t="str">
        <f>IF(H56="正常",F58,"免征")</f>
        <v>——</v>
      </c>
      <c r="G56" s="2781" t="s">
        <v>2055</v>
      </c>
      <c r="H56" s="2782" t="s">
        <v>2052</v>
      </c>
      <c r="I56" s="1996"/>
      <c r="J56" s="2747" t="str">
        <f>IF(项目基本情况!K6="上海银行",IF(J55="",4,J55+1),"")</f>
        <v/>
      </c>
      <c r="K56" s="3237" t="str">
        <f>IF(项目基本情况!K6="上海银行","其他处置费用","")</f>
        <v/>
      </c>
      <c r="L56" s="3238"/>
      <c r="M56" s="2749" t="str">
        <f>IF(项目基本情况!K6="上海银行",M69,"")</f>
        <v/>
      </c>
      <c r="N56" s="3237" t="str">
        <f>IF(项目基本情况!K6="上海银行","包含处置中涉及的律师、诉讼、拍卖、评估等费用","")</f>
        <v/>
      </c>
      <c r="O56" s="3240"/>
    </row>
    <row r="57" spans="1:35" ht="12.75">
      <c r="A57" s="2560" t="s">
        <v>2030</v>
      </c>
      <c r="B57" s="3280" t="s">
        <v>2056</v>
      </c>
      <c r="C57" s="3281"/>
      <c r="D57" s="1778">
        <v>0</v>
      </c>
      <c r="E57" s="333" t="s">
        <v>2032</v>
      </c>
      <c r="F57" s="311"/>
      <c r="G57" s="2779"/>
      <c r="H57" s="2783"/>
      <c r="I57" s="1996"/>
      <c r="J57" s="3256">
        <f>IF(AND(J55="",J56=""),4,IF(项目基本情况!K6="上海银行",结果表!J56+1,结果表!J55+1))</f>
        <v>5</v>
      </c>
      <c r="K57" s="3256" t="s">
        <v>2057</v>
      </c>
      <c r="L57" s="2754" t="s">
        <v>2058</v>
      </c>
      <c r="M57" s="2755"/>
      <c r="N57" s="2756">
        <f ca="1">SUMIF(M52:M56,"&lt;9e307")</f>
        <v>49724</v>
      </c>
      <c r="O57" s="2757"/>
      <c r="P57" s="2919">
        <f ca="1">N57/M49</f>
        <v>0.57740051325522257</v>
      </c>
    </row>
    <row r="58" spans="1:35" ht="24.75">
      <c r="A58" s="2560" t="s">
        <v>2041</v>
      </c>
      <c r="B58" s="3280" t="s">
        <v>2059</v>
      </c>
      <c r="C58" s="3279"/>
      <c r="D58" s="2549">
        <f ca="1">IF(H58="转让取得",C81,C97)</f>
        <v>48820</v>
      </c>
      <c r="E58" s="2559" t="s">
        <v>2054</v>
      </c>
      <c r="F58" s="311" t="s">
        <v>34</v>
      </c>
      <c r="G58" s="2779"/>
      <c r="H58" s="2782" t="s">
        <v>2060</v>
      </c>
      <c r="I58" s="1996"/>
      <c r="J58" s="3256"/>
      <c r="K58" s="3256"/>
      <c r="L58" s="2754" t="s">
        <v>2061</v>
      </c>
      <c r="M58" s="2758"/>
      <c r="N58" s="2759" t="str">
        <f ca="1">NUMBERSTRING(INT(N57*10000),2)&amp;"元整"</f>
        <v>肆亿玖仟柒佰贰拾肆万元整</v>
      </c>
      <c r="O58" s="2760"/>
    </row>
    <row r="59" spans="1:35" ht="26.25" thickBot="1">
      <c r="A59" s="3260" t="s">
        <v>2062</v>
      </c>
      <c r="B59" s="3261"/>
      <c r="C59" s="3261"/>
      <c r="D59" s="2784">
        <f ca="1">IF(H59="非个人房产","——",IF(H59="个人住宅（满五唯一有凭证）",0,IF(H59="个人其他（无凭证）",ROUND(D45*F59,0),ROUND(C67*F59,0))))</f>
        <v>861</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2887</v>
      </c>
      <c r="I59" s="2533" t="s">
        <v>2886</v>
      </c>
      <c r="J59" s="3258">
        <f>J57+1</f>
        <v>6</v>
      </c>
      <c r="K59" s="3256" t="s">
        <v>2063</v>
      </c>
      <c r="L59" s="2747" t="s">
        <v>2058</v>
      </c>
      <c r="M59" s="2761"/>
      <c r="N59" s="2762">
        <f ca="1">M49-N57</f>
        <v>36393</v>
      </c>
      <c r="O59" s="2763"/>
    </row>
    <row r="60" spans="1:35" ht="12" customHeight="1">
      <c r="A60" s="1997"/>
      <c r="B60" s="1935"/>
      <c r="C60" s="1935"/>
      <c r="D60" s="1935"/>
      <c r="E60" s="1766"/>
      <c r="F60" s="1996"/>
      <c r="G60" s="1996"/>
      <c r="H60" s="1998"/>
      <c r="I60" s="137"/>
      <c r="J60" s="3259"/>
      <c r="K60" s="3256"/>
      <c r="L60" s="2754" t="s">
        <v>2061</v>
      </c>
      <c r="M60" s="2758"/>
      <c r="N60" s="2759" t="str">
        <f ca="1">NUMBERSTRING(INT(N59*10000),2)&amp;"元整"</f>
        <v>叁亿陆仟叁佰玖拾叁万元整</v>
      </c>
      <c r="O60" s="2760"/>
    </row>
    <row r="61" spans="1:35" ht="13.5" thickBot="1">
      <c r="A61" s="3319" t="s">
        <v>2064</v>
      </c>
      <c r="B61" s="3319"/>
      <c r="C61" s="3319"/>
      <c r="D61" s="3319"/>
      <c r="E61" s="3319"/>
      <c r="F61" s="1996"/>
      <c r="G61" s="1996"/>
      <c r="H61" s="1998"/>
      <c r="I61" s="137"/>
      <c r="J61" s="2747">
        <f>J59+1</f>
        <v>7</v>
      </c>
      <c r="K61" s="3256" t="s">
        <v>2065</v>
      </c>
      <c r="L61" s="3256"/>
      <c r="M61" s="2764"/>
      <c r="N61" s="2765">
        <f ca="1">ROUND(N59*10000/'数据-汇总表'!E3,0)</f>
        <v>2542</v>
      </c>
      <c r="O61" s="2766"/>
    </row>
    <row r="62" spans="1:35" ht="12.75">
      <c r="A62" s="3275" t="s">
        <v>2066</v>
      </c>
      <c r="B62" s="3276"/>
      <c r="C62" s="2211"/>
      <c r="D62" s="2211" t="s">
        <v>2067</v>
      </c>
      <c r="E62" s="174" t="s">
        <v>2068</v>
      </c>
      <c r="F62" s="1996"/>
      <c r="G62" s="1996"/>
      <c r="H62" s="1998"/>
      <c r="I62" s="137"/>
    </row>
    <row r="63" spans="1:35" ht="12.75">
      <c r="A63" s="181" t="s">
        <v>775</v>
      </c>
      <c r="B63" s="175" t="s">
        <v>2069</v>
      </c>
      <c r="C63" s="2788">
        <f ca="1">ROUND((C64+C65)/(1+'数据-取费表'!C42),0)</f>
        <v>82016</v>
      </c>
      <c r="D63" s="175"/>
      <c r="E63" s="176"/>
      <c r="F63" s="1996"/>
      <c r="G63" s="1996"/>
      <c r="H63" s="1998"/>
      <c r="I63" s="137"/>
      <c r="J63" s="3239" t="s">
        <v>2070</v>
      </c>
      <c r="K63" s="1504" t="s">
        <v>2071</v>
      </c>
      <c r="L63" s="1504">
        <f ca="1">IF(M49&gt;10000,M49*0.5%,IF(AND(M49&gt;1000,M49&lt;=10000),M49*1%,IF(AND(M49&gt;100,M49&lt;=1000),M49*3%,IF(AND(M49&gt;10,M49&lt;=100),M49*5%,M49*8%))))</f>
        <v>430.58500000000004</v>
      </c>
      <c r="M63" s="311">
        <f ca="1">ROUND(L63,1)</f>
        <v>430.6</v>
      </c>
      <c r="N63" s="2767"/>
      <c r="Z63" s="1940"/>
      <c r="AI63" s="1941"/>
    </row>
    <row r="64" spans="1:35" ht="14.25" customHeight="1">
      <c r="A64" s="177" t="s">
        <v>770</v>
      </c>
      <c r="B64" s="178" t="s">
        <v>2072</v>
      </c>
      <c r="C64" s="2789">
        <f ca="1">D45</f>
        <v>86117</v>
      </c>
      <c r="D64" s="178" t="s">
        <v>32</v>
      </c>
      <c r="E64" s="180"/>
      <c r="F64" s="1996"/>
      <c r="G64" s="1996"/>
      <c r="H64" s="1998"/>
      <c r="I64" s="137"/>
      <c r="J64" s="3239"/>
      <c r="K64" s="1504" t="s">
        <v>2073</v>
      </c>
      <c r="L64" s="1504">
        <f ca="1">IF(M49&gt;2000,M49*0.5%,IF(AND(M49&gt;1000,M49&lt;=2000),M49*0.6%,IF(AND(M49&gt;500,M49&lt;=1000),M49*0.7%,IF(AND(M49&gt;200,M49&lt;=500),M49*0.8%,IF(AND(M49&gt;100,M49&lt;=200),M49*0.9%,IF(AND(M49&gt;50,M49&lt;=100),M49*1%,IF(AND(M49&gt;20,M49&lt;=50),M49*1.5%,IF(AND(M49&gt;10,M49&lt;=20),M49*2%,IF(AND(M49&gt;1,M49&lt;=10),M49*2.5%)))))))))</f>
        <v>430.58500000000004</v>
      </c>
      <c r="M64" s="311">
        <f t="shared" ref="M64:M65" ca="1" si="1">ROUND(L64,1)</f>
        <v>430.6</v>
      </c>
      <c r="N64" s="2768" t="s">
        <v>2074</v>
      </c>
      <c r="Z64" s="1940"/>
      <c r="AI64" s="1941"/>
    </row>
    <row r="65" spans="1:35" ht="14.25" customHeight="1">
      <c r="A65" s="177" t="s">
        <v>771</v>
      </c>
      <c r="B65" s="178" t="s">
        <v>2075</v>
      </c>
      <c r="C65" s="2790"/>
      <c r="D65" s="178"/>
      <c r="E65" s="180"/>
      <c r="F65" s="1996"/>
      <c r="G65" s="1996"/>
      <c r="H65" s="1998"/>
      <c r="I65" s="137"/>
      <c r="J65" s="3239"/>
      <c r="K65" s="1504" t="s">
        <v>2076</v>
      </c>
      <c r="L65" s="1504">
        <f ca="1">IF(M49&gt;1000,M49*0.1%,IF(AND(M49&gt;500,M49&lt;=1000),M49*0.5%,IF(AND(M49&gt;50,M49&lt;=500),M49*1%,IF(AND(M49&gt;1,M49&lt;=50),M49*1.5%))))</f>
        <v>86.117000000000004</v>
      </c>
      <c r="M65" s="311">
        <f t="shared" ca="1" si="1"/>
        <v>86.1</v>
      </c>
      <c r="N65" s="2768" t="s">
        <v>2074</v>
      </c>
      <c r="Z65" s="1940"/>
      <c r="AI65" s="1941"/>
    </row>
    <row r="66" spans="1:35" ht="14.25" customHeight="1">
      <c r="A66" s="181" t="s">
        <v>772</v>
      </c>
      <c r="B66" s="182" t="s">
        <v>2077</v>
      </c>
      <c r="C66" s="2791"/>
      <c r="D66" s="182" t="s">
        <v>32</v>
      </c>
      <c r="E66" s="1512" t="s">
        <v>1337</v>
      </c>
      <c r="F66" s="1996"/>
      <c r="G66" s="1996"/>
      <c r="H66" s="1998"/>
      <c r="I66" s="137"/>
      <c r="J66" s="3239"/>
      <c r="K66" s="1504" t="s">
        <v>2078</v>
      </c>
      <c r="L66" s="1504">
        <f ca="1">M49*0.5%</f>
        <v>430.58500000000004</v>
      </c>
      <c r="M66" s="311">
        <f ca="1">IF(L66&gt;0.5,0.5,ROUND(L66,0))</f>
        <v>0.5</v>
      </c>
      <c r="N66" s="2768" t="s">
        <v>2079</v>
      </c>
      <c r="Z66" s="1940"/>
      <c r="AI66" s="1941"/>
    </row>
    <row r="67" spans="1:35" ht="14.25" customHeight="1">
      <c r="A67" s="181" t="s">
        <v>773</v>
      </c>
      <c r="B67" s="182" t="s">
        <v>2080</v>
      </c>
      <c r="C67" s="2792">
        <f ca="1">C63-C66</f>
        <v>82016</v>
      </c>
      <c r="D67" s="178" t="s">
        <v>32</v>
      </c>
      <c r="E67" s="180"/>
      <c r="F67" s="1996"/>
      <c r="G67" s="1996"/>
      <c r="H67" s="1998"/>
      <c r="I67" s="137"/>
      <c r="J67" s="3239"/>
      <c r="K67" s="1504" t="s">
        <v>2081</v>
      </c>
      <c r="L67" s="1504">
        <f ca="1">IF(M49&gt;=10000,(8.25+(M49-10000)*0.01%),IF(AND(M49&gt;=8000,M49&lt;10000),(7.85+(M49-8000)*0.02%),IF(AND(M49&gt;=5000,M49&lt;8000),(6.65+(M49-5000)*0.04%),IF(AND(M49&gt;=2000,M49&lt;5000),(4.25+(PM49-2000)*0.08%),IF(AND(M49&gt;=1000,M49&lt;2000),(2.75+(M49-1000)*0.15%),IF(AND(M49&gt;=100,M49&lt;1000),(0.5+(M49-100)*0.25%),IF(AND(M49&gt;0,M49&lt;100),M49*0.5%)))))))</f>
        <v>15.861700000000001</v>
      </c>
      <c r="M67" s="311">
        <f ca="1">ROUND(L67*0.9,1)</f>
        <v>14.3</v>
      </c>
      <c r="N67" s="2767"/>
      <c r="Z67" s="1940"/>
      <c r="AI67" s="1941"/>
    </row>
    <row r="68" spans="1:35" ht="14.25" customHeight="1" thickBot="1">
      <c r="A68" s="184" t="s">
        <v>774</v>
      </c>
      <c r="B68" s="185" t="s">
        <v>2082</v>
      </c>
      <c r="C68" s="2793">
        <f ca="1">IF(C67&lt;=0,0,ROUND(C67*D68,0))</f>
        <v>4511</v>
      </c>
      <c r="D68" s="2794">
        <f>'数据-取费表'!B41</f>
        <v>5.5000000000000007E-2</v>
      </c>
      <c r="E68" s="187"/>
      <c r="F68" s="1996"/>
      <c r="G68" s="1996"/>
      <c r="H68" s="1998"/>
      <c r="I68" s="137"/>
      <c r="J68" s="3239"/>
      <c r="K68" s="1504" t="s">
        <v>2083</v>
      </c>
      <c r="L68" s="1504">
        <f ca="1">IF(M49&gt;10000,M49*0.5%,IF(AND(M49&gt;5000,M49&lt;=10000),M49*1%,IF(AND(M49&gt;1000,M49&lt;=5000),M49*2%,IF(AND(M49&gt;200,M49&lt;=1000),M49*3%,M49*5%))))</f>
        <v>430.58500000000004</v>
      </c>
      <c r="M68" s="311">
        <f ca="1">ROUND(L68,1)</f>
        <v>430.6</v>
      </c>
      <c r="N68" s="2767"/>
      <c r="Z68" s="1940"/>
      <c r="AI68" s="1941"/>
    </row>
    <row r="69" spans="1:35" s="1960" customFormat="1" ht="16.5" customHeight="1">
      <c r="A69" s="1999"/>
      <c r="B69" s="2000"/>
      <c r="C69" s="2001"/>
      <c r="D69" s="2002"/>
      <c r="E69" s="2003"/>
      <c r="F69" s="1766"/>
      <c r="G69" s="1766"/>
      <c r="H69" s="1765"/>
      <c r="I69" s="1935"/>
      <c r="J69" s="3239"/>
      <c r="K69" s="1504" t="s">
        <v>2084</v>
      </c>
      <c r="L69" s="1504"/>
      <c r="M69" s="311">
        <f ca="1">ROUND(SUM(M63:M68),0)</f>
        <v>1393</v>
      </c>
      <c r="N69" s="2769">
        <f ca="1">M69/M49</f>
        <v>1.6175667986576402E-2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3" t="s">
        <v>2085</v>
      </c>
      <c r="B70" s="3284"/>
      <c r="C70" s="3284"/>
      <c r="D70" s="3284"/>
      <c r="E70" s="3284"/>
      <c r="F70" s="3284"/>
      <c r="G70" s="3284"/>
      <c r="H70" s="3284"/>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75" t="s">
        <v>2066</v>
      </c>
      <c r="B71" s="3276"/>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82016</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410</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80" t="s">
        <v>2094</v>
      </c>
      <c r="F76" s="3279"/>
      <c r="G76" s="3279"/>
      <c r="H76" s="328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410</v>
      </c>
      <c r="D78" s="2801">
        <f>'数据-取费表'!B43</f>
        <v>5.000000000000001E-3</v>
      </c>
      <c r="E78" s="3272" t="s">
        <v>2099</v>
      </c>
      <c r="F78" s="3273"/>
      <c r="G78" s="3273"/>
      <c r="H78" s="327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81606</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199.0390243902439</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48820</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3" t="s">
        <v>2103</v>
      </c>
      <c r="B83" s="3284"/>
      <c r="C83" s="3284"/>
      <c r="D83" s="3284"/>
      <c r="E83" s="3284"/>
      <c r="F83" s="3284"/>
      <c r="G83" s="3284"/>
      <c r="H83" s="328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75" t="s">
        <v>2066</v>
      </c>
      <c r="B84" s="3276"/>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82016</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410</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241" t="s">
        <v>2877</v>
      </c>
      <c r="H90" s="3242"/>
      <c r="I90" s="2009"/>
      <c r="J90" s="2745" t="s">
        <v>3043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72" t="s">
        <v>2112</v>
      </c>
      <c r="F91" s="3273"/>
      <c r="G91" s="3273"/>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72" t="s">
        <v>2116</v>
      </c>
      <c r="F92" s="3273"/>
      <c r="G92" s="3273"/>
      <c r="H92" s="3274"/>
      <c r="I92" s="2009"/>
      <c r="J92" s="2746" t="s">
        <v>3044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410</v>
      </c>
      <c r="D93" s="2801">
        <f>'数据-取费表'!B43</f>
        <v>5.000000000000001E-3</v>
      </c>
      <c r="E93" s="3272" t="s">
        <v>2099</v>
      </c>
      <c r="F93" s="3273"/>
      <c r="G93" s="3273"/>
      <c r="H93" s="327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324" t="s">
        <v>2120</v>
      </c>
      <c r="F94" s="3325"/>
      <c r="G94" s="3325"/>
      <c r="H94" s="332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81606</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199.0390243902439</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48820</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18" t="s">
        <v>2122</v>
      </c>
      <c r="B100" s="3219"/>
      <c r="C100" s="3219"/>
      <c r="D100" s="3257"/>
      <c r="E100" s="3219" t="s">
        <v>2123</v>
      </c>
      <c r="F100" s="3219"/>
      <c r="G100" s="3219"/>
      <c r="H100" s="3257"/>
      <c r="I100" s="137"/>
    </row>
    <row r="101" spans="1:35" ht="18.75" customHeight="1">
      <c r="A101" s="3265" t="s">
        <v>2124</v>
      </c>
      <c r="B101" s="3266"/>
      <c r="C101" s="2809" t="str">
        <f>C4</f>
        <v>成本法</v>
      </c>
      <c r="D101" s="2810" t="str">
        <f>D4</f>
        <v>假设开发法</v>
      </c>
      <c r="E101" s="3235" t="s">
        <v>2125</v>
      </c>
      <c r="F101" s="3236"/>
      <c r="G101" s="2015" t="s">
        <v>2126</v>
      </c>
      <c r="H101" s="2819">
        <f ca="1">H118</f>
        <v>86117</v>
      </c>
      <c r="I101" s="137"/>
    </row>
    <row r="102" spans="1:35" ht="18.75" customHeight="1">
      <c r="A102" s="3267" t="s">
        <v>2127</v>
      </c>
      <c r="B102" s="2808" t="s">
        <v>2126</v>
      </c>
      <c r="C102" s="2809">
        <f ca="1">C19</f>
        <v>92429</v>
      </c>
      <c r="D102" s="2810">
        <f ca="1">D19</f>
        <v>79805</v>
      </c>
      <c r="E102" s="3235"/>
      <c r="F102" s="3236"/>
      <c r="G102" s="2015" t="s">
        <v>2128</v>
      </c>
      <c r="H102" s="2779">
        <f ca="1">I118</f>
        <v>6015</v>
      </c>
      <c r="I102" s="137"/>
    </row>
    <row r="103" spans="1:35" ht="42.75" customHeight="1">
      <c r="A103" s="3267"/>
      <c r="B103" s="2808" t="s">
        <v>2128</v>
      </c>
      <c r="C103" s="2811">
        <f ca="1">C20</f>
        <v>6455</v>
      </c>
      <c r="D103" s="2812">
        <f ca="1">D20</f>
        <v>5574</v>
      </c>
      <c r="E103" s="3228" t="s">
        <v>2129</v>
      </c>
      <c r="F103" s="3229"/>
      <c r="G103" s="2016" t="s">
        <v>2130</v>
      </c>
      <c r="H103" s="2819">
        <f>IF(D36="正常操作",H104+H105+H106,H105+H106)</f>
        <v>0</v>
      </c>
      <c r="I103" s="137"/>
    </row>
    <row r="104" spans="1:35" ht="18.75" customHeight="1">
      <c r="A104" s="3267" t="s">
        <v>2131</v>
      </c>
      <c r="B104" s="2813" t="s">
        <v>2126</v>
      </c>
      <c r="C104" s="2814">
        <f ca="1">H118</f>
        <v>86117</v>
      </c>
      <c r="D104" s="2815"/>
      <c r="E104" s="1862" t="s">
        <v>2132</v>
      </c>
      <c r="F104" s="1854"/>
      <c r="G104" s="2016" t="s">
        <v>2130</v>
      </c>
      <c r="H104" s="2820">
        <f>IF(D36="同一抵押权人同一抵押物续贷",C36&amp;"（续贷，未扣减，详见特别提示）",C36)</f>
        <v>0</v>
      </c>
      <c r="I104" s="137"/>
    </row>
    <row r="105" spans="1:35" ht="18.75" customHeight="1" thickBot="1">
      <c r="A105" s="3277"/>
      <c r="B105" s="2816" t="s">
        <v>2128</v>
      </c>
      <c r="C105" s="2817">
        <f ca="1">I118</f>
        <v>6015</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68" t="str">
        <f>IF(项目基本情况!E8="已注销","——","3.房地产抵押价值")</f>
        <v>3.房地产抵押价值</v>
      </c>
      <c r="F107" s="3236"/>
      <c r="G107" s="2015" t="s">
        <v>2126</v>
      </c>
      <c r="H107" s="2819">
        <f ca="1">IF(E107="——","——",H101-H103)</f>
        <v>86117</v>
      </c>
      <c r="I107" s="137"/>
    </row>
    <row r="108" spans="1:35" ht="18.75" customHeight="1">
      <c r="A108" s="137"/>
      <c r="B108" s="137"/>
      <c r="C108" s="137"/>
      <c r="D108" s="137"/>
      <c r="E108" s="3268"/>
      <c r="F108" s="3236"/>
      <c r="G108" s="2015" t="s">
        <v>2128</v>
      </c>
      <c r="H108" s="2779">
        <f ca="1">ROUND(H107*10000/'数据-汇总表'!E3,0)</f>
        <v>6015</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6"/>
      <c r="G109" s="2015" t="s">
        <v>2126</v>
      </c>
      <c r="H109" s="2822" t="str">
        <f>IF(E109="——","——",H101-H105-H106)</f>
        <v>——</v>
      </c>
      <c r="I109" s="137"/>
    </row>
    <row r="110" spans="1:35" ht="18.75" customHeight="1">
      <c r="A110" s="137"/>
      <c r="B110" s="137"/>
      <c r="C110" s="137"/>
      <c r="D110" s="137"/>
      <c r="E110" s="3268"/>
      <c r="F110" s="3236"/>
      <c r="G110" s="2015" t="s">
        <v>2128</v>
      </c>
      <c r="H110" s="2779"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55"/>
      <c r="G111" s="2015" t="s">
        <v>2126</v>
      </c>
      <c r="H111" s="2819" t="str">
        <f>IF(E111="——","——",N59)</f>
        <v>——</v>
      </c>
      <c r="I111" s="137"/>
    </row>
    <row r="112" spans="1:35" ht="18.75" customHeight="1" thickBot="1">
      <c r="A112" s="137"/>
      <c r="B112" s="137"/>
      <c r="C112" s="137"/>
      <c r="D112" s="137"/>
      <c r="E112" s="3270"/>
      <c r="F112" s="3271"/>
      <c r="G112" s="2018" t="s">
        <v>2128</v>
      </c>
      <c r="H112" s="2823" t="str">
        <f>IF(E111="——","——",N61)</f>
        <v>——</v>
      </c>
      <c r="I112" s="137"/>
    </row>
    <row r="113" spans="1:27" ht="18.75" customHeight="1">
      <c r="A113" s="137"/>
      <c r="B113" s="137"/>
      <c r="C113" s="137"/>
      <c r="D113" s="137"/>
      <c r="E113" s="3278" t="s">
        <v>2134</v>
      </c>
      <c r="F113" s="3278"/>
      <c r="G113" s="3278"/>
      <c r="H113" s="3278"/>
      <c r="I113" s="137"/>
    </row>
    <row r="114" spans="1:27" ht="3.75" customHeight="1">
      <c r="A114" s="1935"/>
      <c r="B114" s="1935"/>
      <c r="C114" s="1935"/>
      <c r="D114" s="1935"/>
      <c r="E114" s="1997"/>
      <c r="F114" s="1997"/>
      <c r="G114" s="1997"/>
      <c r="H114" s="1997"/>
      <c r="I114" s="1935"/>
    </row>
    <row r="115" spans="1:27" ht="18.75" customHeight="1">
      <c r="A115" s="3289" t="s">
        <v>2136</v>
      </c>
      <c r="B115" s="3290"/>
      <c r="C115" s="3290"/>
      <c r="D115" s="3290"/>
      <c r="E115" s="3290"/>
      <c r="F115" s="3290"/>
      <c r="G115" s="3290"/>
      <c r="H115" s="3290"/>
      <c r="I115" s="3291"/>
    </row>
    <row r="116" spans="1:27" ht="27" customHeight="1">
      <c r="A116" s="3243" t="s">
        <v>2137</v>
      </c>
      <c r="B116" s="3247" t="s">
        <v>2138</v>
      </c>
      <c r="C116" s="3247" t="s">
        <v>2139</v>
      </c>
      <c r="D116" s="3253" t="s">
        <v>2140</v>
      </c>
      <c r="E116" s="3254"/>
      <c r="F116" s="3285" t="s">
        <v>2141</v>
      </c>
      <c r="G116" s="3285"/>
      <c r="H116" s="3243" t="s">
        <v>2142</v>
      </c>
      <c r="I116" s="3243"/>
    </row>
    <row r="117" spans="1:27" ht="18.75" customHeight="1">
      <c r="A117" s="3243"/>
      <c r="B117" s="3248"/>
      <c r="C117" s="3248"/>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北京市房山区琉璃河镇中心区E-07地块1#综合厂房等3项、2#厂房等18项（中粮科技园标准厂房及配套附属设施建设项目）出让国有建设用地使用权及在建建筑物房地产</v>
      </c>
      <c r="B118" s="2554">
        <f>M18</f>
        <v>143180.50000000003</v>
      </c>
      <c r="C118" s="2554">
        <f>M19</f>
        <v>68983.08</v>
      </c>
      <c r="D118" s="2554">
        <f ca="1">ROUND(IF(D32="总价",C34,E118*B118/10000),0)</f>
        <v>21615</v>
      </c>
      <c r="E118" s="2554">
        <f ca="1">ROUND(IF(C33="自定义",IF(D32="楼面单价",C34,D118*10000/B118),I118-G118),0)</f>
        <v>1510</v>
      </c>
      <c r="F118" s="2554">
        <f ca="1">ROUND(IF(D32="总价",C35,G118*B118/10000),0)</f>
        <v>64502</v>
      </c>
      <c r="G118" s="2554">
        <f ca="1">ROUND(IF(D32="楼面单价",C35,F118*10000/B118),0)</f>
        <v>4505</v>
      </c>
      <c r="H118" s="2554">
        <f ca="1">ROUND(IF(D32="总价",C32,I118*B118/10000),0)</f>
        <v>86117</v>
      </c>
      <c r="I118" s="2554">
        <f ca="1">ROUND(IF(D32="楼面单价",C32,H118*10000/B118),0)</f>
        <v>6015</v>
      </c>
    </row>
    <row r="119" spans="1:27" ht="18.75" customHeight="1">
      <c r="A119" s="3243" t="s">
        <v>2146</v>
      </c>
      <c r="B119" s="3243"/>
      <c r="C119" s="3243"/>
      <c r="D119" s="3249" t="str">
        <f ca="1">NUMBERSTRING(INT(D118*10000),2)&amp;"元整"</f>
        <v>贰亿壹仟陆佰壹拾伍万元整</v>
      </c>
      <c r="E119" s="3250"/>
      <c r="F119" s="3249" t="str">
        <f ca="1">NUMBERSTRING(INT(F118*10000),2)&amp;"元整"</f>
        <v>陆亿肆仟伍佰零贰万元整</v>
      </c>
      <c r="G119" s="3250"/>
      <c r="H119" s="3249" t="str">
        <f ca="1">NUMBERSTRING(INT(H118*10000),2)&amp;"元整"</f>
        <v>捌亿陆仟壹佰壹拾柒万元整</v>
      </c>
      <c r="I119" s="3250"/>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86" t="s">
        <v>2146</v>
      </c>
      <c r="B121" s="3287"/>
      <c r="C121" s="3288"/>
      <c r="D121" s="3249" t="str">
        <f>IF(D120=0,"零元整",NUMBERSTRING(INT(D120*10000),2)&amp;"元整")</f>
        <v>零元整</v>
      </c>
      <c r="E121" s="3251"/>
      <c r="F121" s="3251"/>
      <c r="G121" s="3251"/>
      <c r="H121" s="3251"/>
      <c r="I121" s="3250"/>
      <c r="AA121" s="737"/>
    </row>
    <row r="122" spans="1:27" ht="18.75" customHeight="1">
      <c r="A122" s="3255" t="str">
        <f>IF(项目基本情况!B9="房地产市场价值","",MID(E107,3,LEN(E107)-2))</f>
        <v>房地产抵押价值</v>
      </c>
      <c r="B122" s="3255"/>
      <c r="C122" s="3255"/>
      <c r="D122" s="3244">
        <f ca="1">H107</f>
        <v>86117</v>
      </c>
      <c r="E122" s="3245"/>
      <c r="F122" s="3245"/>
      <c r="G122" s="3245"/>
      <c r="H122" s="3245"/>
      <c r="I122" s="3246"/>
      <c r="AA122" s="737"/>
    </row>
    <row r="123" spans="1:27" ht="18.75" customHeight="1">
      <c r="A123" s="3243" t="s">
        <v>2146</v>
      </c>
      <c r="B123" s="3243"/>
      <c r="C123" s="3243"/>
      <c r="D123" s="3249" t="str">
        <f ca="1">NUMBERSTRING(INT(D122*10000),2)&amp;"元整"</f>
        <v>捌亿陆仟壹佰壹拾柒万元整</v>
      </c>
      <c r="E123" s="3251"/>
      <c r="F123" s="3251"/>
      <c r="G123" s="3251"/>
      <c r="H123" s="3251"/>
      <c r="I123" s="3250"/>
      <c r="AA123" s="737"/>
    </row>
    <row r="124" spans="1:27" ht="18.75" customHeight="1">
      <c r="A124" s="3255" t="str">
        <f>IF(项目基本情况!B9="房地产市场价值","",MID(E109,3,LEN(E109)-2))</f>
        <v/>
      </c>
      <c r="B124" s="3255"/>
      <c r="C124" s="3255"/>
      <c r="D124" s="3244" t="str">
        <f>H109</f>
        <v>——</v>
      </c>
      <c r="E124" s="3245"/>
      <c r="F124" s="3245"/>
      <c r="G124" s="3245"/>
      <c r="H124" s="3245"/>
      <c r="I124" s="3246"/>
      <c r="AA124" s="737"/>
    </row>
    <row r="125" spans="1:27" ht="18.75" customHeight="1">
      <c r="A125" s="3243" t="s">
        <v>2146</v>
      </c>
      <c r="B125" s="3243"/>
      <c r="C125" s="3243"/>
      <c r="D125" s="3249" t="e">
        <f>NUMBERSTRING(INT(D124*10000),2)&amp;"元整"</f>
        <v>#VALUE!</v>
      </c>
      <c r="E125" s="3251"/>
      <c r="F125" s="3251"/>
      <c r="G125" s="3251"/>
      <c r="H125" s="3251"/>
      <c r="I125" s="3250"/>
      <c r="AA125" s="737"/>
    </row>
    <row r="126" spans="1:27" ht="18.75" customHeight="1">
      <c r="A126" s="3255" t="str">
        <f>IF(项目基本情况!B9="房地产市场价值","",MID(E111,3,LEN(E111)-2))</f>
        <v/>
      </c>
      <c r="B126" s="3255"/>
      <c r="C126" s="3255"/>
      <c r="D126" s="3244" t="str">
        <f>H111</f>
        <v>——</v>
      </c>
      <c r="E126" s="3245"/>
      <c r="F126" s="3245"/>
      <c r="G126" s="3245"/>
      <c r="H126" s="3245"/>
      <c r="I126" s="3246"/>
      <c r="AA126" s="737"/>
    </row>
    <row r="127" spans="1:27" ht="18.75" customHeight="1">
      <c r="A127" s="3243" t="s">
        <v>2146</v>
      </c>
      <c r="B127" s="3243"/>
      <c r="C127" s="3243"/>
      <c r="D127" s="3249" t="e">
        <f>NUMBERSTRING(INT(D126*10000),2)&amp;"元整"</f>
        <v>#VALUE!</v>
      </c>
      <c r="E127" s="3251"/>
      <c r="F127" s="3251"/>
      <c r="G127" s="3251"/>
      <c r="H127" s="3251"/>
      <c r="I127" s="3250"/>
      <c r="AA127" s="737"/>
    </row>
    <row r="128" spans="1:27" ht="21.75" customHeight="1">
      <c r="A128" s="3252" t="s">
        <v>2147</v>
      </c>
      <c r="B128" s="3252"/>
      <c r="C128" s="3252"/>
      <c r="D128" s="3252"/>
      <c r="E128" s="3252"/>
      <c r="F128" s="3252"/>
      <c r="G128" s="3252"/>
      <c r="H128" s="3252"/>
      <c r="I128" s="3252"/>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35" sqref="C35"/>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92429</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6455</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17418</v>
      </c>
      <c r="D5" s="220" t="s">
        <v>2163</v>
      </c>
      <c r="E5" s="221" t="s">
        <v>2164</v>
      </c>
      <c r="F5" s="221" t="s">
        <v>2165</v>
      </c>
      <c r="G5" s="222"/>
    </row>
    <row r="6" spans="1:9" s="223" customFormat="1" ht="13.5" customHeight="1">
      <c r="A6" s="888" t="s">
        <v>2166</v>
      </c>
      <c r="B6" s="224" t="s">
        <v>2167</v>
      </c>
      <c r="C6" s="225">
        <f>'土地比较法-工业'!B2</f>
        <v>14263</v>
      </c>
      <c r="D6" s="226"/>
      <c r="E6" s="227"/>
      <c r="F6" s="227"/>
      <c r="G6" s="228"/>
    </row>
    <row r="7" spans="1:9" s="223" customFormat="1" ht="13.5" customHeight="1">
      <c r="A7" s="888" t="s">
        <v>2168</v>
      </c>
      <c r="B7" s="224" t="s">
        <v>2169</v>
      </c>
      <c r="C7" s="229">
        <f>ROUND(C6*F7,0)</f>
        <v>435</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2720</v>
      </c>
      <c r="D8" s="231"/>
      <c r="E8" s="229"/>
      <c r="F8" s="230"/>
      <c r="G8" s="2044" t="s">
        <v>3420</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3421</v>
      </c>
      <c r="H9" s="1301"/>
      <c r="I9" s="2046" t="s">
        <v>2173</v>
      </c>
    </row>
    <row r="10" spans="1:9" s="223" customFormat="1" ht="13.5" customHeight="1">
      <c r="A10" s="889" t="s">
        <v>801</v>
      </c>
      <c r="B10" s="233" t="s">
        <v>2174</v>
      </c>
      <c r="C10" s="234">
        <f ca="1">ROUND(D10*E10/10000,0)</f>
        <v>2720</v>
      </c>
      <c r="D10" s="956">
        <f ca="1">IF(B1="",'数据-汇总表'!E6,IF(INDIRECT("'数据-取费表'!c"&amp;$G$1)="住宅",INDIRECT("'数据-取费表'!s"&amp;$G$1),INDIRECT("'数据-取费表'!k"&amp;$G$1)+INDIRECT("'数据-取费表'!s"&amp;$G$1)))</f>
        <v>143180.50000000003</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143180.50000000003</v>
      </c>
      <c r="E19" s="220">
        <f>'数据-取费表'!B31</f>
        <v>200</v>
      </c>
      <c r="F19" s="240"/>
      <c r="G19" s="2044" t="s">
        <v>3422</v>
      </c>
    </row>
    <row r="20" spans="1:7" s="223" customFormat="1" ht="13.5" customHeight="1">
      <c r="A20" s="264" t="s">
        <v>2187</v>
      </c>
      <c r="B20" s="219" t="s">
        <v>2188</v>
      </c>
      <c r="C20" s="241">
        <f ca="1">ROUND((C5+C19)*F20,0)</f>
        <v>435</v>
      </c>
      <c r="D20" s="241"/>
      <c r="E20" s="241"/>
      <c r="F20" s="242">
        <f>'数据-取费表'!B37</f>
        <v>2.5000000000000001E-2</v>
      </c>
      <c r="G20" s="243" t="s">
        <v>2189</v>
      </c>
    </row>
    <row r="21" spans="1:7" s="223" customFormat="1" ht="13.5" customHeight="1">
      <c r="A21" s="264" t="s">
        <v>2190</v>
      </c>
      <c r="B21" s="219" t="s">
        <v>2191</v>
      </c>
      <c r="C21" s="244">
        <f>F21</f>
        <v>2.5000000000000001E-2</v>
      </c>
      <c r="D21" s="245" t="s">
        <v>2192</v>
      </c>
      <c r="E21" s="241"/>
      <c r="F21" s="242">
        <f>'数据-取费表'!B38</f>
        <v>2.5000000000000001E-2</v>
      </c>
      <c r="G21" s="243" t="s">
        <v>2193</v>
      </c>
    </row>
    <row r="22" spans="1:7" s="223" customFormat="1" ht="13.5" customHeight="1">
      <c r="A22" s="264" t="s">
        <v>2194</v>
      </c>
      <c r="B22" s="219" t="s">
        <v>2195</v>
      </c>
      <c r="C22" s="1266">
        <f ca="1">ROUND(SUM(C23:C25),0)</f>
        <v>1536</v>
      </c>
      <c r="D22" s="244">
        <f ca="1">C26</f>
        <v>1.1000000000000001E-3</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1517</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19</v>
      </c>
      <c r="D25" s="247"/>
      <c r="E25" s="250"/>
      <c r="F25" s="248"/>
      <c r="G25" s="251" t="s">
        <v>2204</v>
      </c>
    </row>
    <row r="26" spans="1:7" s="223" customFormat="1">
      <c r="A26" s="890" t="s">
        <v>795</v>
      </c>
      <c r="B26" s="224" t="s">
        <v>2205</v>
      </c>
      <c r="C26" s="247">
        <f ca="1">ROUND(IF('数据-取费表'!B22&lt;=1,F21*F22*'数据-取费表'!B23/2,F21*(POWER((1+F22),'数据-取费表'!B23/2)-1)),4)</f>
        <v>1.1000000000000001E-3</v>
      </c>
      <c r="D26" s="247"/>
      <c r="E26" s="250"/>
      <c r="F26" s="248"/>
      <c r="G26" s="252"/>
    </row>
    <row r="27" spans="1:7" s="223" customFormat="1" ht="24.75">
      <c r="A27" s="264" t="s">
        <v>2206</v>
      </c>
      <c r="B27" s="253" t="s">
        <v>2207</v>
      </c>
      <c r="C27" s="254">
        <f ca="1">C28</f>
        <v>1928</v>
      </c>
      <c r="D27" s="244">
        <f ca="1">C29</f>
        <v>2.7000000000000001E-3</v>
      </c>
      <c r="E27" s="245" t="s">
        <v>2208</v>
      </c>
      <c r="F27" s="255">
        <f ca="1">IF(B1="",'数据-取费表'!Q16,INDIRECT("'数据-取费表'!q"&amp;$G$1))</f>
        <v>0.12</v>
      </c>
      <c r="G27" s="256" t="s">
        <v>2209</v>
      </c>
    </row>
    <row r="28" spans="1:7" s="223" customFormat="1" ht="13.5" customHeight="1">
      <c r="A28" s="890" t="s">
        <v>791</v>
      </c>
      <c r="B28" s="257" t="s">
        <v>2210</v>
      </c>
      <c r="C28" s="258">
        <f ca="1">ROUND((C5+C19+C20)*F27*'数据-取费表'!B21/'数据-取费表'!B20,0)</f>
        <v>1928</v>
      </c>
      <c r="D28" s="244"/>
      <c r="E28" s="245"/>
      <c r="F28" s="255"/>
      <c r="G28" s="256"/>
    </row>
    <row r="29" spans="1:7" s="223" customFormat="1" ht="13.5" customHeight="1">
      <c r="A29" s="890" t="s">
        <v>792</v>
      </c>
      <c r="B29" s="257" t="s">
        <v>2211</v>
      </c>
      <c r="C29" s="247">
        <f ca="1">ROUND(C21*F27*'数据-取费表'!B21/'数据-取费表'!B20,4)</f>
        <v>2.7000000000000001E-3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23201</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53356</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47680</v>
      </c>
      <c r="D34" s="226"/>
      <c r="E34" s="229"/>
      <c r="F34" s="266">
        <f ca="1">IF('数据-取费表'!B24=0,1,IF(B1="",'数据-取费表'!N16,INDIRECT("'数据-取费表'!n"&amp;$G$1)))</f>
        <v>0.9</v>
      </c>
      <c r="G34" s="228" t="s">
        <v>2220</v>
      </c>
    </row>
    <row r="35" spans="1:7" ht="13.5" customHeight="1">
      <c r="A35" s="890" t="s">
        <v>796</v>
      </c>
      <c r="B35" s="224" t="s">
        <v>2221</v>
      </c>
      <c r="C35" s="229">
        <f ca="1">ROUND(C34*F35,0)</f>
        <v>2384</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2577</v>
      </c>
      <c r="D37" s="226">
        <f ca="1">D19</f>
        <v>143180.50000000003</v>
      </c>
      <c r="E37" s="258">
        <f>'数据-取费表'!B35</f>
        <v>200</v>
      </c>
      <c r="F37" s="268"/>
      <c r="G37" s="270" t="s">
        <v>2226</v>
      </c>
    </row>
    <row r="38" spans="1:7" ht="13.5" customHeight="1">
      <c r="A38" s="890" t="s">
        <v>799</v>
      </c>
      <c r="B38" s="224" t="s">
        <v>2227</v>
      </c>
      <c r="C38" s="229">
        <f ca="1">ROUND(C34*F38,0)</f>
        <v>715</v>
      </c>
      <c r="D38" s="229"/>
      <c r="E38" s="229"/>
      <c r="F38" s="268">
        <f>'数据-取费表'!B36</f>
        <v>1.4999999999999999E-2</v>
      </c>
      <c r="G38" s="228" t="s">
        <v>2222</v>
      </c>
    </row>
    <row r="39" spans="1:7" s="223" customFormat="1" ht="13.5" customHeight="1">
      <c r="A39" s="264" t="s">
        <v>2228</v>
      </c>
      <c r="B39" s="219" t="s">
        <v>2229</v>
      </c>
      <c r="C39" s="241">
        <f ca="1">ROUND(C33*F20,0)</f>
        <v>1334</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2333</v>
      </c>
      <c r="D41" s="244">
        <f ca="1">C44</f>
        <v>1.1000000000000001E-3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2276</v>
      </c>
      <c r="D42" s="247"/>
      <c r="E42" s="247"/>
      <c r="F42" s="248"/>
      <c r="G42" s="3329" t="s">
        <v>2238</v>
      </c>
    </row>
    <row r="43" spans="1:7" ht="13.5" customHeight="1">
      <c r="A43" s="890" t="s">
        <v>792</v>
      </c>
      <c r="B43" s="224" t="s">
        <v>2239</v>
      </c>
      <c r="C43" s="247">
        <f ca="1">ROUND(IF('数据-取费表'!B22&lt;=1,C39*F22*'数据-取费表'!B21/2,C39*(POWER((1+F22),'数据-取费表'!B21/2)-1)),0)</f>
        <v>57</v>
      </c>
      <c r="D43" s="247"/>
      <c r="E43" s="247"/>
      <c r="F43" s="248"/>
      <c r="G43" s="3330"/>
    </row>
    <row r="44" spans="1:7" ht="13.5" customHeight="1">
      <c r="A44" s="890" t="s">
        <v>793</v>
      </c>
      <c r="B44" s="224" t="s">
        <v>2240</v>
      </c>
      <c r="C44" s="247">
        <f ca="1">ROUND(IF('数据-取费表'!B22&lt;=1,C40*F22*'数据-取费表'!B21/2,C40*(POWER((1+F22),'数据-取费表'!B21/2)-1)),4)</f>
        <v>1.1000000000000001E-3</v>
      </c>
      <c r="D44" s="247"/>
      <c r="E44" s="247"/>
      <c r="F44" s="248"/>
      <c r="G44" s="3331"/>
    </row>
    <row r="45" spans="1:7" s="223" customFormat="1" ht="13.5" customHeight="1">
      <c r="A45" s="264" t="s">
        <v>2241</v>
      </c>
      <c r="B45" s="253" t="s">
        <v>2207</v>
      </c>
      <c r="C45" s="254">
        <f ca="1">C46</f>
        <v>6563</v>
      </c>
      <c r="D45" s="244">
        <f ca="1">C47</f>
        <v>3.0000000000000001E-3</v>
      </c>
      <c r="E45" s="245" t="s">
        <v>2233</v>
      </c>
      <c r="F45" s="2539">
        <f ca="1">F27</f>
        <v>0.12</v>
      </c>
      <c r="G45" s="256" t="s">
        <v>2242</v>
      </c>
    </row>
    <row r="46" spans="1:7" s="223" customFormat="1" ht="13.5" customHeight="1">
      <c r="A46" s="890" t="s">
        <v>791</v>
      </c>
      <c r="B46" s="257" t="s">
        <v>2243</v>
      </c>
      <c r="C46" s="258">
        <f ca="1">ROUND((C33+C39)*F27,0)</f>
        <v>6563</v>
      </c>
      <c r="D46" s="272"/>
      <c r="E46" s="245"/>
      <c r="F46" s="255"/>
      <c r="G46" s="256"/>
    </row>
    <row r="47" spans="1:7" s="223" customFormat="1" ht="13.5" customHeight="1">
      <c r="A47" s="890" t="s">
        <v>792</v>
      </c>
      <c r="B47" s="257" t="s">
        <v>2244</v>
      </c>
      <c r="C47" s="247">
        <f ca="1">ROUND(C40*F27,4)</f>
        <v>3.0000000000000001E-3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69228</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69228</v>
      </c>
      <c r="D51" s="241"/>
      <c r="E51" s="241"/>
      <c r="F51" s="273"/>
      <c r="G51" s="243" t="s">
        <v>2254</v>
      </c>
    </row>
    <row r="52" spans="1:7" s="217" customFormat="1" ht="16.5" thickBot="1">
      <c r="A52" s="274" t="s">
        <v>2255</v>
      </c>
      <c r="B52" s="275"/>
      <c r="C52" s="276">
        <f ca="1">C31+C51</f>
        <v>92429</v>
      </c>
      <c r="D52" s="275"/>
      <c r="E52" s="275"/>
      <c r="F52" s="275"/>
      <c r="G52" s="277"/>
    </row>
    <row r="55" spans="1:7" ht="15">
      <c r="B55" s="279" t="s">
        <v>2256</v>
      </c>
      <c r="C55" s="280"/>
    </row>
    <row r="56" spans="1:7">
      <c r="B56" s="282" t="s">
        <v>1478</v>
      </c>
      <c r="C56" s="284">
        <f ca="1">1-C57</f>
        <v>0.251</v>
      </c>
    </row>
    <row r="57" spans="1:7">
      <c r="B57" s="282" t="s">
        <v>1479</v>
      </c>
      <c r="C57" s="283">
        <f ca="1">ROUND(C51/C52,3)</f>
        <v>0.749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84826</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5924</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27204295</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27204295</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27204295</v>
      </c>
      <c r="D10" s="956">
        <f ca="1">IF(B1="",'数据-汇总表'!E6,IF(INDIRECT("'数据-取费表'!c"&amp;$G$1)="住宅",INDIRECT("'数据-取费表'!s"&amp;$G$1),INDIRECT("'数据-取费表'!k"&amp;$G$1)+INDIRECT("'数据-取费表'!s"&amp;$G$1)))</f>
        <v>143180.50000000003</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28636100</v>
      </c>
      <c r="D19" s="960">
        <f ca="1">D9+D10</f>
        <v>143180.50000000003</v>
      </c>
      <c r="E19" s="220">
        <f>'数据-取费表'!B31</f>
        <v>200</v>
      </c>
      <c r="F19" s="240"/>
      <c r="G19" s="2044"/>
    </row>
    <row r="20" spans="1:7" s="223" customFormat="1" ht="13.5" customHeight="1">
      <c r="A20" s="264" t="s">
        <v>2268</v>
      </c>
      <c r="B20" s="219" t="s">
        <v>2269</v>
      </c>
      <c r="C20" s="241">
        <f ca="1">ROUND((C5+C19)*F20,0)</f>
        <v>1396010</v>
      </c>
      <c r="D20" s="241"/>
      <c r="E20" s="241"/>
      <c r="F20" s="242">
        <f>'数据-取费表'!B37</f>
        <v>2.5000000000000001E-2</v>
      </c>
      <c r="G20" s="243" t="s">
        <v>2270</v>
      </c>
    </row>
    <row r="21" spans="1:7" s="223" customFormat="1" ht="13.5" customHeight="1">
      <c r="A21" s="264" t="s">
        <v>2271</v>
      </c>
      <c r="B21" s="219" t="s">
        <v>2272</v>
      </c>
      <c r="C21" s="244">
        <f>F21</f>
        <v>2.5000000000000001E-2</v>
      </c>
      <c r="D21" s="245" t="s">
        <v>2273</v>
      </c>
      <c r="E21" s="241"/>
      <c r="F21" s="242">
        <f>'数据-取费表'!B38</f>
        <v>2.5000000000000001E-2</v>
      </c>
      <c r="G21" s="243" t="s">
        <v>2274</v>
      </c>
    </row>
    <row r="22" spans="1:7" s="223" customFormat="1" ht="13.5" customHeight="1">
      <c r="A22" s="264" t="s">
        <v>2275</v>
      </c>
      <c r="B22" s="219" t="s">
        <v>2276</v>
      </c>
      <c r="C22" s="1291">
        <f ca="1">ROUND(SUM(C23:C25),0)</f>
        <v>5497138</v>
      </c>
      <c r="D22" s="244">
        <f ca="1">C26</f>
        <v>1.1999999999999999E-3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2645788</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2785040</v>
      </c>
      <c r="D24" s="247"/>
      <c r="E24" s="247"/>
      <c r="F24" s="248"/>
      <c r="G24" s="249" t="s">
        <v>2280</v>
      </c>
    </row>
    <row r="25" spans="1:7" s="223" customFormat="1" ht="24">
      <c r="A25" s="890" t="s">
        <v>2170</v>
      </c>
      <c r="B25" s="224" t="s">
        <v>2281</v>
      </c>
      <c r="C25" s="1292">
        <f ca="1">ROUND(IF('数据-取费表'!B22&lt;=1,C20*F22*'数据-取费表'!B22/2,C20*(POWER((1+F22),'数据-取费表'!B22/2)-1)),0)</f>
        <v>66310</v>
      </c>
      <c r="D25" s="247"/>
      <c r="E25" s="250"/>
      <c r="F25" s="248"/>
      <c r="G25" s="251" t="s">
        <v>2282</v>
      </c>
    </row>
    <row r="26" spans="1:7" s="223" customFormat="1">
      <c r="A26" s="890" t="s">
        <v>795</v>
      </c>
      <c r="B26" s="224" t="s">
        <v>2205</v>
      </c>
      <c r="C26" s="247">
        <f ca="1">ROUND(IF('数据-取费表'!B22&lt;=1,F21*F22*'数据-取费表'!B22/2,F21*(POWER((1+F22),'数据-取费表'!B22/2)-1)),4)</f>
        <v>1.1999999999999999E-3</v>
      </c>
      <c r="D26" s="247"/>
      <c r="E26" s="250"/>
      <c r="F26" s="248"/>
      <c r="G26" s="252"/>
    </row>
    <row r="27" spans="1:7" s="223" customFormat="1" ht="24.75">
      <c r="A27" s="264" t="s">
        <v>2206</v>
      </c>
      <c r="B27" s="253" t="s">
        <v>2207</v>
      </c>
      <c r="C27" s="254">
        <f ca="1">C28</f>
        <v>6868369</v>
      </c>
      <c r="D27" s="244">
        <f ca="1">C29</f>
        <v>3.0000000000000001E-3</v>
      </c>
      <c r="E27" s="245" t="s">
        <v>2208</v>
      </c>
      <c r="F27" s="255">
        <f ca="1">IF(B1="",'数据-取费表'!Q16,INDIRECT("'数据-取费表'!q"&amp;$G$1))</f>
        <v>0.12</v>
      </c>
      <c r="G27" s="256" t="s">
        <v>2209</v>
      </c>
    </row>
    <row r="28" spans="1:7" s="223" customFormat="1" ht="13.5" customHeight="1">
      <c r="A28" s="890" t="s">
        <v>791</v>
      </c>
      <c r="B28" s="257" t="s">
        <v>2210</v>
      </c>
      <c r="C28" s="258">
        <f ca="1">ROUND((C5+C19+C20)*F27,0)</f>
        <v>6868369</v>
      </c>
      <c r="D28" s="244"/>
      <c r="E28" s="245"/>
      <c r="F28" s="255"/>
      <c r="G28" s="256"/>
    </row>
    <row r="29" spans="1:7" s="223" customFormat="1" ht="13.5" customHeight="1">
      <c r="A29" s="890" t="s">
        <v>792</v>
      </c>
      <c r="B29" s="257" t="s">
        <v>2211</v>
      </c>
      <c r="C29" s="247">
        <f ca="1">ROUND(C21*F27,4)</f>
        <v>3.0000000000000001E-3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75786054</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592838861</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529767850</v>
      </c>
      <c r="D34" s="226"/>
      <c r="E34" s="229"/>
      <c r="F34" s="266"/>
      <c r="G34" s="228"/>
    </row>
    <row r="35" spans="1:7" ht="13.5" customHeight="1">
      <c r="A35" s="890" t="s">
        <v>796</v>
      </c>
      <c r="B35" s="224" t="s">
        <v>2221</v>
      </c>
      <c r="C35" s="229">
        <f ca="1">ROUND(C34*F35,0)</f>
        <v>26488393</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28636100</v>
      </c>
      <c r="D37" s="226">
        <f ca="1">D19</f>
        <v>143180.50000000003</v>
      </c>
      <c r="E37" s="258">
        <f>'数据-取费表'!B35</f>
        <v>200</v>
      </c>
      <c r="F37" s="268"/>
      <c r="G37" s="270"/>
    </row>
    <row r="38" spans="1:7" ht="13.5" customHeight="1">
      <c r="A38" s="890" t="s">
        <v>799</v>
      </c>
      <c r="B38" s="224" t="s">
        <v>2227</v>
      </c>
      <c r="C38" s="229">
        <f ca="1">ROUND(C34*F38,0)</f>
        <v>7946518</v>
      </c>
      <c r="D38" s="229"/>
      <c r="E38" s="229"/>
      <c r="F38" s="268">
        <f>'数据-取费表'!B36</f>
        <v>1.4999999999999999E-2</v>
      </c>
      <c r="G38" s="228" t="s">
        <v>2222</v>
      </c>
    </row>
    <row r="39" spans="1:7" s="223" customFormat="1" ht="13.5" customHeight="1">
      <c r="A39" s="264" t="s">
        <v>2228</v>
      </c>
      <c r="B39" s="219" t="s">
        <v>2229</v>
      </c>
      <c r="C39" s="241">
        <f ca="1">ROUND(C33*F20,0)</f>
        <v>14820972</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28863842</v>
      </c>
      <c r="D41" s="244">
        <f ca="1">C44</f>
        <v>1.1999999999999999E-3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28159846</v>
      </c>
      <c r="D42" s="247"/>
      <c r="E42" s="247"/>
      <c r="F42" s="248"/>
      <c r="G42" s="3329" t="s">
        <v>2285</v>
      </c>
    </row>
    <row r="43" spans="1:7" ht="13.5" customHeight="1">
      <c r="A43" s="890" t="s">
        <v>792</v>
      </c>
      <c r="B43" s="224" t="s">
        <v>2239</v>
      </c>
      <c r="C43" s="247">
        <f ca="1">ROUND(IF('数据-取费表'!B22&lt;=1,C39*F22*'数据-取费表'!B20/2,C39*(POWER((1+F22),'数据-取费表'!B20/2)-1)),0)</f>
        <v>703996</v>
      </c>
      <c r="D43" s="247"/>
      <c r="E43" s="247"/>
      <c r="F43" s="248"/>
      <c r="G43" s="3330"/>
    </row>
    <row r="44" spans="1:7" ht="13.5" customHeight="1">
      <c r="A44" s="890" t="s">
        <v>793</v>
      </c>
      <c r="B44" s="224" t="s">
        <v>2240</v>
      </c>
      <c r="C44" s="247">
        <f ca="1">ROUND(IF('数据-取费表'!B22&lt;=1,C40*F22*'数据-取费表'!B20/2,C40*(POWER((1+F22),'数据-取费表'!B20/2)-1)),4)</f>
        <v>1.1999999999999999E-3</v>
      </c>
      <c r="D44" s="247"/>
      <c r="E44" s="247"/>
      <c r="F44" s="248"/>
      <c r="G44" s="3331"/>
    </row>
    <row r="45" spans="1:7" s="223" customFormat="1" ht="13.5" customHeight="1">
      <c r="A45" s="264" t="s">
        <v>2241</v>
      </c>
      <c r="B45" s="253" t="s">
        <v>2207</v>
      </c>
      <c r="C45" s="254">
        <f ca="1">C46</f>
        <v>72919180</v>
      </c>
      <c r="D45" s="244">
        <f ca="1">C47</f>
        <v>3.0000000000000001E-3</v>
      </c>
      <c r="E45" s="245" t="s">
        <v>2233</v>
      </c>
      <c r="F45" s="2539">
        <f ca="1">F27</f>
        <v>0.12</v>
      </c>
      <c r="G45" s="256" t="s">
        <v>2242</v>
      </c>
    </row>
    <row r="46" spans="1:7" s="223" customFormat="1" ht="13.5" customHeight="1">
      <c r="A46" s="890" t="s">
        <v>791</v>
      </c>
      <c r="B46" s="257" t="s">
        <v>2243</v>
      </c>
      <c r="C46" s="258">
        <f ca="1">ROUND((C33+C39)*F27,0)</f>
        <v>72919180</v>
      </c>
      <c r="D46" s="272"/>
      <c r="E46" s="245"/>
      <c r="F46" s="255"/>
      <c r="G46" s="256"/>
    </row>
    <row r="47" spans="1:7" s="223" customFormat="1" ht="13.5" customHeight="1">
      <c r="A47" s="890" t="s">
        <v>792</v>
      </c>
      <c r="B47" s="257" t="s">
        <v>2244</v>
      </c>
      <c r="C47" s="247">
        <f ca="1">ROUND(C40*F27,4)</f>
        <v>3.0000000000000001E-3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772476976</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772476976</v>
      </c>
      <c r="D51" s="241"/>
      <c r="E51" s="241"/>
      <c r="F51" s="273"/>
      <c r="G51" s="243" t="s">
        <v>2254</v>
      </c>
    </row>
    <row r="52" spans="1:7" s="217" customFormat="1" ht="16.5" thickBot="1">
      <c r="A52" s="274" t="s">
        <v>2255</v>
      </c>
      <c r="B52" s="275"/>
      <c r="C52" s="276">
        <f ca="1">C31+C51</f>
        <v>848263030</v>
      </c>
      <c r="D52" s="275"/>
      <c r="E52" s="275"/>
      <c r="F52" s="275"/>
      <c r="G52" s="277"/>
    </row>
    <row r="55" spans="1:7" ht="15">
      <c r="B55" s="279" t="s">
        <v>2256</v>
      </c>
      <c r="C55" s="280"/>
    </row>
    <row r="56" spans="1:7">
      <c r="B56" s="282" t="s">
        <v>1478</v>
      </c>
      <c r="C56" s="284">
        <f ca="1">1-C57</f>
        <v>8.8999999999999968E-2</v>
      </c>
    </row>
    <row r="57" spans="1:7">
      <c r="B57" s="282" t="s">
        <v>1479</v>
      </c>
      <c r="C57" s="283">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30" zoomScaleNormal="70" zoomScaleSheetLayoutView="130" workbookViewId="0">
      <selection activeCell="F28" sqref="F28"/>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79805</v>
      </c>
      <c r="C2" s="285" t="s">
        <v>2289</v>
      </c>
      <c r="D2" s="285"/>
      <c r="E2" s="285"/>
      <c r="F2" s="285"/>
      <c r="G2" s="285"/>
      <c r="H2" s="285"/>
      <c r="I2" s="285"/>
      <c r="J2" s="285"/>
      <c r="K2" s="285"/>
    </row>
    <row r="3" spans="1:33" ht="18" customHeight="1" thickBot="1">
      <c r="A3" s="212" t="s">
        <v>2158</v>
      </c>
      <c r="B3" s="213">
        <f ca="1">ROUND(B2*10000/IF(C1="",'数据-汇总表'!E3,INDIRECT("'数据-取费表'!K"&amp;$K$1)),0)</f>
        <v>5574</v>
      </c>
      <c r="C3" s="285" t="s">
        <v>2290</v>
      </c>
      <c r="D3" s="285"/>
      <c r="E3" s="285"/>
      <c r="F3" s="285"/>
      <c r="G3" s="285"/>
      <c r="H3" s="285"/>
      <c r="I3" s="285"/>
      <c r="J3" s="285"/>
      <c r="K3" s="285"/>
    </row>
    <row r="4" spans="1:33" s="895" customFormat="1" ht="16.5" customHeight="1">
      <c r="A4" s="892" t="s">
        <v>2291</v>
      </c>
      <c r="B4" s="893"/>
      <c r="C4" s="935">
        <f ca="1">SUM(C8:K8)</f>
        <v>95997</v>
      </c>
      <c r="D4" s="893"/>
      <c r="E4" s="893"/>
      <c r="F4" s="893"/>
      <c r="G4" s="893"/>
      <c r="H4" s="893"/>
      <c r="I4" s="893"/>
      <c r="J4" s="893"/>
      <c r="K4" s="894"/>
    </row>
    <row r="5" spans="1:33" s="899" customFormat="1" ht="15">
      <c r="A5" s="896" t="s">
        <v>2292</v>
      </c>
      <c r="B5" s="897" t="s">
        <v>2293</v>
      </c>
      <c r="C5" s="2048" t="s">
        <v>3088</v>
      </c>
      <c r="D5" s="2048" t="s">
        <v>3089</v>
      </c>
      <c r="E5" s="2048" t="s">
        <v>48</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2294</v>
      </c>
      <c r="C6" s="901">
        <f ca="1">收益法!B3</f>
        <v>7961</v>
      </c>
      <c r="D6" s="901">
        <f ca="1">收益法地下厂房!B3</f>
        <v>5748</v>
      </c>
      <c r="E6" s="901">
        <f ca="1">收益法地下车库!B3</f>
        <v>1146</v>
      </c>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2295</v>
      </c>
      <c r="B7" s="139" t="s">
        <v>2296</v>
      </c>
      <c r="C7" s="286">
        <f>SUMIF('数据-汇总表'!$C19:$C33,假设开发法!C5,'数据-汇总表'!$E19:$E33)</f>
        <v>103099.22</v>
      </c>
      <c r="D7" s="286">
        <f>SUMIF('数据-汇总表'!$C19:$C33,假设开发法!D5,'数据-汇总表'!$E19:$E33)</f>
        <v>20689.020000000008</v>
      </c>
      <c r="E7" s="286">
        <f>SUMIF('数据-汇总表'!$C19:$C33,假设开发法!E5,'数据-汇总表'!$E19:$E33)</f>
        <v>17651.66</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2297</v>
      </c>
      <c r="B8" s="172" t="s">
        <v>2298</v>
      </c>
      <c r="C8" s="936">
        <f ca="1">收益法!B2</f>
        <v>82081</v>
      </c>
      <c r="D8" s="936">
        <f ca="1">收益法地下厂房!B2</f>
        <v>11893</v>
      </c>
      <c r="E8" s="936">
        <f ca="1">收益法地下车库!B2</f>
        <v>2023</v>
      </c>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2299</v>
      </c>
      <c r="B9" s="893"/>
      <c r="C9" s="893"/>
      <c r="D9" s="893"/>
      <c r="E9" s="893"/>
      <c r="F9" s="893"/>
      <c r="G9" s="893"/>
      <c r="H9" s="893"/>
      <c r="I9" s="893"/>
      <c r="J9" s="893"/>
      <c r="K9" s="894"/>
    </row>
    <row r="10" spans="1:33" s="909" customFormat="1" ht="13.5" customHeight="1">
      <c r="A10" s="896" t="s">
        <v>2300</v>
      </c>
      <c r="B10" s="8" t="s">
        <v>2301</v>
      </c>
      <c r="C10" s="905" t="s">
        <v>2302</v>
      </c>
      <c r="D10" s="906" t="s">
        <v>2303</v>
      </c>
      <c r="E10" s="906" t="s">
        <v>2304</v>
      </c>
      <c r="F10" s="906" t="s">
        <v>2305</v>
      </c>
      <c r="G10" s="8"/>
      <c r="H10" s="907"/>
      <c r="I10" s="907"/>
      <c r="J10" s="907"/>
      <c r="K10" s="908"/>
    </row>
    <row r="11" spans="1:33" s="914" customFormat="1" ht="13.5" customHeight="1">
      <c r="A11" s="910" t="s">
        <v>1300</v>
      </c>
      <c r="B11" s="911" t="s">
        <v>2306</v>
      </c>
      <c r="C11" s="288">
        <f ca="1">IF(C1="",'数据-取费表'!P16,INDIRECT("'数据-取费表'!p"&amp;$K$1)+INDIRECT("'数据-取费表'!ar"&amp;$K$1))</f>
        <v>5297</v>
      </c>
      <c r="D11" s="912"/>
      <c r="E11" s="338"/>
      <c r="F11" s="913">
        <f ca="1">1-IF('数据-取费表'!B24=0,1,IF(C1="",'数据-取费表'!N16,INDIRECT("'数据-取费表'!n"&amp;$K$1)))</f>
        <v>9.9999999999999978E-2</v>
      </c>
      <c r="G11" s="8"/>
      <c r="H11" s="907"/>
      <c r="I11" s="907"/>
      <c r="J11" s="907"/>
      <c r="K11" s="908"/>
    </row>
    <row r="12" spans="1:33" s="914" customFormat="1" ht="13.5" customHeight="1">
      <c r="A12" s="910" t="s">
        <v>1301</v>
      </c>
      <c r="B12" s="911" t="s">
        <v>2307</v>
      </c>
      <c r="C12" s="24">
        <f ca="1">ROUND(C11*F12,0)</f>
        <v>265</v>
      </c>
      <c r="D12" s="912"/>
      <c r="E12" s="338"/>
      <c r="F12" s="915">
        <f>'数据-取费表'!B33</f>
        <v>0.05</v>
      </c>
      <c r="G12" s="8" t="s">
        <v>2308</v>
      </c>
      <c r="H12" s="907"/>
      <c r="I12" s="907"/>
      <c r="J12" s="907"/>
      <c r="K12" s="908"/>
    </row>
    <row r="13" spans="1:33" s="914" customFormat="1" ht="13.5" customHeight="1">
      <c r="A13" s="910" t="s">
        <v>1302</v>
      </c>
      <c r="B13" s="911" t="s">
        <v>2309</v>
      </c>
      <c r="C13" s="24">
        <f ca="1">ROUND(IF(C1="",SUMIF('数据-取费表'!C:C,"住宅",'数据-取费表'!P:P)*F13,IF(INDIRECT("'数据-取费表'!c"&amp;$K$1)="住宅",INDIRECT("'数据-取费表'!P"&amp;$K$1)*F13,0)),0)</f>
        <v>0</v>
      </c>
      <c r="D13" s="957"/>
      <c r="E13" s="338"/>
      <c r="F13" s="915">
        <f>'数据-取费表'!B34</f>
        <v>0</v>
      </c>
      <c r="G13" s="8" t="s">
        <v>2310</v>
      </c>
      <c r="H13" s="907"/>
      <c r="I13" s="907"/>
      <c r="J13" s="907"/>
      <c r="K13" s="908"/>
    </row>
    <row r="14" spans="1:33" s="916" customFormat="1" ht="13.5" customHeight="1">
      <c r="A14" s="910" t="s">
        <v>1303</v>
      </c>
      <c r="B14" s="911" t="s">
        <v>2311</v>
      </c>
      <c r="C14" s="24">
        <f ca="1">ROUND(D14*E14*F11/10000,0)</f>
        <v>286</v>
      </c>
      <c r="D14" s="957">
        <f ca="1">IF(C1="",'数据-汇总表'!E3,INDIRECT("'数据-取费表'!K"&amp;$K$1)+INDIRECT("'数据-取费表'!S"&amp;$K$1))</f>
        <v>143180.50000000003</v>
      </c>
      <c r="E14" s="24">
        <f>'数据-取费表'!B35</f>
        <v>200</v>
      </c>
      <c r="F14" s="915"/>
      <c r="G14" s="8" t="s">
        <v>2312</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2313</v>
      </c>
      <c r="C15" s="922">
        <f ca="1">ROUND(C11*F15,0)</f>
        <v>79</v>
      </c>
      <c r="D15" s="917"/>
      <c r="E15" s="922"/>
      <c r="F15" s="923">
        <f>'数据-取费表'!B36</f>
        <v>1.4999999999999999E-2</v>
      </c>
      <c r="G15" s="139" t="s">
        <v>2314</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2315</v>
      </c>
      <c r="C16" s="922">
        <f ca="1">SUM(C11:C15)</f>
        <v>5927</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2316</v>
      </c>
      <c r="C17" s="24">
        <f ca="1">ROUND(D17*E17/10000,0)</f>
        <v>0</v>
      </c>
      <c r="D17" s="957">
        <f ca="1">D14</f>
        <v>143180.50000000003</v>
      </c>
      <c r="E17" s="24">
        <f>'数据-取费表'!B32</f>
        <v>0</v>
      </c>
      <c r="F17" s="917"/>
      <c r="G17" s="139" t="s">
        <v>2317</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2318</v>
      </c>
      <c r="C18" s="24">
        <f ca="1">C19+C20-IF(C1="",'数据-取费表'!B29,IF(G18="已全部缴纳",C19+C20,H18))</f>
        <v>0</v>
      </c>
      <c r="D18" s="957"/>
      <c r="E18" s="24"/>
      <c r="F18" s="915"/>
      <c r="G18" s="2050" t="s">
        <v>3455</v>
      </c>
      <c r="H18" s="1350"/>
      <c r="I18" s="2051" t="s">
        <v>2319</v>
      </c>
      <c r="J18" s="918"/>
      <c r="K18" s="919"/>
    </row>
    <row r="19" spans="1:33" s="914" customFormat="1" ht="13.5" customHeight="1">
      <c r="A19" s="910" t="s">
        <v>805</v>
      </c>
      <c r="B19" s="911" t="s">
        <v>2320</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2321</v>
      </c>
      <c r="C20" s="24">
        <f ca="1">ROUND(D20*E20/10000,0)</f>
        <v>2720</v>
      </c>
      <c r="D20" s="957">
        <f ca="1">IF(C1="",'数据-汇总表'!E6,IF(INDIRECT("'数据-取费表'!c"&amp;$K$1)="住宅",INDIRECT("'数据-取费表'!s"&amp;$K$1),INDIRECT("'数据-取费表'!k"&amp;$K$1)+INDIRECT("'数据-取费表'!s"&amp;$K$1)))</f>
        <v>143180.50000000003</v>
      </c>
      <c r="E20" s="24">
        <f>'数据-取费表'!B28</f>
        <v>190</v>
      </c>
      <c r="F20" s="915"/>
      <c r="G20" s="15"/>
      <c r="H20" s="920"/>
      <c r="I20" s="920"/>
      <c r="J20" s="920"/>
      <c r="K20" s="921"/>
    </row>
    <row r="21" spans="1:33" s="914" customFormat="1" ht="13.5" customHeight="1">
      <c r="A21" s="900" t="s">
        <v>802</v>
      </c>
      <c r="B21" s="924" t="s">
        <v>2322</v>
      </c>
      <c r="C21" s="925">
        <f ca="1">C16+C17+C18</f>
        <v>5927</v>
      </c>
      <c r="D21" s="926"/>
      <c r="E21" s="290"/>
      <c r="F21" s="290"/>
      <c r="G21" s="139" t="s">
        <v>2323</v>
      </c>
      <c r="H21" s="918"/>
      <c r="I21" s="918"/>
      <c r="J21" s="918"/>
      <c r="K21" s="919"/>
    </row>
    <row r="22" spans="1:33" s="914" customFormat="1" ht="13.5" customHeight="1">
      <c r="A22" s="900" t="s">
        <v>2295</v>
      </c>
      <c r="B22" s="924" t="s">
        <v>2324</v>
      </c>
      <c r="C22" s="925">
        <f ca="1">ROUND(C21*F22,0)</f>
        <v>148</v>
      </c>
      <c r="D22" s="290"/>
      <c r="E22" s="290"/>
      <c r="F22" s="927">
        <f>'数据-取费表'!B37</f>
        <v>2.5000000000000001E-2</v>
      </c>
      <c r="G22" s="8" t="s">
        <v>2325</v>
      </c>
      <c r="H22" s="907"/>
      <c r="I22" s="907"/>
      <c r="J22" s="907"/>
      <c r="K22" s="908"/>
    </row>
    <row r="23" spans="1:33" s="914" customFormat="1" ht="13.5" customHeight="1">
      <c r="A23" s="900" t="s">
        <v>2297</v>
      </c>
      <c r="B23" s="924" t="s">
        <v>2326</v>
      </c>
      <c r="C23" s="925">
        <f ca="1">ROUND(C4*F23*F11,0)</f>
        <v>240</v>
      </c>
      <c r="D23" s="290"/>
      <c r="E23" s="290"/>
      <c r="F23" s="927">
        <f>'数据-取费表'!B38</f>
        <v>2.5000000000000001E-2</v>
      </c>
      <c r="G23" s="8" t="s">
        <v>2327</v>
      </c>
      <c r="H23" s="907"/>
      <c r="I23" s="907"/>
      <c r="J23" s="907"/>
      <c r="K23" s="908"/>
    </row>
    <row r="24" spans="1:33" s="914" customFormat="1" ht="13.5" customHeight="1">
      <c r="A24" s="900" t="s">
        <v>2328</v>
      </c>
      <c r="B24" s="924" t="s">
        <v>2329</v>
      </c>
      <c r="C24" s="289">
        <f>ROUND(F24/(1+'数据-取费表'!C42),4)</f>
        <v>2.9000000000000001E-2</v>
      </c>
      <c r="D24" s="290" t="s">
        <v>15</v>
      </c>
      <c r="E24" s="290"/>
      <c r="F24" s="927">
        <f>IF(项目基本情况!B8="出让",0,'数据-取费表'!B48+'数据-取费表'!B49)</f>
        <v>3.0499999999999999E-2</v>
      </c>
      <c r="G24" s="8" t="s">
        <v>2330</v>
      </c>
      <c r="H24" s="929"/>
      <c r="I24" s="929"/>
      <c r="J24" s="929"/>
      <c r="K24" s="930"/>
    </row>
    <row r="25" spans="1:33" s="914" customFormat="1" ht="13.5" customHeight="1">
      <c r="A25" s="900" t="s">
        <v>2331</v>
      </c>
      <c r="B25" s="926" t="s">
        <v>2332</v>
      </c>
      <c r="C25" s="1268">
        <f ca="1">C27</f>
        <v>29</v>
      </c>
      <c r="D25" s="289">
        <f ca="1">C26</f>
        <v>9.5999999999999992E-3</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2333</v>
      </c>
      <c r="C26" s="1269">
        <f ca="1">ROUND(IF('数据-取费表'!B22&lt;=1,(1+C24)*F25*'数据-取费表'!B24,(1+C24)*(POWER((1+F25),'数据-取费表'!B24)-1)),4)</f>
        <v>9.5999999999999992E-3</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2334</v>
      </c>
      <c r="C27" s="1270">
        <f ca="1">ROUND(IF('数据-取费表'!B22&lt;=1,(C21+C22+C23)*F25*'数据-取费表'!B24/2,(C21+C22+C23)*(POWER((1+F25),'数据-取费表'!B24/2)-1)),0)</f>
        <v>29</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2335</v>
      </c>
      <c r="B28" s="2053" t="s">
        <v>2336</v>
      </c>
      <c r="C28" s="296">
        <f ca="1">C30</f>
        <v>758</v>
      </c>
      <c r="D28" s="289">
        <f ca="1">C29</f>
        <v>1.23E-2</v>
      </c>
      <c r="E28" s="291" t="s">
        <v>15</v>
      </c>
      <c r="F28" s="297">
        <f ca="1">IF(C1="",'数据-取费表'!Q16,INDIRECT("'数据-取费表'!q"&amp;$K$1))</f>
        <v>0.12</v>
      </c>
      <c r="G28" s="928"/>
      <c r="H28" s="929"/>
      <c r="I28" s="929"/>
      <c r="J28" s="929"/>
      <c r="K28" s="930"/>
    </row>
    <row r="29" spans="1:33" s="300" customFormat="1" ht="13.5" customHeight="1">
      <c r="A29" s="910" t="s">
        <v>803</v>
      </c>
      <c r="B29" s="933" t="s">
        <v>2337</v>
      </c>
      <c r="C29" s="293">
        <f ca="1">ROUND((1+C24)*F28*'数据-取费表'!B24/'数据-取费表'!B20,4)</f>
        <v>1.23E-2</v>
      </c>
      <c r="D29" s="293"/>
      <c r="E29" s="294"/>
      <c r="F29" s="299"/>
      <c r="G29" s="139" t="s">
        <v>2338</v>
      </c>
      <c r="H29" s="918"/>
      <c r="I29" s="918"/>
      <c r="J29" s="918"/>
      <c r="K29" s="919"/>
    </row>
    <row r="30" spans="1:33" s="300" customFormat="1" ht="13.5" customHeight="1">
      <c r="A30" s="910" t="s">
        <v>804</v>
      </c>
      <c r="B30" s="933" t="s">
        <v>2339</v>
      </c>
      <c r="C30" s="301">
        <f ca="1">ROUND((C21+C22+C23)*F28,0)</f>
        <v>758</v>
      </c>
      <c r="D30" s="293"/>
      <c r="E30" s="294"/>
      <c r="F30" s="299"/>
      <c r="G30" s="139"/>
      <c r="H30" s="918"/>
      <c r="I30" s="918"/>
      <c r="J30" s="918"/>
      <c r="K30" s="919"/>
    </row>
    <row r="31" spans="1:33" s="914" customFormat="1" ht="13.5" customHeight="1" thickBot="1">
      <c r="A31" s="2054" t="s">
        <v>2340</v>
      </c>
      <c r="B31" s="944" t="s">
        <v>2341</v>
      </c>
      <c r="C31" s="945">
        <f ca="1">ROUND(C4*F31/(1+'数据-取费表'!C42),0)</f>
        <v>5028</v>
      </c>
      <c r="D31" s="946"/>
      <c r="E31" s="947"/>
      <c r="F31" s="948">
        <f>'数据-取费表'!B41</f>
        <v>5.5000000000000007E-2</v>
      </c>
      <c r="G31" s="949" t="s">
        <v>2342</v>
      </c>
      <c r="H31" s="950"/>
      <c r="I31" s="950"/>
      <c r="J31" s="950"/>
      <c r="K31" s="951"/>
    </row>
    <row r="32" spans="1:33" s="909" customFormat="1" ht="13.5" customHeight="1" thickBot="1">
      <c r="A32" s="939" t="s">
        <v>2343</v>
      </c>
      <c r="B32" s="940"/>
      <c r="C32" s="941">
        <f ca="1">ROUND((C4-C21-C22-C23-C25-C28-C31)/(1+C24+D25+D28),0)</f>
        <v>79805</v>
      </c>
      <c r="D32" s="940"/>
      <c r="E32" s="940"/>
      <c r="F32" s="940"/>
      <c r="G32" s="942" t="s">
        <v>2344</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F57" sqref="F57:F58"/>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2570</v>
      </c>
      <c r="B1" s="358"/>
      <c r="C1" s="359" t="s">
        <v>2622</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14263</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996</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45" t="s">
        <v>2472</v>
      </c>
      <c r="D4" s="3346"/>
      <c r="E4" s="3347" t="s">
        <v>2473</v>
      </c>
      <c r="F4" s="3348"/>
      <c r="G4" s="3345" t="s">
        <v>2474</v>
      </c>
      <c r="H4" s="3346"/>
      <c r="I4" s="3345" t="s">
        <v>2475</v>
      </c>
      <c r="J4" s="3346"/>
      <c r="K4" s="570" t="s">
        <v>2476</v>
      </c>
      <c r="L4" s="2944"/>
      <c r="M4" s="2945"/>
      <c r="N4" s="2945"/>
      <c r="O4" s="2945"/>
      <c r="P4" s="3349" t="s">
        <v>2477</v>
      </c>
      <c r="Q4" s="3350"/>
      <c r="R4" s="3362" t="s">
        <v>2473</v>
      </c>
      <c r="S4" s="3363"/>
      <c r="T4" s="3362" t="s">
        <v>2474</v>
      </c>
      <c r="U4" s="3363"/>
      <c r="V4" s="3337" t="s">
        <v>2475</v>
      </c>
      <c r="W4" s="3337"/>
      <c r="X4" s="1542"/>
      <c r="Y4" s="3362" t="s">
        <v>2477</v>
      </c>
      <c r="Z4" s="3363"/>
      <c r="AA4" s="3342" t="s">
        <v>2473</v>
      </c>
      <c r="AB4" s="3343" t="s">
        <v>2474</v>
      </c>
      <c r="AC4" s="3342" t="s">
        <v>2475</v>
      </c>
    </row>
    <row r="5" spans="1:29" ht="15">
      <c r="A5" s="367"/>
      <c r="B5" s="368"/>
      <c r="C5" s="3366" t="s">
        <v>3303</v>
      </c>
      <c r="D5" s="3367"/>
      <c r="E5" s="3355" t="str">
        <f>土地案例!A2</f>
        <v>北京高端制造业基地06街区02地块项目</v>
      </c>
      <c r="F5" s="3356"/>
      <c r="G5" s="3370" t="str">
        <f>土地案例!A3</f>
        <v>北京高端制造业(房山)基地01街区01-02(1)地块工业用地项目</v>
      </c>
      <c r="H5" s="3367"/>
      <c r="I5" s="3370" t="str">
        <f>土地案例!A5</f>
        <v>北京市高端制造业(房山)基地01街区01-03地块部分用地项目</v>
      </c>
      <c r="J5" s="3367"/>
      <c r="K5" s="570"/>
      <c r="L5" s="2944"/>
      <c r="M5" s="2945"/>
      <c r="N5" s="2945"/>
      <c r="O5" s="2945"/>
      <c r="P5" s="3351"/>
      <c r="Q5" s="3352"/>
      <c r="R5" s="3364"/>
      <c r="S5" s="3365"/>
      <c r="T5" s="3364"/>
      <c r="U5" s="3365"/>
      <c r="V5" s="3337"/>
      <c r="W5" s="3337"/>
      <c r="X5" s="1542"/>
      <c r="Y5" s="3364"/>
      <c r="Z5" s="3365"/>
      <c r="AA5" s="3343"/>
      <c r="AB5" s="3343"/>
      <c r="AC5" s="3343"/>
    </row>
    <row r="6" spans="1:29" ht="15.75" thickBot="1">
      <c r="A6" s="369"/>
      <c r="B6" s="370"/>
      <c r="C6" s="3368" t="s">
        <v>2623</v>
      </c>
      <c r="D6" s="3369"/>
      <c r="E6" s="3372" t="str">
        <f>土地案例!F2</f>
        <v>房山区窦店</v>
      </c>
      <c r="F6" s="3373"/>
      <c r="G6" s="3368" t="str">
        <f>土地案例!F3</f>
        <v>房山区窦店镇望楚村</v>
      </c>
      <c r="H6" s="3369"/>
      <c r="I6" s="3368" t="str">
        <f>土地案例!F5</f>
        <v>房山区窦店镇</v>
      </c>
      <c r="J6" s="3369"/>
      <c r="K6" s="570" t="s">
        <v>2373</v>
      </c>
      <c r="L6" s="2944"/>
      <c r="M6" s="2945"/>
      <c r="N6" s="2945"/>
      <c r="O6" s="2945"/>
      <c r="P6" s="3353"/>
      <c r="Q6" s="3354"/>
      <c r="R6" s="3364"/>
      <c r="S6" s="3365"/>
      <c r="T6" s="3374"/>
      <c r="U6" s="3375"/>
      <c r="V6" s="3337"/>
      <c r="W6" s="3337"/>
      <c r="X6" s="1542"/>
      <c r="Y6" s="3374"/>
      <c r="Z6" s="3375"/>
      <c r="AA6" s="3344"/>
      <c r="AB6" s="3344"/>
      <c r="AC6" s="3344"/>
    </row>
    <row r="7" spans="1:29" s="116" customFormat="1" ht="15.75" thickBot="1">
      <c r="A7" s="371" t="s">
        <v>2374</v>
      </c>
      <c r="B7" s="372"/>
      <c r="C7" s="373">
        <f>'数据-取费表'!B2</f>
        <v>44166</v>
      </c>
      <c r="D7" s="374">
        <v>100</v>
      </c>
      <c r="E7" s="375">
        <f>土地案例!AA2</f>
        <v>43664</v>
      </c>
      <c r="F7" s="376">
        <f>SUMIF(65:65,YEAR(E7)&amp;"-"&amp;INT((MONTH(E7)+2)/3),66:66)</f>
        <v>97.5</v>
      </c>
      <c r="G7" s="2162">
        <f>土地案例!AA3</f>
        <v>43476</v>
      </c>
      <c r="H7" s="374">
        <f>SUMIF(65:65,YEAR(G7)&amp;"-"&amp;INT((MONTH(G7)+2)/3),66:66)</f>
        <v>96.5</v>
      </c>
      <c r="I7" s="2162">
        <f>土地案例!AA5</f>
        <v>42817</v>
      </c>
      <c r="J7" s="374">
        <f>SUMIF(65:65,YEAR(I7)&amp;"-"&amp;INT((MONTH(I7)+2)/3),66:66)</f>
        <v>93</v>
      </c>
      <c r="K7" s="571"/>
      <c r="L7" s="2946"/>
      <c r="M7" s="2947"/>
      <c r="N7" s="2947"/>
      <c r="O7" s="2947"/>
      <c r="P7" s="3357" t="s">
        <v>2375</v>
      </c>
      <c r="Q7" s="3371"/>
      <c r="R7" s="713" t="s">
        <v>17</v>
      </c>
      <c r="S7" s="714">
        <f t="shared" ref="S7:S15" si="0">F7</f>
        <v>97.5</v>
      </c>
      <c r="T7" s="713" t="s">
        <v>17</v>
      </c>
      <c r="U7" s="714">
        <f t="shared" ref="U7:U15" si="1">H7</f>
        <v>96.5</v>
      </c>
      <c r="V7" s="713" t="s">
        <v>17</v>
      </c>
      <c r="W7" s="714">
        <f t="shared" ref="W7:W15" si="2">J7</f>
        <v>93</v>
      </c>
      <c r="X7" s="715"/>
      <c r="Y7" s="3357" t="s">
        <v>2375</v>
      </c>
      <c r="Z7" s="3358"/>
      <c r="AA7" s="716">
        <f>D7/F7</f>
        <v>1.0256410256410255</v>
      </c>
      <c r="AB7" s="716">
        <f>D7/H7</f>
        <v>1.0362694300518134</v>
      </c>
      <c r="AC7" s="716">
        <f>D7/J7</f>
        <v>1.075268817204301</v>
      </c>
    </row>
    <row r="8" spans="1:29" s="116" customFormat="1" ht="15.75" thickBot="1">
      <c r="A8" s="371" t="s">
        <v>2376</v>
      </c>
      <c r="B8" s="372"/>
      <c r="C8" s="377" t="s">
        <v>2377</v>
      </c>
      <c r="D8" s="374">
        <v>100</v>
      </c>
      <c r="E8" s="377" t="s">
        <v>2377</v>
      </c>
      <c r="F8" s="376">
        <f>SUMIF(68:68,E8,69:69)-SUMIF(68:68,C8,69:69)+100</f>
        <v>100</v>
      </c>
      <c r="G8" s="377" t="s">
        <v>2377</v>
      </c>
      <c r="H8" s="374">
        <f>SUMIF(68:68,G8,69:69)-SUMIF(68:68,C8,69:69)+100</f>
        <v>100</v>
      </c>
      <c r="I8" s="377" t="s">
        <v>2377</v>
      </c>
      <c r="J8" s="374">
        <f>SUMIF(68:68,I8,69:69)-SUMIF(68:68,C8,69:69)+100</f>
        <v>100</v>
      </c>
      <c r="K8" s="571"/>
      <c r="L8" s="2946"/>
      <c r="M8" s="2947"/>
      <c r="N8" s="2947"/>
      <c r="O8" s="2947"/>
      <c r="P8" s="3357" t="s">
        <v>2378</v>
      </c>
      <c r="Q8" s="3358"/>
      <c r="R8" s="713" t="s">
        <v>17</v>
      </c>
      <c r="S8" s="714">
        <f t="shared" si="0"/>
        <v>100</v>
      </c>
      <c r="T8" s="713" t="s">
        <v>17</v>
      </c>
      <c r="U8" s="714">
        <f t="shared" si="1"/>
        <v>100</v>
      </c>
      <c r="V8" s="713" t="s">
        <v>17</v>
      </c>
      <c r="W8" s="714">
        <f t="shared" si="2"/>
        <v>100</v>
      </c>
      <c r="X8" s="715"/>
      <c r="Y8" s="3357" t="s">
        <v>2378</v>
      </c>
      <c r="Z8" s="3358"/>
      <c r="AA8" s="716">
        <f t="shared" ref="AA8:AA40" si="3">D8/F8</f>
        <v>1</v>
      </c>
      <c r="AB8" s="716">
        <f t="shared" ref="AB8:AB40" si="4">D8/H8</f>
        <v>1</v>
      </c>
      <c r="AC8" s="716">
        <f t="shared" ref="AC8:AC40" si="5">D8/J8</f>
        <v>1</v>
      </c>
    </row>
    <row r="9" spans="1:29" s="116" customFormat="1">
      <c r="A9" s="378" t="s">
        <v>2379</v>
      </c>
      <c r="B9" s="71" t="s">
        <v>2380</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5"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716">
        <f t="shared" si="5"/>
        <v>1</v>
      </c>
    </row>
    <row r="10" spans="1:29" s="389" customFormat="1" ht="27">
      <c r="A10" s="383"/>
      <c r="B10" s="384" t="s">
        <v>2383</v>
      </c>
      <c r="C10" s="394">
        <f>项目基本情况!I15</f>
        <v>43.17</v>
      </c>
      <c r="D10" s="135">
        <v>100</v>
      </c>
      <c r="E10" s="394">
        <v>50</v>
      </c>
      <c r="F10" s="135">
        <f>ROUND(100/'数据-取费表'!G16,0)</f>
        <v>105</v>
      </c>
      <c r="G10" s="394">
        <v>50</v>
      </c>
      <c r="H10" s="135">
        <f>ROUND(100/'数据-取费表'!G16,0)</f>
        <v>105</v>
      </c>
      <c r="I10" s="394">
        <v>50</v>
      </c>
      <c r="J10" s="135">
        <f>ROUND(100/'数据-取费表'!G16,0)</f>
        <v>105</v>
      </c>
      <c r="K10" s="631"/>
      <c r="L10" s="2948"/>
      <c r="M10" s="2949"/>
      <c r="N10" s="2949"/>
      <c r="O10" s="3002"/>
      <c r="P10" s="3335"/>
      <c r="Q10" s="1530" t="str">
        <f t="shared" si="6"/>
        <v>土地使用年限（年）</v>
      </c>
      <c r="R10" s="713" t="s">
        <v>17</v>
      </c>
      <c r="S10" s="714">
        <f t="shared" si="0"/>
        <v>105</v>
      </c>
      <c r="T10" s="713" t="s">
        <v>17</v>
      </c>
      <c r="U10" s="714">
        <f t="shared" si="1"/>
        <v>105</v>
      </c>
      <c r="V10" s="713" t="s">
        <v>17</v>
      </c>
      <c r="W10" s="714">
        <f t="shared" si="2"/>
        <v>105</v>
      </c>
      <c r="X10" s="715"/>
      <c r="Y10" s="3301"/>
      <c r="Z10" s="55" t="str">
        <f t="shared" si="7"/>
        <v>土地使用年限（年）</v>
      </c>
      <c r="AA10" s="716">
        <f t="shared" si="3"/>
        <v>0.95238095238095233</v>
      </c>
      <c r="AB10" s="716">
        <f t="shared" si="4"/>
        <v>0.95238095238095233</v>
      </c>
      <c r="AC10" s="716">
        <f t="shared" si="5"/>
        <v>0.95238095238095233</v>
      </c>
    </row>
    <row r="11" spans="1:29" ht="15.75" thickBot="1">
      <c r="A11" s="390"/>
      <c r="B11" s="384" t="s">
        <v>2384</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5"/>
      <c r="Q11" s="1530" t="str">
        <f t="shared" si="6"/>
        <v>容积率</v>
      </c>
      <c r="R11" s="713" t="s">
        <v>17</v>
      </c>
      <c r="S11" s="714">
        <f t="shared" si="0"/>
        <v>100</v>
      </c>
      <c r="T11" s="713" t="s">
        <v>17</v>
      </c>
      <c r="U11" s="714">
        <f t="shared" si="1"/>
        <v>100</v>
      </c>
      <c r="V11" s="713" t="s">
        <v>17</v>
      </c>
      <c r="W11" s="714">
        <f t="shared" si="2"/>
        <v>100</v>
      </c>
      <c r="X11" s="715"/>
      <c r="Y11" s="3301"/>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5"/>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5"/>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5"/>
      <c r="Q14" s="1530">
        <f t="shared" si="6"/>
        <v>111</v>
      </c>
      <c r="R14" s="713" t="s">
        <v>17</v>
      </c>
      <c r="S14" s="714">
        <f t="shared" si="0"/>
        <v>100</v>
      </c>
      <c r="T14" s="713" t="s">
        <v>17</v>
      </c>
      <c r="U14" s="714">
        <f t="shared" si="1"/>
        <v>100</v>
      </c>
      <c r="V14" s="713" t="s">
        <v>17</v>
      </c>
      <c r="W14" s="714">
        <f t="shared" si="2"/>
        <v>100</v>
      </c>
      <c r="X14" s="715"/>
      <c r="Y14" s="3301"/>
      <c r="Z14" s="55">
        <f t="shared" si="7"/>
        <v>111</v>
      </c>
      <c r="AA14" s="716">
        <f t="shared" si="3"/>
        <v>1</v>
      </c>
      <c r="AB14" s="716">
        <f t="shared" si="4"/>
        <v>1</v>
      </c>
      <c r="AC14" s="716">
        <f t="shared" si="5"/>
        <v>1</v>
      </c>
    </row>
    <row r="15" spans="1:29" ht="57">
      <c r="A15" s="402" t="s">
        <v>2385</v>
      </c>
      <c r="B15" s="588" t="s">
        <v>2624</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38" t="s">
        <v>2386</v>
      </c>
      <c r="Q15" s="1539" t="str">
        <f t="shared" si="6"/>
        <v>产业集聚程度</v>
      </c>
      <c r="R15" s="717" t="s">
        <v>17</v>
      </c>
      <c r="S15" s="718">
        <f t="shared" si="0"/>
        <v>110</v>
      </c>
      <c r="T15" s="717" t="s">
        <v>17</v>
      </c>
      <c r="U15" s="718">
        <f t="shared" si="1"/>
        <v>110</v>
      </c>
      <c r="V15" s="717" t="s">
        <v>17</v>
      </c>
      <c r="W15" s="718">
        <f t="shared" si="2"/>
        <v>110</v>
      </c>
      <c r="X15" s="1542"/>
      <c r="Y15" s="3338" t="s">
        <v>2386</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3416</v>
      </c>
      <c r="D16" s="410"/>
      <c r="E16" s="2092" t="s">
        <v>3417</v>
      </c>
      <c r="F16" s="410"/>
      <c r="G16" s="2092" t="s">
        <v>3417</v>
      </c>
      <c r="H16" s="412"/>
      <c r="I16" s="2092" t="s">
        <v>3417</v>
      </c>
      <c r="J16" s="410"/>
      <c r="K16" s="631"/>
      <c r="L16" s="2951"/>
      <c r="M16" s="2945"/>
      <c r="N16" s="2945"/>
      <c r="O16" s="3003"/>
      <c r="P16" s="3339"/>
      <c r="Q16" s="1539"/>
      <c r="R16" s="717"/>
      <c r="S16" s="718"/>
      <c r="T16" s="717"/>
      <c r="U16" s="718"/>
      <c r="V16" s="717"/>
      <c r="W16" s="718"/>
      <c r="X16" s="1542"/>
      <c r="Y16" s="3339"/>
      <c r="Z16" s="1543"/>
      <c r="AA16" s="1540">
        <v>1</v>
      </c>
      <c r="AB16" s="1540">
        <v>1</v>
      </c>
      <c r="AC16" s="1540">
        <v>1</v>
      </c>
    </row>
    <row r="17" spans="1:29" ht="85.5">
      <c r="A17" s="390"/>
      <c r="B17" s="590" t="s">
        <v>2535</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39"/>
      <c r="Q17" s="1539" t="str">
        <f>B17</f>
        <v>交通便捷度</v>
      </c>
      <c r="R17" s="717" t="s">
        <v>17</v>
      </c>
      <c r="S17" s="718">
        <f>F17</f>
        <v>100</v>
      </c>
      <c r="T17" s="717" t="s">
        <v>17</v>
      </c>
      <c r="U17" s="718">
        <f>H17</f>
        <v>100</v>
      </c>
      <c r="V17" s="717" t="s">
        <v>17</v>
      </c>
      <c r="W17" s="718">
        <f>J17</f>
        <v>100</v>
      </c>
      <c r="X17" s="1542"/>
      <c r="Y17" s="3339"/>
      <c r="Z17" s="1543" t="str">
        <f>Q17</f>
        <v>交通便捷度</v>
      </c>
      <c r="AA17" s="1540">
        <f t="shared" si="3"/>
        <v>1</v>
      </c>
      <c r="AB17" s="1540">
        <f t="shared" si="4"/>
        <v>1</v>
      </c>
      <c r="AC17" s="1540">
        <f t="shared" si="5"/>
        <v>1</v>
      </c>
    </row>
    <row r="18" spans="1:29" ht="15">
      <c r="A18" s="390"/>
      <c r="B18" s="591"/>
      <c r="C18" s="409" t="s">
        <v>3418</v>
      </c>
      <c r="D18" s="410"/>
      <c r="E18" s="409" t="s">
        <v>3418</v>
      </c>
      <c r="F18" s="410"/>
      <c r="G18" s="409" t="s">
        <v>3418</v>
      </c>
      <c r="H18" s="410"/>
      <c r="I18" s="409" t="s">
        <v>3418</v>
      </c>
      <c r="J18" s="410"/>
      <c r="K18" s="631"/>
      <c r="L18" s="2951"/>
      <c r="M18" s="2945"/>
      <c r="N18" s="2945"/>
      <c r="O18" s="3003"/>
      <c r="P18" s="3339"/>
      <c r="Q18" s="1539"/>
      <c r="R18" s="717"/>
      <c r="S18" s="718"/>
      <c r="T18" s="717"/>
      <c r="U18" s="718"/>
      <c r="V18" s="717"/>
      <c r="W18" s="718"/>
      <c r="X18" s="1542"/>
      <c r="Y18" s="3339"/>
      <c r="Z18" s="1543"/>
      <c r="AA18" s="1540">
        <v>1</v>
      </c>
      <c r="AB18" s="1540">
        <v>1</v>
      </c>
      <c r="AC18" s="1540">
        <v>1</v>
      </c>
    </row>
    <row r="19" spans="1:29" ht="15">
      <c r="A19" s="390"/>
      <c r="B19" s="590" t="s">
        <v>2574</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39"/>
      <c r="Q19" s="1539" t="str">
        <f t="shared" ref="Q19:Q33" si="8">B19</f>
        <v>区域土地利用方向</v>
      </c>
      <c r="R19" s="717" t="s">
        <v>17</v>
      </c>
      <c r="S19" s="718">
        <f>F19</f>
        <v>100</v>
      </c>
      <c r="T19" s="717" t="s">
        <v>17</v>
      </c>
      <c r="U19" s="718">
        <f>H19</f>
        <v>100</v>
      </c>
      <c r="V19" s="717" t="s">
        <v>17</v>
      </c>
      <c r="W19" s="718">
        <f>J19</f>
        <v>100</v>
      </c>
      <c r="X19" s="1542"/>
      <c r="Y19" s="3339"/>
      <c r="Z19" s="1543" t="str">
        <f>Q19</f>
        <v>区域土地利用方向</v>
      </c>
      <c r="AA19" s="1540">
        <f t="shared" si="3"/>
        <v>1</v>
      </c>
      <c r="AB19" s="1540">
        <f t="shared" si="4"/>
        <v>1</v>
      </c>
      <c r="AC19" s="1540">
        <f t="shared" si="5"/>
        <v>1</v>
      </c>
    </row>
    <row r="20" spans="1:29" ht="15">
      <c r="A20" s="367"/>
      <c r="B20" s="591"/>
      <c r="C20" s="409" t="s">
        <v>3417</v>
      </c>
      <c r="D20" s="410"/>
      <c r="E20" s="409" t="s">
        <v>3417</v>
      </c>
      <c r="F20" s="410"/>
      <c r="G20" s="409" t="s">
        <v>3417</v>
      </c>
      <c r="H20" s="410"/>
      <c r="I20" s="409" t="s">
        <v>3417</v>
      </c>
      <c r="J20" s="410"/>
      <c r="K20" s="753"/>
      <c r="L20" s="2951"/>
      <c r="M20" s="2945"/>
      <c r="N20" s="2945"/>
      <c r="O20" s="3003"/>
      <c r="P20" s="3339"/>
      <c r="Q20" s="1539"/>
      <c r="R20" s="717"/>
      <c r="S20" s="718"/>
      <c r="T20" s="717"/>
      <c r="U20" s="718"/>
      <c r="V20" s="717"/>
      <c r="W20" s="718"/>
      <c r="X20" s="1542"/>
      <c r="Y20" s="3339"/>
      <c r="Z20" s="1543"/>
      <c r="AA20" s="1540"/>
      <c r="AB20" s="1540"/>
      <c r="AC20" s="1540"/>
    </row>
    <row r="21" spans="1:29" ht="71.25">
      <c r="A21" s="367"/>
      <c r="B21" s="590" t="s">
        <v>2625</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39"/>
      <c r="Q21" s="1539" t="str">
        <f t="shared" si="8"/>
        <v>环境状况</v>
      </c>
      <c r="R21" s="717" t="s">
        <v>17</v>
      </c>
      <c r="S21" s="718">
        <f>F21</f>
        <v>100</v>
      </c>
      <c r="T21" s="717" t="s">
        <v>17</v>
      </c>
      <c r="U21" s="718">
        <f>H21</f>
        <v>100</v>
      </c>
      <c r="V21" s="717" t="s">
        <v>17</v>
      </c>
      <c r="W21" s="718">
        <f>J21</f>
        <v>100</v>
      </c>
      <c r="X21" s="1542"/>
      <c r="Y21" s="3339"/>
      <c r="Z21" s="1543" t="str">
        <f>Q21</f>
        <v>环境状况</v>
      </c>
      <c r="AA21" s="1540">
        <f t="shared" si="3"/>
        <v>1</v>
      </c>
      <c r="AB21" s="1540">
        <f t="shared" si="4"/>
        <v>1</v>
      </c>
      <c r="AC21" s="1540">
        <f t="shared" si="5"/>
        <v>1</v>
      </c>
    </row>
    <row r="22" spans="1:29" ht="15">
      <c r="A22" s="367"/>
      <c r="B22" s="591"/>
      <c r="C22" s="409" t="s">
        <v>3418</v>
      </c>
      <c r="D22" s="410"/>
      <c r="E22" s="409" t="s">
        <v>3418</v>
      </c>
      <c r="F22" s="410"/>
      <c r="G22" s="409" t="s">
        <v>3418</v>
      </c>
      <c r="H22" s="410"/>
      <c r="I22" s="409" t="s">
        <v>3418</v>
      </c>
      <c r="J22" s="410"/>
      <c r="K22" s="631"/>
      <c r="L22" s="2951"/>
      <c r="M22" s="2945"/>
      <c r="N22" s="2945"/>
      <c r="O22" s="3003"/>
      <c r="P22" s="3339"/>
      <c r="Q22" s="1539"/>
      <c r="R22" s="717"/>
      <c r="S22" s="718"/>
      <c r="T22" s="717"/>
      <c r="U22" s="718"/>
      <c r="V22" s="717"/>
      <c r="W22" s="718"/>
      <c r="X22" s="1542"/>
      <c r="Y22" s="3339"/>
      <c r="Z22" s="1543"/>
      <c r="AA22" s="1540">
        <v>1</v>
      </c>
      <c r="AB22" s="1540">
        <v>1</v>
      </c>
      <c r="AC22" s="1540">
        <v>1</v>
      </c>
    </row>
    <row r="23" spans="1:29" s="116" customFormat="1" ht="42.75">
      <c r="A23" s="608"/>
      <c r="B23" s="592" t="s">
        <v>2480</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39"/>
      <c r="Q23" s="1530" t="str">
        <f t="shared" si="8"/>
        <v>公共配套设施</v>
      </c>
      <c r="R23" s="713" t="s">
        <v>17</v>
      </c>
      <c r="S23" s="714">
        <f>F23</f>
        <v>100</v>
      </c>
      <c r="T23" s="713" t="s">
        <v>17</v>
      </c>
      <c r="U23" s="714">
        <f>H23</f>
        <v>100</v>
      </c>
      <c r="V23" s="713" t="s">
        <v>17</v>
      </c>
      <c r="W23" s="714">
        <f>J23</f>
        <v>100</v>
      </c>
      <c r="X23" s="715"/>
      <c r="Y23" s="3339"/>
      <c r="Z23" s="55" t="str">
        <f>Q23</f>
        <v>公共配套设施</v>
      </c>
      <c r="AA23" s="1540">
        <f>D23/F23</f>
        <v>1</v>
      </c>
      <c r="AB23" s="1540">
        <f>D23/H23</f>
        <v>1</v>
      </c>
      <c r="AC23" s="1540">
        <f>D23/J23</f>
        <v>1</v>
      </c>
    </row>
    <row r="24" spans="1:29" s="116" customFormat="1" ht="15">
      <c r="A24" s="608"/>
      <c r="B24" s="591"/>
      <c r="C24" s="2166" t="s">
        <v>3418</v>
      </c>
      <c r="D24" s="410"/>
      <c r="E24" s="2166" t="s">
        <v>3418</v>
      </c>
      <c r="F24" s="410"/>
      <c r="G24" s="2166" t="s">
        <v>3418</v>
      </c>
      <c r="H24" s="410"/>
      <c r="I24" s="2166" t="s">
        <v>3418</v>
      </c>
      <c r="J24" s="410"/>
      <c r="K24" s="631"/>
      <c r="L24" s="2946"/>
      <c r="M24" s="2947"/>
      <c r="N24" s="2947"/>
      <c r="O24" s="3001"/>
      <c r="P24" s="3339"/>
      <c r="Q24" s="1530"/>
      <c r="R24" s="713"/>
      <c r="S24" s="714"/>
      <c r="T24" s="713"/>
      <c r="U24" s="714"/>
      <c r="V24" s="713"/>
      <c r="W24" s="714"/>
      <c r="X24" s="715"/>
      <c r="Y24" s="3339"/>
      <c r="Z24" s="55"/>
      <c r="AA24" s="716">
        <v>1</v>
      </c>
      <c r="AB24" s="716">
        <v>1</v>
      </c>
      <c r="AC24" s="716">
        <v>1</v>
      </c>
    </row>
    <row r="25" spans="1:29" s="116" customFormat="1" ht="28.5">
      <c r="A25" s="608"/>
      <c r="B25" s="592" t="s">
        <v>2481</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39"/>
      <c r="Q25" s="1530" t="str">
        <f t="shared" ref="Q25" si="9">B25</f>
        <v>基础设施水平</v>
      </c>
      <c r="R25" s="713" t="s">
        <v>17</v>
      </c>
      <c r="S25" s="714">
        <f>F25</f>
        <v>100</v>
      </c>
      <c r="T25" s="713" t="s">
        <v>17</v>
      </c>
      <c r="U25" s="714">
        <f>H25</f>
        <v>100</v>
      </c>
      <c r="V25" s="713" t="s">
        <v>17</v>
      </c>
      <c r="W25" s="714">
        <f>J25</f>
        <v>100</v>
      </c>
      <c r="X25" s="715"/>
      <c r="Y25" s="3339"/>
      <c r="Z25" s="55" t="str">
        <f>Q25</f>
        <v>基础设施水平</v>
      </c>
      <c r="AA25" s="1540">
        <f>D25/F25</f>
        <v>1</v>
      </c>
      <c r="AB25" s="1540">
        <f>D25/H25</f>
        <v>1</v>
      </c>
      <c r="AC25" s="1540">
        <f>D25/J25</f>
        <v>1</v>
      </c>
    </row>
    <row r="26" spans="1:29" s="116" customFormat="1" ht="15.75" thickBot="1">
      <c r="A26" s="608"/>
      <c r="B26" s="591"/>
      <c r="C26" s="2166" t="s">
        <v>3301</v>
      </c>
      <c r="D26" s="410"/>
      <c r="E26" s="2166" t="s">
        <v>3301</v>
      </c>
      <c r="F26" s="410"/>
      <c r="G26" s="2166" t="s">
        <v>3301</v>
      </c>
      <c r="H26" s="410"/>
      <c r="I26" s="2166" t="s">
        <v>3301</v>
      </c>
      <c r="J26" s="410"/>
      <c r="K26" s="631"/>
      <c r="L26" s="2946"/>
      <c r="M26" s="2947"/>
      <c r="N26" s="2947"/>
      <c r="O26" s="3001"/>
      <c r="P26" s="3339"/>
      <c r="Q26" s="1530"/>
      <c r="R26" s="713"/>
      <c r="S26" s="714"/>
      <c r="T26" s="713"/>
      <c r="U26" s="714"/>
      <c r="V26" s="713"/>
      <c r="W26" s="714"/>
      <c r="X26" s="715"/>
      <c r="Y26" s="3339"/>
      <c r="Z26" s="55"/>
      <c r="AA26" s="716">
        <v>1</v>
      </c>
      <c r="AB26" s="716">
        <v>1</v>
      </c>
      <c r="AC26" s="716">
        <v>1</v>
      </c>
    </row>
    <row r="27" spans="1:29" ht="15" hidden="1">
      <c r="A27" s="390"/>
      <c r="B27" s="591" t="s">
        <v>2482</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39"/>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39"/>
      <c r="Z27" s="1543" t="str">
        <f t="shared" ref="Z27:Z40" si="13">Q27</f>
        <v>临街状况</v>
      </c>
      <c r="AA27" s="1540">
        <f t="shared" si="3"/>
        <v>1</v>
      </c>
      <c r="AB27" s="1540">
        <f t="shared" si="4"/>
        <v>1</v>
      </c>
      <c r="AC27" s="1540">
        <f t="shared" si="5"/>
        <v>1</v>
      </c>
    </row>
    <row r="28" spans="1:29" ht="27" hidden="1">
      <c r="A28" s="390"/>
      <c r="B28" s="592" t="s">
        <v>2517</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39"/>
      <c r="Q28" s="1539" t="str">
        <f t="shared" si="8"/>
        <v>毗邻道路的类型与等级</v>
      </c>
      <c r="R28" s="717" t="s">
        <v>17</v>
      </c>
      <c r="S28" s="718">
        <f t="shared" si="10"/>
        <v>100</v>
      </c>
      <c r="T28" s="717" t="s">
        <v>17</v>
      </c>
      <c r="U28" s="718">
        <f t="shared" si="11"/>
        <v>100</v>
      </c>
      <c r="V28" s="717" t="s">
        <v>17</v>
      </c>
      <c r="W28" s="718">
        <f t="shared" si="12"/>
        <v>100</v>
      </c>
      <c r="X28" s="1542"/>
      <c r="Y28" s="3339"/>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39"/>
      <c r="Q29" s="1539"/>
      <c r="R29" s="717"/>
      <c r="S29" s="718"/>
      <c r="T29" s="717"/>
      <c r="U29" s="718"/>
      <c r="V29" s="717"/>
      <c r="W29" s="718"/>
      <c r="X29" s="1542"/>
      <c r="Y29" s="3339"/>
      <c r="Z29" s="1543"/>
      <c r="AA29" s="1540">
        <v>1</v>
      </c>
      <c r="AB29" s="1540">
        <v>1</v>
      </c>
      <c r="AC29" s="1540">
        <v>1</v>
      </c>
    </row>
    <row r="30" spans="1:29" ht="15" hidden="1">
      <c r="A30" s="390"/>
      <c r="B30" s="613" t="s">
        <v>2576</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39"/>
      <c r="Q30" s="1539" t="str">
        <f t="shared" si="8"/>
        <v>土地级别</v>
      </c>
      <c r="R30" s="717" t="s">
        <v>17</v>
      </c>
      <c r="S30" s="718">
        <f t="shared" si="10"/>
        <v>100</v>
      </c>
      <c r="T30" s="717" t="s">
        <v>17</v>
      </c>
      <c r="U30" s="718">
        <f t="shared" si="11"/>
        <v>100</v>
      </c>
      <c r="V30" s="717" t="s">
        <v>17</v>
      </c>
      <c r="W30" s="718">
        <f t="shared" si="12"/>
        <v>100</v>
      </c>
      <c r="X30" s="1542"/>
      <c r="Y30" s="3339"/>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39"/>
      <c r="Q31" s="1539">
        <f t="shared" si="8"/>
        <v>111</v>
      </c>
      <c r="R31" s="717" t="s">
        <v>17</v>
      </c>
      <c r="S31" s="718">
        <f t="shared" si="10"/>
        <v>100</v>
      </c>
      <c r="T31" s="717" t="s">
        <v>17</v>
      </c>
      <c r="U31" s="718">
        <f t="shared" si="11"/>
        <v>100</v>
      </c>
      <c r="V31" s="717" t="s">
        <v>17</v>
      </c>
      <c r="W31" s="718">
        <f t="shared" si="12"/>
        <v>100</v>
      </c>
      <c r="X31" s="1542"/>
      <c r="Y31" s="3339"/>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40" t="s">
        <v>2391</v>
      </c>
      <c r="Q32" s="1539">
        <f t="shared" si="8"/>
        <v>111</v>
      </c>
      <c r="R32" s="717" t="s">
        <v>17</v>
      </c>
      <c r="S32" s="718">
        <f t="shared" si="10"/>
        <v>100</v>
      </c>
      <c r="T32" s="717" t="s">
        <v>17</v>
      </c>
      <c r="U32" s="718">
        <f t="shared" si="11"/>
        <v>100</v>
      </c>
      <c r="V32" s="717" t="s">
        <v>17</v>
      </c>
      <c r="W32" s="718">
        <f t="shared" si="12"/>
        <v>100</v>
      </c>
      <c r="X32" s="1542"/>
      <c r="Y32" s="3341" t="s">
        <v>2391</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41"/>
      <c r="Q33" s="1539">
        <f t="shared" si="8"/>
        <v>111</v>
      </c>
      <c r="R33" s="720" t="s">
        <v>17</v>
      </c>
      <c r="S33" s="721">
        <f t="shared" si="10"/>
        <v>100</v>
      </c>
      <c r="T33" s="720" t="s">
        <v>17</v>
      </c>
      <c r="U33" s="721">
        <f t="shared" si="11"/>
        <v>100</v>
      </c>
      <c r="V33" s="720" t="s">
        <v>17</v>
      </c>
      <c r="W33" s="721">
        <f t="shared" si="12"/>
        <v>100</v>
      </c>
      <c r="X33" s="722"/>
      <c r="Y33" s="3341"/>
      <c r="Z33" s="723">
        <f t="shared" si="13"/>
        <v>111</v>
      </c>
      <c r="AA33" s="1540">
        <f t="shared" si="3"/>
        <v>1</v>
      </c>
      <c r="AB33" s="1540">
        <f t="shared" si="4"/>
        <v>1</v>
      </c>
      <c r="AC33" s="1540">
        <f t="shared" si="5"/>
        <v>1</v>
      </c>
    </row>
    <row r="34" spans="1:31" ht="15">
      <c r="A34" s="402" t="s">
        <v>2389</v>
      </c>
      <c r="B34" s="418" t="s">
        <v>2577</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41"/>
      <c r="Q34" s="1539" t="str">
        <f>B34</f>
        <v>宗地面积</v>
      </c>
      <c r="R34" s="717" t="s">
        <v>17</v>
      </c>
      <c r="S34" s="718">
        <f t="shared" si="10"/>
        <v>97</v>
      </c>
      <c r="T34" s="717" t="s">
        <v>17</v>
      </c>
      <c r="U34" s="718">
        <f t="shared" si="11"/>
        <v>94</v>
      </c>
      <c r="V34" s="717" t="s">
        <v>17</v>
      </c>
      <c r="W34" s="718">
        <f t="shared" si="12"/>
        <v>97</v>
      </c>
      <c r="X34" s="1542"/>
      <c r="Y34" s="3341"/>
      <c r="Z34" s="1543" t="str">
        <f t="shared" si="13"/>
        <v>宗地面积</v>
      </c>
      <c r="AA34" s="1540">
        <f t="shared" si="3"/>
        <v>1.0309278350515463</v>
      </c>
      <c r="AB34" s="1540">
        <f t="shared" si="4"/>
        <v>1.0638297872340425</v>
      </c>
      <c r="AC34" s="1540">
        <f t="shared" si="5"/>
        <v>1.0309278350515463</v>
      </c>
    </row>
    <row r="35" spans="1:31" ht="15">
      <c r="A35" s="434"/>
      <c r="B35" s="384" t="s">
        <v>2578</v>
      </c>
      <c r="C35" s="3114" t="s">
        <v>3300</v>
      </c>
      <c r="D35" s="397">
        <v>100</v>
      </c>
      <c r="E35" s="3114" t="s">
        <v>3300</v>
      </c>
      <c r="F35" s="397">
        <f>SUMIF(110:110,E35,111:111)-SUMIF(110:110,C35,111:111)+100</f>
        <v>100</v>
      </c>
      <c r="G35" s="3114" t="s">
        <v>3300</v>
      </c>
      <c r="H35" s="397">
        <f>SUMIF(110:110,G35,111:111)-SUMIF(110:110,C35,111:111)+100</f>
        <v>100</v>
      </c>
      <c r="I35" s="3114" t="s">
        <v>3300</v>
      </c>
      <c r="J35" s="397">
        <f>SUMIF(110:110,I35,111:111)-SUMIF(110:110,C35,111:111)+100</f>
        <v>100</v>
      </c>
      <c r="K35" s="572">
        <v>1</v>
      </c>
      <c r="L35" s="2951"/>
      <c r="M35" s="2945"/>
      <c r="N35" s="2945"/>
      <c r="O35" s="3003"/>
      <c r="P35" s="3341"/>
      <c r="Q35" s="1539" t="str">
        <f t="shared" ref="Q35:Q40" si="14">B35</f>
        <v>宗地形状</v>
      </c>
      <c r="R35" s="717" t="s">
        <v>17</v>
      </c>
      <c r="S35" s="718">
        <f t="shared" si="10"/>
        <v>100</v>
      </c>
      <c r="T35" s="717" t="s">
        <v>17</v>
      </c>
      <c r="U35" s="718">
        <f t="shared" si="11"/>
        <v>100</v>
      </c>
      <c r="V35" s="717" t="s">
        <v>17</v>
      </c>
      <c r="W35" s="718">
        <f t="shared" si="12"/>
        <v>100</v>
      </c>
      <c r="X35" s="1542"/>
      <c r="Y35" s="3341"/>
      <c r="Z35" s="1543" t="str">
        <f t="shared" si="13"/>
        <v>宗地形状</v>
      </c>
      <c r="AA35" s="1540">
        <f t="shared" si="3"/>
        <v>1</v>
      </c>
      <c r="AB35" s="1540">
        <f t="shared" si="4"/>
        <v>1</v>
      </c>
      <c r="AC35" s="1540">
        <f t="shared" si="5"/>
        <v>1</v>
      </c>
    </row>
    <row r="36" spans="1:31" s="116" customFormat="1" ht="15">
      <c r="A36" s="435"/>
      <c r="B36" s="384" t="s">
        <v>2580</v>
      </c>
      <c r="C36" s="3115" t="s">
        <v>3301</v>
      </c>
      <c r="D36" s="135">
        <v>100</v>
      </c>
      <c r="E36" s="3115" t="s">
        <v>3299</v>
      </c>
      <c r="F36" s="397">
        <f>SUMIF(112:112,E36,113:113)-SUMIF(112:112,C36,113:113)+100</f>
        <v>96</v>
      </c>
      <c r="G36" s="3115" t="s">
        <v>3299</v>
      </c>
      <c r="H36" s="397">
        <f>SUMIF(112:112,G36,113:113)-SUMIF(112:112,C36,113:113)+100</f>
        <v>96</v>
      </c>
      <c r="I36" s="3115" t="s">
        <v>3299</v>
      </c>
      <c r="J36" s="397">
        <f>SUMIF(112:112,I36,113:113)-SUMIF(112:112,C36,113:113)+100</f>
        <v>96</v>
      </c>
      <c r="K36" s="572">
        <v>1</v>
      </c>
      <c r="L36" s="2946"/>
      <c r="M36" s="2947"/>
      <c r="N36" s="2947"/>
      <c r="O36" s="3001"/>
      <c r="P36" s="3341"/>
      <c r="Q36" s="1539" t="str">
        <f t="shared" si="14"/>
        <v>宗地开发程度</v>
      </c>
      <c r="R36" s="713" t="s">
        <v>17</v>
      </c>
      <c r="S36" s="714">
        <f t="shared" si="10"/>
        <v>96</v>
      </c>
      <c r="T36" s="713" t="s">
        <v>17</v>
      </c>
      <c r="U36" s="714">
        <f t="shared" si="11"/>
        <v>96</v>
      </c>
      <c r="V36" s="713" t="s">
        <v>17</v>
      </c>
      <c r="W36" s="714">
        <f t="shared" si="12"/>
        <v>96</v>
      </c>
      <c r="X36" s="715"/>
      <c r="Y36" s="3341"/>
      <c r="Z36" s="55" t="str">
        <f t="shared" si="13"/>
        <v>宗地开发程度</v>
      </c>
      <c r="AA36" s="716">
        <f t="shared" si="3"/>
        <v>1.0416666666666667</v>
      </c>
      <c r="AB36" s="716">
        <f t="shared" si="4"/>
        <v>1.0416666666666667</v>
      </c>
      <c r="AC36" s="716">
        <f t="shared" si="5"/>
        <v>1.0416666666666667</v>
      </c>
    </row>
    <row r="37" spans="1:31" ht="15.75" thickBot="1">
      <c r="A37" s="434"/>
      <c r="B37" s="384" t="s">
        <v>2581</v>
      </c>
      <c r="C37" s="3114" t="s">
        <v>3302</v>
      </c>
      <c r="D37" s="397">
        <v>100</v>
      </c>
      <c r="E37" s="3114" t="s">
        <v>3302</v>
      </c>
      <c r="F37" s="397">
        <f>SUMIF(114:114,E37,115:115)-SUMIF(114:114,C37,115:115)+100</f>
        <v>100</v>
      </c>
      <c r="G37" s="3114" t="s">
        <v>3302</v>
      </c>
      <c r="H37" s="397">
        <f>SUMIF(114:114,G37,115:115)-SUMIF(114:114,C37,115:115)+100</f>
        <v>100</v>
      </c>
      <c r="I37" s="3114" t="s">
        <v>3302</v>
      </c>
      <c r="J37" s="397">
        <f>SUMIF(114:114,I37,115:115)-SUMIF(114:114,C37,115:115)+100</f>
        <v>100</v>
      </c>
      <c r="K37" s="572">
        <v>1</v>
      </c>
      <c r="L37" s="2951"/>
      <c r="M37" s="2945"/>
      <c r="N37" s="2945"/>
      <c r="O37" s="3003"/>
      <c r="P37" s="3341" t="s">
        <v>2391</v>
      </c>
      <c r="Q37" s="1539" t="str">
        <f t="shared" si="14"/>
        <v>工程地质条件</v>
      </c>
      <c r="R37" s="717" t="s">
        <v>17</v>
      </c>
      <c r="S37" s="718">
        <f t="shared" si="10"/>
        <v>100</v>
      </c>
      <c r="T37" s="717" t="s">
        <v>17</v>
      </c>
      <c r="U37" s="718">
        <f t="shared" si="11"/>
        <v>100</v>
      </c>
      <c r="V37" s="717" t="s">
        <v>17</v>
      </c>
      <c r="W37" s="718">
        <f t="shared" si="12"/>
        <v>100</v>
      </c>
      <c r="X37" s="1542"/>
      <c r="Y37" s="3341" t="s">
        <v>2391</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41"/>
      <c r="Q38" s="1539">
        <f t="shared" si="14"/>
        <v>111</v>
      </c>
      <c r="R38" s="717" t="s">
        <v>17</v>
      </c>
      <c r="S38" s="718">
        <f t="shared" si="10"/>
        <v>100</v>
      </c>
      <c r="T38" s="717" t="s">
        <v>17</v>
      </c>
      <c r="U38" s="718">
        <f t="shared" si="11"/>
        <v>100</v>
      </c>
      <c r="V38" s="717" t="s">
        <v>17</v>
      </c>
      <c r="W38" s="718">
        <f t="shared" si="12"/>
        <v>100</v>
      </c>
      <c r="X38" s="1542"/>
      <c r="Y38" s="3341"/>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41"/>
      <c r="Q39" s="1539">
        <f t="shared" si="14"/>
        <v>111</v>
      </c>
      <c r="R39" s="717" t="s">
        <v>17</v>
      </c>
      <c r="S39" s="718">
        <f t="shared" si="10"/>
        <v>100</v>
      </c>
      <c r="T39" s="717" t="s">
        <v>17</v>
      </c>
      <c r="U39" s="718">
        <f t="shared" si="11"/>
        <v>100</v>
      </c>
      <c r="V39" s="717" t="s">
        <v>17</v>
      </c>
      <c r="W39" s="718">
        <f t="shared" si="12"/>
        <v>100</v>
      </c>
      <c r="X39" s="1542"/>
      <c r="Y39" s="3341"/>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41"/>
      <c r="Q40" s="1539">
        <f t="shared" si="14"/>
        <v>111</v>
      </c>
      <c r="R40" s="720" t="s">
        <v>17</v>
      </c>
      <c r="S40" s="721">
        <f t="shared" si="10"/>
        <v>100</v>
      </c>
      <c r="T40" s="720" t="s">
        <v>17</v>
      </c>
      <c r="U40" s="721">
        <f t="shared" si="11"/>
        <v>100</v>
      </c>
      <c r="V40" s="720" t="s">
        <v>17</v>
      </c>
      <c r="W40" s="721">
        <f t="shared" si="12"/>
        <v>100</v>
      </c>
      <c r="X40" s="722"/>
      <c r="Y40" s="3341"/>
      <c r="Z40" s="723">
        <f t="shared" si="13"/>
        <v>111</v>
      </c>
      <c r="AA40" s="1540">
        <f t="shared" si="3"/>
        <v>1</v>
      </c>
      <c r="AB40" s="1540">
        <f t="shared" si="4"/>
        <v>1</v>
      </c>
      <c r="AC40" s="1540">
        <f t="shared" si="5"/>
        <v>1</v>
      </c>
    </row>
    <row r="41" spans="1:31" ht="15">
      <c r="A41" s="441" t="s">
        <v>2546</v>
      </c>
      <c r="B41" s="2170" t="s">
        <v>3419</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5" t="str">
        <f>A41</f>
        <v>成交单价</v>
      </c>
      <c r="Q41" s="3335"/>
      <c r="R41" s="3337">
        <f>E41</f>
        <v>1340</v>
      </c>
      <c r="S41" s="3337"/>
      <c r="T41" s="3337">
        <f>G41</f>
        <v>1363</v>
      </c>
      <c r="U41" s="3337"/>
      <c r="V41" s="3337">
        <f>I41</f>
        <v>1451</v>
      </c>
      <c r="W41" s="3337"/>
      <c r="X41" s="702"/>
      <c r="Y41" s="724"/>
      <c r="Z41" s="702"/>
      <c r="AA41" s="702"/>
      <c r="AB41" s="702"/>
      <c r="AC41" s="702"/>
    </row>
    <row r="42" spans="1:31" ht="15.75" thickBot="1">
      <c r="A42" s="448" t="s">
        <v>2495</v>
      </c>
      <c r="B42" s="642"/>
      <c r="C42" s="451">
        <f>R43</f>
        <v>1361</v>
      </c>
      <c r="D42" s="2540" t="s">
        <v>2888</v>
      </c>
      <c r="E42" s="451">
        <f>R42</f>
        <v>1278</v>
      </c>
      <c r="F42" s="2541"/>
      <c r="G42" s="450">
        <f>T42</f>
        <v>1355</v>
      </c>
      <c r="H42" s="2541"/>
      <c r="I42" s="451">
        <f>V42</f>
        <v>1451</v>
      </c>
      <c r="J42" s="2541"/>
      <c r="K42" s="2543">
        <f>F42+H42+J42</f>
        <v>0</v>
      </c>
      <c r="L42" s="2953"/>
      <c r="M42" s="2945"/>
      <c r="N42" s="2945"/>
      <c r="O42" s="2954"/>
      <c r="P42" s="3335" t="str">
        <f>A42</f>
        <v>比较价值（元/平方米）</v>
      </c>
      <c r="Q42" s="3335"/>
      <c r="R42" s="3336">
        <f>ROUND(PRODUCT(R41,AA7:AA40),0)</f>
        <v>1278</v>
      </c>
      <c r="S42" s="3336"/>
      <c r="T42" s="3336">
        <f>ROUND(PRODUCT(T41,AB7:AB40),0)</f>
        <v>1355</v>
      </c>
      <c r="U42" s="3336"/>
      <c r="V42" s="3336">
        <f>ROUND(PRODUCT(V41,AC7:AC40),0)</f>
        <v>1451</v>
      </c>
      <c r="W42" s="3336"/>
      <c r="X42" s="702"/>
      <c r="Y42" s="702"/>
      <c r="Z42" s="702"/>
      <c r="AA42" s="702"/>
      <c r="AB42" s="702"/>
      <c r="AC42" s="702"/>
    </row>
    <row r="43" spans="1:31" ht="15.75" thickBot="1">
      <c r="A43" s="452" t="s">
        <v>2496</v>
      </c>
      <c r="B43" s="453"/>
      <c r="C43" s="454">
        <f>R43</f>
        <v>1361</v>
      </c>
      <c r="D43" s="454"/>
      <c r="E43" s="454"/>
      <c r="F43" s="454"/>
      <c r="G43" s="454"/>
      <c r="H43" s="454"/>
      <c r="I43" s="454"/>
      <c r="J43" s="454"/>
      <c r="K43" s="727"/>
      <c r="L43" s="2953"/>
      <c r="M43" s="2945"/>
      <c r="N43" s="2945"/>
      <c r="O43" s="2954"/>
      <c r="P43" s="3332" t="str">
        <f>A43</f>
        <v>估价对象XX用房的比较价值（楼面单价，元/平方米）</v>
      </c>
      <c r="Q43" s="3333"/>
      <c r="R43" s="3334">
        <f>ROUND(IF(D42="简单平均",AVERAGE(R42:W42),R42*F42+T42*H42+V42*J42),0)</f>
        <v>1361</v>
      </c>
      <c r="S43" s="3334"/>
      <c r="T43" s="3334"/>
      <c r="U43" s="3334"/>
      <c r="V43" s="3334"/>
      <c r="W43" s="3334"/>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2497</v>
      </c>
      <c r="D46" s="458"/>
      <c r="E46" s="459">
        <f>IF(E41&lt;E42,E42/E41-1,E41/E42-1)</f>
        <v>4.8513302034428829E-2</v>
      </c>
      <c r="F46" s="460" t="str">
        <f>IF(OR(E46&gt;=0.3,E46&lt;=-0.3),"超过30%","")</f>
        <v/>
      </c>
      <c r="G46" s="459">
        <f>IF(G41&lt;G42,G42/G41-1,G41/G42-1)</f>
        <v>5.9040590405903259E-3</v>
      </c>
      <c r="H46" s="460" t="str">
        <f>IF(OR(G46&gt;=0.3,G46&lt;=-0.3),"超过30%","")</f>
        <v/>
      </c>
      <c r="I46" s="459">
        <f>IF(I41&lt;I42,I42/I41-1,I41/I42-1)</f>
        <v>0</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2498</v>
      </c>
      <c r="D47" s="461"/>
      <c r="E47" s="459">
        <f>IF(E42&lt;G42,G42/E42-1,E42/G42-1)</f>
        <v>6.0250391236306822E-2</v>
      </c>
      <c r="F47" s="460" t="str">
        <f>IF(OR(E47&gt;=0.2,E47&lt;=-0.2),"超过20%","")</f>
        <v/>
      </c>
      <c r="G47" s="459">
        <f>IF(G42&lt;I42,I42/G42-1,G42/I42-1)</f>
        <v>7.0848708487084799E-2</v>
      </c>
      <c r="H47" s="460" t="str">
        <f>IF(OR(G47&gt;=0.2,G47&lt;=-0.2),"超过20%","")</f>
        <v/>
      </c>
      <c r="I47" s="459">
        <f>IF(I42&lt;E42,E42/I42-1,I42/E42-1)</f>
        <v>0.13536776212832557</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2499</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2584</v>
      </c>
      <c r="B50" s="644" t="s">
        <v>2585</v>
      </c>
      <c r="C50" s="2171" t="s">
        <v>2586</v>
      </c>
      <c r="D50" s="2172" t="s">
        <v>2587</v>
      </c>
      <c r="E50" s="645" t="s">
        <v>2588</v>
      </c>
      <c r="F50" s="646" t="s">
        <v>2589</v>
      </c>
      <c r="G50" s="3345" t="s">
        <v>2590</v>
      </c>
      <c r="H50" s="3359"/>
      <c r="I50" s="1543" t="s">
        <v>2626</v>
      </c>
      <c r="J50" s="1543">
        <f>项目基本情况!F35</f>
        <v>0</v>
      </c>
      <c r="K50" s="2174" t="s">
        <v>2592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2593</v>
      </c>
      <c r="B51" s="648">
        <f>C43</f>
        <v>1361</v>
      </c>
      <c r="C51" s="649">
        <v>1</v>
      </c>
      <c r="D51" s="1077">
        <v>1</v>
      </c>
      <c r="E51" s="649">
        <f>'数据-汇总表'!E8+'数据-汇总表'!E9</f>
        <v>103099.22</v>
      </c>
      <c r="F51" s="650">
        <f t="shared" ref="F51:F60" si="15">ROUND(B51*E51/10000,0)</f>
        <v>14032</v>
      </c>
      <c r="G51" s="3360"/>
      <c r="H51" s="3335"/>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2594</v>
      </c>
      <c r="B52" s="227">
        <f>ROUND($C$43*C52*D52,0)</f>
        <v>204</v>
      </c>
      <c r="C52" s="179">
        <f t="shared" ref="C52:C60" si="16">IF($C$50="北京市系数",I52,J52)</f>
        <v>0.6</v>
      </c>
      <c r="D52" s="1078">
        <v>0.25</v>
      </c>
      <c r="E52" s="653"/>
      <c r="F52" s="650">
        <f t="shared" si="15"/>
        <v>0</v>
      </c>
      <c r="G52" s="3361" t="s">
        <v>2595</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2596</v>
      </c>
      <c r="B53" s="227">
        <f t="shared" ref="B53:B60" si="17">ROUND($C$43*C53*D53,0)</f>
        <v>102</v>
      </c>
      <c r="C53" s="179">
        <f t="shared" si="16"/>
        <v>0.3</v>
      </c>
      <c r="D53" s="1078">
        <v>0.25</v>
      </c>
      <c r="E53" s="653"/>
      <c r="F53" s="650">
        <f t="shared" si="15"/>
        <v>0</v>
      </c>
      <c r="G53" s="3361"/>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2597</v>
      </c>
      <c r="B54" s="227">
        <f t="shared" si="17"/>
        <v>68</v>
      </c>
      <c r="C54" s="179">
        <f t="shared" si="16"/>
        <v>0.2</v>
      </c>
      <c r="D54" s="1078">
        <v>0.25</v>
      </c>
      <c r="E54" s="653"/>
      <c r="F54" s="650">
        <f t="shared" si="15"/>
        <v>0</v>
      </c>
      <c r="G54" s="3361"/>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2598</v>
      </c>
      <c r="B55" s="227">
        <f t="shared" si="17"/>
        <v>68</v>
      </c>
      <c r="C55" s="179">
        <f t="shared" si="16"/>
        <v>0.2</v>
      </c>
      <c r="D55" s="1078">
        <v>0.25</v>
      </c>
      <c r="E55" s="653"/>
      <c r="F55" s="650">
        <f t="shared" si="15"/>
        <v>0</v>
      </c>
      <c r="G55" s="3361"/>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2599</v>
      </c>
      <c r="B56" s="227">
        <f t="shared" si="17"/>
        <v>68</v>
      </c>
      <c r="C56" s="179">
        <f t="shared" si="16"/>
        <v>0.2</v>
      </c>
      <c r="D56" s="1078">
        <v>0.25</v>
      </c>
      <c r="E56" s="226">
        <f>'数据-汇总表'!E11</f>
        <v>0</v>
      </c>
      <c r="F56" s="650">
        <f t="shared" si="15"/>
        <v>0</v>
      </c>
      <c r="G56" s="2175" t="s">
        <v>2600</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2601</v>
      </c>
      <c r="B57" s="227">
        <f t="shared" si="17"/>
        <v>68</v>
      </c>
      <c r="C57" s="179">
        <f t="shared" si="16"/>
        <v>0.2</v>
      </c>
      <c r="D57" s="1078">
        <v>0.25</v>
      </c>
      <c r="E57" s="226">
        <f>'数据-汇总表'!E12</f>
        <v>20689.020000000008</v>
      </c>
      <c r="F57" s="650">
        <f t="shared" si="15"/>
        <v>141</v>
      </c>
      <c r="G57" s="1025" t="s">
        <v>2602</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2603</v>
      </c>
      <c r="B58" s="227">
        <f t="shared" si="17"/>
        <v>51</v>
      </c>
      <c r="C58" s="179">
        <f t="shared" si="16"/>
        <v>0.15</v>
      </c>
      <c r="D58" s="1078">
        <v>0.25</v>
      </c>
      <c r="E58" s="226">
        <f>'数据-汇总表'!E13</f>
        <v>17651.66</v>
      </c>
      <c r="F58" s="650">
        <f t="shared" si="15"/>
        <v>90</v>
      </c>
      <c r="G58" s="1025" t="s">
        <v>2604</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2605</v>
      </c>
      <c r="B59" s="227">
        <f t="shared" si="17"/>
        <v>51</v>
      </c>
      <c r="C59" s="179">
        <f t="shared" si="16"/>
        <v>0.15</v>
      </c>
      <c r="D59" s="1078">
        <v>0.25</v>
      </c>
      <c r="E59" s="226">
        <f>'数据-汇总表'!E14</f>
        <v>0</v>
      </c>
      <c r="F59" s="650">
        <f t="shared" si="15"/>
        <v>0</v>
      </c>
      <c r="G59" s="2175" t="s">
        <v>2595</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2606</v>
      </c>
      <c r="B60" s="227">
        <f t="shared" si="17"/>
        <v>51</v>
      </c>
      <c r="C60" s="179">
        <f t="shared" si="16"/>
        <v>0.15</v>
      </c>
      <c r="D60" s="1078">
        <v>0.25</v>
      </c>
      <c r="E60" s="226">
        <f>'数据-汇总表'!E15</f>
        <v>0</v>
      </c>
      <c r="F60" s="650">
        <f t="shared" si="15"/>
        <v>0</v>
      </c>
      <c r="G60" s="2176" t="s">
        <v>2600</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2607</v>
      </c>
      <c r="B61" s="655" t="s">
        <v>28</v>
      </c>
      <c r="C61" s="655" t="s">
        <v>29</v>
      </c>
      <c r="D61" s="655" t="s">
        <v>997</v>
      </c>
      <c r="E61" s="655">
        <f>IF(B41="楼面地价",SUM(E51:E60),'数据-汇总表'!D3)</f>
        <v>141439.9</v>
      </c>
      <c r="F61" s="656">
        <f>IF(B41="楼面地价",SUM(F51:F60),ROUND(C43*E61/10000,0))</f>
        <v>14263</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2020-12-1</v>
      </c>
      <c r="D63" s="704">
        <f>EDATE(C63,-3)</f>
        <v>44075</v>
      </c>
      <c r="E63" s="704">
        <f>EDATE(D63,-3)</f>
        <v>43983</v>
      </c>
      <c r="F63" s="704">
        <f t="shared" ref="F63:O63" si="18">EDATE(E63,-3)</f>
        <v>43891</v>
      </c>
      <c r="G63" s="704">
        <f t="shared" si="18"/>
        <v>43800</v>
      </c>
      <c r="H63" s="704">
        <f t="shared" si="18"/>
        <v>43709</v>
      </c>
      <c r="I63" s="704">
        <f t="shared" si="18"/>
        <v>43617</v>
      </c>
      <c r="J63" s="704">
        <f t="shared" si="18"/>
        <v>43525</v>
      </c>
      <c r="K63" s="704">
        <f t="shared" si="18"/>
        <v>43435</v>
      </c>
      <c r="L63" s="704">
        <f t="shared" si="18"/>
        <v>43344</v>
      </c>
      <c r="M63" s="704">
        <f t="shared" si="18"/>
        <v>43252</v>
      </c>
      <c r="N63" s="704">
        <f t="shared" si="18"/>
        <v>43160</v>
      </c>
      <c r="O63" s="704">
        <f t="shared" si="18"/>
        <v>43070</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2500</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2608</v>
      </c>
      <c r="B65" s="1271"/>
      <c r="C65" s="1345" t="str">
        <f>YEAR(C63)&amp;"-"&amp;ROUNDUP(MONTH(C63)/3,0)</f>
        <v>2020-4</v>
      </c>
      <c r="D65" s="1345" t="str">
        <f t="shared" ref="D65:Q65" si="19">YEAR(D63)&amp;"-"&amp;ROUNDUP(MONTH(D63)/3,0)</f>
        <v>2020-3</v>
      </c>
      <c r="E65" s="1345" t="str">
        <f t="shared" si="19"/>
        <v>2020-2</v>
      </c>
      <c r="F65" s="1345" t="str">
        <f t="shared" si="19"/>
        <v>2020-1</v>
      </c>
      <c r="G65" s="1345" t="str">
        <f t="shared" si="19"/>
        <v>2019-4</v>
      </c>
      <c r="H65" s="1345" t="str">
        <f t="shared" si="19"/>
        <v>2019-3</v>
      </c>
      <c r="I65" s="1345" t="str">
        <f t="shared" si="19"/>
        <v>2019-2</v>
      </c>
      <c r="J65" s="1345" t="str">
        <f t="shared" si="19"/>
        <v>2019-1</v>
      </c>
      <c r="K65" s="1345" t="str">
        <f t="shared" si="19"/>
        <v>2018-4</v>
      </c>
      <c r="L65" s="1345" t="str">
        <f t="shared" si="19"/>
        <v>2018-3</v>
      </c>
      <c r="M65" s="1345" t="str">
        <f t="shared" si="19"/>
        <v>2018-2</v>
      </c>
      <c r="N65" s="1345" t="str">
        <f t="shared" si="19"/>
        <v>2018-1</v>
      </c>
      <c r="O65" s="1345" t="str">
        <f t="shared" si="19"/>
        <v>2017-4</v>
      </c>
      <c r="P65" s="3120" t="str">
        <f t="shared" si="19"/>
        <v>2017-2</v>
      </c>
      <c r="Q65" s="3120"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2627</v>
      </c>
      <c r="B66" s="297" t="str">
        <f>"北京市平均增长率"&amp;TEXT(基准地价修正!P24,"0.00%")</f>
        <v>北京市平均增长率0.00%</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2411</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2376</v>
      </c>
      <c r="B68" s="470"/>
      <c r="C68" s="482" t="s">
        <v>2478</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2414</v>
      </c>
      <c r="B70" s="488" t="s">
        <v>2380</v>
      </c>
      <c r="C70" s="3121" t="s">
        <v>3415</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2383</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2384</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2385</v>
      </c>
      <c r="B83" s="488" t="s">
        <v>2531</v>
      </c>
      <c r="C83" s="533" t="s">
        <v>2423</v>
      </c>
      <c r="D83" s="533" t="s">
        <v>2424</v>
      </c>
      <c r="E83" s="533" t="s">
        <v>2425</v>
      </c>
      <c r="F83" s="533" t="s">
        <v>2426</v>
      </c>
      <c r="G83" s="533" t="s">
        <v>2427</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2428</v>
      </c>
      <c r="C85" s="538" t="s">
        <v>2423</v>
      </c>
      <c r="D85" s="538" t="s">
        <v>2424</v>
      </c>
      <c r="E85" s="538" t="s">
        <v>2425</v>
      </c>
      <c r="F85" s="538" t="s">
        <v>2426</v>
      </c>
      <c r="G85" s="538" t="s">
        <v>2427</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2611</v>
      </c>
      <c r="C87" s="533" t="s">
        <v>2423</v>
      </c>
      <c r="D87" s="533" t="s">
        <v>2424</v>
      </c>
      <c r="E87" s="533" t="s">
        <v>2425</v>
      </c>
      <c r="F87" s="533" t="s">
        <v>2426</v>
      </c>
      <c r="G87" s="533" t="s">
        <v>2427</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2612</v>
      </c>
      <c r="C89" s="533" t="s">
        <v>2423</v>
      </c>
      <c r="D89" s="533" t="s">
        <v>2424</v>
      </c>
      <c r="E89" s="533" t="s">
        <v>2425</v>
      </c>
      <c r="F89" s="533" t="s">
        <v>2426</v>
      </c>
      <c r="G89" s="533" t="s">
        <v>2427</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2480</v>
      </c>
      <c r="C91" s="533" t="s">
        <v>2423</v>
      </c>
      <c r="D91" s="533" t="s">
        <v>2424</v>
      </c>
      <c r="E91" s="533" t="s">
        <v>2425</v>
      </c>
      <c r="F91" s="533" t="s">
        <v>2426</v>
      </c>
      <c r="G91" s="533" t="s">
        <v>2427</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2628</v>
      </c>
      <c r="C93" s="619" t="s">
        <v>2501</v>
      </c>
      <c r="D93" s="619" t="s">
        <v>2502</v>
      </c>
      <c r="E93" s="619" t="s">
        <v>2503</v>
      </c>
      <c r="F93" s="619" t="s">
        <v>2504</v>
      </c>
      <c r="G93" s="619" t="s">
        <v>2505</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2613</v>
      </c>
      <c r="D95" s="499" t="s">
        <v>2614</v>
      </c>
      <c r="E95" s="499" t="s">
        <v>2615</v>
      </c>
      <c r="F95" s="499" t="s">
        <v>2616</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2517</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2576</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2389</v>
      </c>
      <c r="B107" s="488" t="s">
        <v>2617</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2618</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2620</v>
      </c>
      <c r="C112" s="3113" t="s">
        <v>3295</v>
      </c>
      <c r="D112" s="3113" t="s">
        <v>3296</v>
      </c>
      <c r="E112" s="3113" t="s">
        <v>3297</v>
      </c>
      <c r="F112" s="3113" t="s">
        <v>3298</v>
      </c>
      <c r="G112" s="3113" t="s">
        <v>3299</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2621</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2" sqref="AD32"/>
    </sheetView>
  </sheetViews>
  <sheetFormatPr defaultRowHeight="12"/>
  <cols>
    <col min="1" max="2" width="9" style="3116"/>
    <col min="3" max="5" width="0" style="3116" hidden="1" customWidth="1"/>
    <col min="6" max="6" width="9" style="3116"/>
    <col min="7" max="8" width="0" style="3116" hidden="1" customWidth="1"/>
    <col min="9" max="9" width="9" style="3116"/>
    <col min="10" max="12" width="9.125" style="3116" bestFit="1" customWidth="1"/>
    <col min="13" max="23" width="0" style="3116" hidden="1" customWidth="1"/>
    <col min="24" max="26" width="10.25" style="3116" hidden="1" customWidth="1"/>
    <col min="27" max="27" width="10.25" style="3116" bestFit="1" customWidth="1"/>
    <col min="28" max="29" width="0" style="3116" hidden="1" customWidth="1"/>
    <col min="30" max="30" width="9" style="3116"/>
    <col min="31" max="32" width="9.125" style="3116" hidden="1" customWidth="1"/>
    <col min="33" max="33" width="9.125" style="3116" bestFit="1" customWidth="1"/>
    <col min="34" max="34" width="9.125" style="3116" hidden="1" customWidth="1"/>
    <col min="35" max="35" width="9.125" style="3116" bestFit="1" customWidth="1"/>
    <col min="36" max="36" width="9.125" style="3116" hidden="1" customWidth="1"/>
    <col min="37" max="37" width="9.125" style="3116" bestFit="1" customWidth="1"/>
    <col min="38" max="39" width="0" style="3116" hidden="1" customWidth="1"/>
    <col min="40" max="40" width="9.125" style="3116" bestFit="1" customWidth="1"/>
    <col min="41" max="16384" width="9" style="3116"/>
  </cols>
  <sheetData>
    <row r="1" spans="1:45">
      <c r="A1" s="3116" t="s">
        <v>3304</v>
      </c>
      <c r="B1" s="3116" t="s">
        <v>3305</v>
      </c>
      <c r="C1" s="3116" t="s">
        <v>3306</v>
      </c>
      <c r="D1" s="3116" t="s">
        <v>3307</v>
      </c>
      <c r="E1" s="3116" t="s">
        <v>3308</v>
      </c>
      <c r="F1" s="3116" t="s">
        <v>3309</v>
      </c>
      <c r="G1" s="3116" t="s">
        <v>3310</v>
      </c>
      <c r="H1" s="3116" t="s">
        <v>3311</v>
      </c>
      <c r="I1" s="3116" t="s">
        <v>3312</v>
      </c>
      <c r="J1" s="3116" t="s">
        <v>3313</v>
      </c>
      <c r="K1" s="3116" t="s">
        <v>3314</v>
      </c>
      <c r="L1" s="3116" t="s">
        <v>3315</v>
      </c>
      <c r="M1" s="3116" t="s">
        <v>3316</v>
      </c>
      <c r="N1" s="3116" t="s">
        <v>3317</v>
      </c>
      <c r="O1" s="3116" t="s">
        <v>3318</v>
      </c>
      <c r="P1" s="3116" t="s">
        <v>3319</v>
      </c>
      <c r="Q1" s="3116" t="s">
        <v>3320</v>
      </c>
      <c r="R1" s="3116" t="s">
        <v>3321</v>
      </c>
      <c r="S1" s="3116" t="s">
        <v>3322</v>
      </c>
      <c r="T1" s="3116" t="s">
        <v>3323</v>
      </c>
      <c r="U1" s="3116" t="s">
        <v>3324</v>
      </c>
      <c r="V1" s="3116" t="s">
        <v>3325</v>
      </c>
      <c r="W1" s="3116" t="s">
        <v>3326</v>
      </c>
      <c r="X1" s="3116" t="s">
        <v>3327</v>
      </c>
      <c r="Y1" s="3116" t="s">
        <v>3328</v>
      </c>
      <c r="Z1" s="3116" t="s">
        <v>3329</v>
      </c>
      <c r="AA1" s="3116" t="s">
        <v>3330</v>
      </c>
      <c r="AB1" s="3116" t="s">
        <v>3331</v>
      </c>
      <c r="AC1" s="3116" t="s">
        <v>3332</v>
      </c>
      <c r="AD1" s="3116" t="s">
        <v>3333</v>
      </c>
      <c r="AE1" s="3116" t="s">
        <v>3334</v>
      </c>
      <c r="AF1" s="3116" t="s">
        <v>3335</v>
      </c>
      <c r="AG1" s="3116" t="s">
        <v>3336</v>
      </c>
      <c r="AH1" s="3116" t="s">
        <v>3337</v>
      </c>
      <c r="AI1" s="3116" t="s">
        <v>3338</v>
      </c>
      <c r="AJ1" s="3116" t="s">
        <v>3339</v>
      </c>
      <c r="AK1" s="3116" t="s">
        <v>3340</v>
      </c>
      <c r="AL1" s="3116" t="s">
        <v>3341</v>
      </c>
      <c r="AM1" s="3116" t="s">
        <v>3342</v>
      </c>
      <c r="AN1" s="3116" t="s">
        <v>3343</v>
      </c>
      <c r="AO1" s="3116" t="s">
        <v>3344</v>
      </c>
      <c r="AP1" s="3116" t="s">
        <v>3345</v>
      </c>
      <c r="AQ1" s="3116" t="s">
        <v>3346</v>
      </c>
      <c r="AR1" s="3116" t="s">
        <v>3347</v>
      </c>
      <c r="AS1" s="3116" t="s">
        <v>3348</v>
      </c>
    </row>
    <row r="2" spans="1:45" s="3118" customFormat="1">
      <c r="A2" s="3118" t="s">
        <v>3349</v>
      </c>
      <c r="B2" s="3118" t="s">
        <v>3236</v>
      </c>
      <c r="C2" s="3118" t="s">
        <v>3350</v>
      </c>
      <c r="D2" s="3118" t="s">
        <v>3351</v>
      </c>
      <c r="E2" s="3118" t="s">
        <v>1298</v>
      </c>
      <c r="F2" s="3118" t="s">
        <v>3352</v>
      </c>
      <c r="G2" s="3118" t="s">
        <v>3353</v>
      </c>
      <c r="H2" s="3118" t="s">
        <v>3354</v>
      </c>
      <c r="I2" s="3118" t="s">
        <v>3355</v>
      </c>
      <c r="J2" s="3118">
        <v>65233.04</v>
      </c>
      <c r="K2" s="3118">
        <v>96104</v>
      </c>
      <c r="L2" s="3118" t="s">
        <v>3356</v>
      </c>
      <c r="M2" s="3118" t="s">
        <v>1298</v>
      </c>
      <c r="N2" s="3118" t="s">
        <v>1298</v>
      </c>
      <c r="O2" s="3118" t="s">
        <v>1298</v>
      </c>
      <c r="P2" s="3118" t="s">
        <v>1298</v>
      </c>
      <c r="Q2" s="3118" t="s">
        <v>1298</v>
      </c>
      <c r="R2" s="3118" t="s">
        <v>1298</v>
      </c>
      <c r="S2" s="3118" t="s">
        <v>1298</v>
      </c>
      <c r="T2" s="3118" t="s">
        <v>1298</v>
      </c>
      <c r="U2" s="3118" t="s">
        <v>1298</v>
      </c>
      <c r="V2" s="3118" t="s">
        <v>1298</v>
      </c>
      <c r="W2" s="3118" t="s">
        <v>3357</v>
      </c>
      <c r="X2" s="3119">
        <v>43621</v>
      </c>
      <c r="Y2" s="3119">
        <v>43641</v>
      </c>
      <c r="Z2" s="3119">
        <v>43664</v>
      </c>
      <c r="AA2" s="3119">
        <v>43664</v>
      </c>
      <c r="AB2" s="3118" t="s">
        <v>3354</v>
      </c>
      <c r="AC2" s="3118" t="s">
        <v>3358</v>
      </c>
      <c r="AD2" s="3118" t="s">
        <v>3359</v>
      </c>
      <c r="AE2" s="3118">
        <v>3900</v>
      </c>
      <c r="AF2" s="3118">
        <v>12877.94</v>
      </c>
      <c r="AG2" s="3118">
        <v>12877.94</v>
      </c>
      <c r="AH2" s="3118">
        <v>131.61000000000001</v>
      </c>
      <c r="AI2" s="3118">
        <v>131.61000000000001</v>
      </c>
      <c r="AJ2" s="3118">
        <v>1340</v>
      </c>
      <c r="AK2" s="3118">
        <v>1340</v>
      </c>
      <c r="AL2" s="3118" t="s">
        <v>1298</v>
      </c>
      <c r="AM2" s="3118" t="s">
        <v>1298</v>
      </c>
      <c r="AN2" s="3118">
        <v>0</v>
      </c>
      <c r="AO2" s="3118" t="s">
        <v>3360</v>
      </c>
      <c r="AP2" s="3118" t="s">
        <v>1298</v>
      </c>
      <c r="AQ2" s="3118" t="s">
        <v>1298</v>
      </c>
      <c r="AR2" s="3118" t="s">
        <v>1298</v>
      </c>
      <c r="AS2" s="3118" t="s">
        <v>3361</v>
      </c>
    </row>
    <row r="3" spans="1:45" s="3118" customFormat="1">
      <c r="A3" s="3118" t="s">
        <v>3362</v>
      </c>
      <c r="B3" s="3118" t="s">
        <v>3236</v>
      </c>
      <c r="C3" s="3118" t="s">
        <v>3350</v>
      </c>
      <c r="D3" s="3118" t="s">
        <v>3351</v>
      </c>
      <c r="E3" s="3118" t="s">
        <v>1298</v>
      </c>
      <c r="F3" s="3118" t="s">
        <v>3363</v>
      </c>
      <c r="G3" s="3118" t="s">
        <v>3353</v>
      </c>
      <c r="H3" s="3118" t="s">
        <v>3364</v>
      </c>
      <c r="I3" s="3118" t="s">
        <v>3365</v>
      </c>
      <c r="J3" s="3118">
        <v>20000</v>
      </c>
      <c r="K3" s="3118">
        <v>24000</v>
      </c>
      <c r="L3" s="3118">
        <v>1.2</v>
      </c>
      <c r="M3" s="3118" t="s">
        <v>1298</v>
      </c>
      <c r="N3" s="3118" t="s">
        <v>1298</v>
      </c>
      <c r="O3" s="3118" t="s">
        <v>1298</v>
      </c>
      <c r="P3" s="3118" t="s">
        <v>1298</v>
      </c>
      <c r="Q3" s="3118" t="s">
        <v>1298</v>
      </c>
      <c r="R3" s="3118" t="s">
        <v>1298</v>
      </c>
      <c r="S3" s="3118" t="s">
        <v>1298</v>
      </c>
      <c r="T3" s="3118" t="s">
        <v>1298</v>
      </c>
      <c r="U3" s="3118" t="s">
        <v>1298</v>
      </c>
      <c r="V3" s="3118" t="s">
        <v>1298</v>
      </c>
      <c r="W3" s="3118" t="s">
        <v>3357</v>
      </c>
      <c r="X3" s="3119">
        <v>43431</v>
      </c>
      <c r="Y3" s="3119">
        <v>43451</v>
      </c>
      <c r="Z3" s="3119">
        <v>43476</v>
      </c>
      <c r="AA3" s="3119">
        <v>43476</v>
      </c>
      <c r="AB3" s="3118" t="s">
        <v>3364</v>
      </c>
      <c r="AC3" s="3118" t="s">
        <v>3358</v>
      </c>
      <c r="AD3" s="3118" t="s">
        <v>3366</v>
      </c>
      <c r="AE3" s="3118">
        <v>654</v>
      </c>
      <c r="AF3" s="3118">
        <v>3271.5</v>
      </c>
      <c r="AG3" s="3118">
        <v>3271.5</v>
      </c>
      <c r="AH3" s="3118">
        <v>109.05</v>
      </c>
      <c r="AI3" s="3118">
        <v>109.05</v>
      </c>
      <c r="AJ3" s="3118">
        <v>1363.12</v>
      </c>
      <c r="AK3" s="3118">
        <v>1363.11</v>
      </c>
      <c r="AL3" s="3118" t="s">
        <v>1298</v>
      </c>
      <c r="AM3" s="3118" t="s">
        <v>1298</v>
      </c>
      <c r="AN3" s="3118">
        <v>0</v>
      </c>
      <c r="AO3" s="3118" t="s">
        <v>3360</v>
      </c>
      <c r="AP3" s="3118" t="s">
        <v>1298</v>
      </c>
      <c r="AQ3" s="3118" t="s">
        <v>1298</v>
      </c>
      <c r="AR3" s="3118" t="s">
        <v>1298</v>
      </c>
      <c r="AS3" s="3118" t="s">
        <v>3361</v>
      </c>
    </row>
    <row r="4" spans="1:45">
      <c r="A4" s="3116" t="s">
        <v>3367</v>
      </c>
      <c r="B4" s="3116" t="s">
        <v>3236</v>
      </c>
      <c r="C4" s="3116" t="s">
        <v>3350</v>
      </c>
      <c r="D4" s="3116" t="s">
        <v>3351</v>
      </c>
      <c r="E4" s="3116" t="s">
        <v>1298</v>
      </c>
      <c r="F4" s="3116" t="s">
        <v>3363</v>
      </c>
      <c r="G4" s="3116" t="s">
        <v>3353</v>
      </c>
      <c r="H4" s="3116" t="s">
        <v>3368</v>
      </c>
      <c r="I4" s="3116" t="s">
        <v>3365</v>
      </c>
      <c r="J4" s="3116">
        <v>38375</v>
      </c>
      <c r="K4" s="3116">
        <v>46050</v>
      </c>
      <c r="L4" s="3116">
        <v>1.2</v>
      </c>
      <c r="M4" s="3116" t="s">
        <v>1298</v>
      </c>
      <c r="N4" s="3116" t="s">
        <v>1298</v>
      </c>
      <c r="O4" s="3116" t="s">
        <v>1298</v>
      </c>
      <c r="P4" s="3116" t="s">
        <v>1298</v>
      </c>
      <c r="Q4" s="3116" t="s">
        <v>1298</v>
      </c>
      <c r="R4" s="3116" t="s">
        <v>1298</v>
      </c>
      <c r="S4" s="3116" t="s">
        <v>1298</v>
      </c>
      <c r="T4" s="3116" t="s">
        <v>1298</v>
      </c>
      <c r="U4" s="3116" t="s">
        <v>1298</v>
      </c>
      <c r="V4" s="3116" t="s">
        <v>1298</v>
      </c>
      <c r="W4" s="3116" t="s">
        <v>3357</v>
      </c>
      <c r="X4" s="3117">
        <v>43431</v>
      </c>
      <c r="Y4" s="3117">
        <v>43451</v>
      </c>
      <c r="Z4" s="3117">
        <v>43469</v>
      </c>
      <c r="AA4" s="3117">
        <v>43469</v>
      </c>
      <c r="AB4" s="3116" t="s">
        <v>3368</v>
      </c>
      <c r="AC4" s="3116" t="s">
        <v>3358</v>
      </c>
      <c r="AD4" s="3116" t="s">
        <v>3369</v>
      </c>
      <c r="AE4" s="3116">
        <v>2141</v>
      </c>
      <c r="AF4" s="3116">
        <v>10703.65</v>
      </c>
      <c r="AG4" s="3116">
        <v>10703.65</v>
      </c>
      <c r="AH4" s="3116">
        <v>185.95</v>
      </c>
      <c r="AI4" s="3116">
        <v>185.95</v>
      </c>
      <c r="AJ4" s="3116">
        <v>2324.35</v>
      </c>
      <c r="AK4" s="3116">
        <v>2324.36</v>
      </c>
      <c r="AL4" s="3116" t="s">
        <v>1298</v>
      </c>
      <c r="AM4" s="3116" t="s">
        <v>1298</v>
      </c>
      <c r="AN4" s="3116">
        <v>0</v>
      </c>
      <c r="AO4" s="3116" t="s">
        <v>3360</v>
      </c>
      <c r="AP4" s="3116" t="s">
        <v>1298</v>
      </c>
      <c r="AQ4" s="3116" t="s">
        <v>1298</v>
      </c>
      <c r="AR4" s="3116" t="s">
        <v>1298</v>
      </c>
      <c r="AS4" s="3116" t="s">
        <v>3361</v>
      </c>
    </row>
    <row r="5" spans="1:45" s="3118" customFormat="1">
      <c r="A5" s="3118" t="s">
        <v>3371</v>
      </c>
      <c r="B5" s="3118" t="s">
        <v>3236</v>
      </c>
      <c r="C5" s="3118" t="s">
        <v>3350</v>
      </c>
      <c r="D5" s="3118" t="s">
        <v>3351</v>
      </c>
      <c r="E5" s="3118" t="s">
        <v>1298</v>
      </c>
      <c r="F5" s="3118" t="s">
        <v>3372</v>
      </c>
      <c r="G5" s="3118" t="s">
        <v>3353</v>
      </c>
      <c r="H5" s="3118" t="s">
        <v>3373</v>
      </c>
      <c r="I5" s="3118" t="s">
        <v>3365</v>
      </c>
      <c r="J5" s="3118">
        <v>55333.599999999999</v>
      </c>
      <c r="K5" s="3118">
        <v>66400</v>
      </c>
      <c r="L5" s="3118" t="s">
        <v>3374</v>
      </c>
      <c r="M5" s="3118" t="s">
        <v>1298</v>
      </c>
      <c r="N5" s="3118" t="s">
        <v>1298</v>
      </c>
      <c r="O5" s="3118" t="s">
        <v>1298</v>
      </c>
      <c r="P5" s="3118" t="s">
        <v>1298</v>
      </c>
      <c r="Q5" s="3118" t="s">
        <v>1298</v>
      </c>
      <c r="R5" s="3118" t="s">
        <v>1298</v>
      </c>
      <c r="S5" s="3118" t="s">
        <v>1298</v>
      </c>
      <c r="T5" s="3118" t="s">
        <v>1298</v>
      </c>
      <c r="U5" s="3118" t="s">
        <v>1298</v>
      </c>
      <c r="V5" s="3118" t="s">
        <v>1298</v>
      </c>
      <c r="W5" s="3118" t="s">
        <v>3375</v>
      </c>
      <c r="X5" s="3119">
        <v>42786</v>
      </c>
      <c r="Y5" s="3119">
        <v>42807</v>
      </c>
      <c r="Z5" s="3119">
        <v>42817</v>
      </c>
      <c r="AA5" s="3119">
        <v>42817</v>
      </c>
      <c r="AB5" s="3118" t="s">
        <v>3373</v>
      </c>
      <c r="AC5" s="3118" t="s">
        <v>3358</v>
      </c>
      <c r="AD5" s="3118" t="s">
        <v>3376</v>
      </c>
      <c r="AE5" s="3118">
        <v>2000</v>
      </c>
      <c r="AF5" s="3118">
        <v>9634</v>
      </c>
      <c r="AG5" s="3118">
        <v>9634</v>
      </c>
      <c r="AH5" s="3118">
        <v>116.07</v>
      </c>
      <c r="AI5" s="3118">
        <v>116.07</v>
      </c>
      <c r="AJ5" s="3118">
        <v>1450.9</v>
      </c>
      <c r="AK5" s="3118">
        <v>1450.9</v>
      </c>
      <c r="AL5" s="3118" t="s">
        <v>1298</v>
      </c>
      <c r="AM5" s="3118" t="s">
        <v>1298</v>
      </c>
      <c r="AN5" s="3118">
        <v>0</v>
      </c>
      <c r="AO5" s="3118" t="s">
        <v>3370</v>
      </c>
      <c r="AP5" s="3118" t="s">
        <v>1298</v>
      </c>
      <c r="AQ5" s="3118" t="s">
        <v>1298</v>
      </c>
      <c r="AR5" s="3118" t="s">
        <v>1298</v>
      </c>
      <c r="AS5" s="3118" t="s">
        <v>3361</v>
      </c>
    </row>
    <row r="6" spans="1:45">
      <c r="A6" s="3116" t="s">
        <v>3377</v>
      </c>
      <c r="B6" s="3116" t="s">
        <v>3236</v>
      </c>
      <c r="C6" s="3116" t="s">
        <v>3350</v>
      </c>
      <c r="D6" s="3116" t="s">
        <v>3351</v>
      </c>
      <c r="E6" s="3116" t="s">
        <v>1298</v>
      </c>
      <c r="F6" s="3116" t="s">
        <v>3378</v>
      </c>
      <c r="G6" s="3116" t="s">
        <v>3353</v>
      </c>
      <c r="H6" s="3116" t="s">
        <v>3379</v>
      </c>
      <c r="I6" s="3116" t="s">
        <v>3380</v>
      </c>
      <c r="J6" s="3116">
        <v>57769</v>
      </c>
      <c r="K6" s="3116">
        <v>57769</v>
      </c>
      <c r="L6" s="3116" t="s">
        <v>3381</v>
      </c>
      <c r="M6" s="3116" t="s">
        <v>1298</v>
      </c>
      <c r="N6" s="3116" t="s">
        <v>1298</v>
      </c>
      <c r="O6" s="3116" t="s">
        <v>1298</v>
      </c>
      <c r="P6" s="3116" t="s">
        <v>1298</v>
      </c>
      <c r="Q6" s="3116" t="s">
        <v>1298</v>
      </c>
      <c r="R6" s="3116" t="s">
        <v>1298</v>
      </c>
      <c r="S6" s="3116" t="s">
        <v>1298</v>
      </c>
      <c r="T6" s="3116" t="s">
        <v>1298</v>
      </c>
      <c r="U6" s="3116" t="s">
        <v>1298</v>
      </c>
      <c r="V6" s="3116" t="s">
        <v>1298</v>
      </c>
      <c r="W6" s="3116" t="s">
        <v>3375</v>
      </c>
      <c r="X6" s="3117">
        <v>42667</v>
      </c>
      <c r="Y6" s="3117">
        <v>42688</v>
      </c>
      <c r="Z6" s="3117">
        <v>42698</v>
      </c>
      <c r="AA6" s="3117">
        <v>42698</v>
      </c>
      <c r="AB6" s="3116" t="s">
        <v>3379</v>
      </c>
      <c r="AC6" s="3116" t="s">
        <v>3358</v>
      </c>
      <c r="AD6" s="3116" t="s">
        <v>3382</v>
      </c>
      <c r="AE6" s="3116">
        <v>1510</v>
      </c>
      <c r="AF6" s="3116">
        <v>7505</v>
      </c>
      <c r="AG6" s="3116">
        <v>7505</v>
      </c>
      <c r="AH6" s="3116">
        <v>86.61</v>
      </c>
      <c r="AI6" s="3116">
        <v>86.61</v>
      </c>
      <c r="AJ6" s="3116">
        <v>1299.1300000000001</v>
      </c>
      <c r="AK6" s="3116">
        <v>1299.1400000000001</v>
      </c>
      <c r="AL6" s="3116" t="s">
        <v>1298</v>
      </c>
      <c r="AM6" s="3116" t="s">
        <v>1298</v>
      </c>
      <c r="AN6" s="3116">
        <v>0</v>
      </c>
      <c r="AO6" s="3116" t="s">
        <v>3370</v>
      </c>
      <c r="AP6" s="3116" t="s">
        <v>1298</v>
      </c>
      <c r="AQ6" s="3116" t="s">
        <v>1298</v>
      </c>
      <c r="AR6" s="3116" t="s">
        <v>1298</v>
      </c>
      <c r="AS6" s="3116" t="s">
        <v>3361</v>
      </c>
    </row>
    <row r="7" spans="1:45">
      <c r="A7" s="3116" t="s">
        <v>3383</v>
      </c>
      <c r="B7" s="3116" t="s">
        <v>3236</v>
      </c>
      <c r="C7" s="3116" t="s">
        <v>3350</v>
      </c>
      <c r="D7" s="3116" t="s">
        <v>3351</v>
      </c>
      <c r="E7" s="3116" t="s">
        <v>1298</v>
      </c>
      <c r="F7" s="3116" t="s">
        <v>3384</v>
      </c>
      <c r="G7" s="3116" t="s">
        <v>3353</v>
      </c>
      <c r="H7" s="3116" t="s">
        <v>3385</v>
      </c>
      <c r="I7" s="3116" t="s">
        <v>3380</v>
      </c>
      <c r="J7" s="3116">
        <v>32779.72</v>
      </c>
      <c r="K7" s="3116">
        <v>39335.660000000003</v>
      </c>
      <c r="L7" s="3116" t="s">
        <v>3374</v>
      </c>
      <c r="M7" s="3116" t="s">
        <v>1298</v>
      </c>
      <c r="N7" s="3116" t="s">
        <v>1298</v>
      </c>
      <c r="O7" s="3116" t="s">
        <v>1298</v>
      </c>
      <c r="P7" s="3116" t="s">
        <v>1298</v>
      </c>
      <c r="Q7" s="3116" t="s">
        <v>1298</v>
      </c>
      <c r="R7" s="3116" t="s">
        <v>1298</v>
      </c>
      <c r="S7" s="3116" t="s">
        <v>1298</v>
      </c>
      <c r="T7" s="3116" t="s">
        <v>1298</v>
      </c>
      <c r="U7" s="3116" t="s">
        <v>1298</v>
      </c>
      <c r="V7" s="3116" t="s">
        <v>1298</v>
      </c>
      <c r="W7" s="3116" t="s">
        <v>3375</v>
      </c>
      <c r="X7" s="3117">
        <v>42667</v>
      </c>
      <c r="Y7" s="3117">
        <v>42688</v>
      </c>
      <c r="Z7" s="3117">
        <v>42698</v>
      </c>
      <c r="AA7" s="3117">
        <v>42698</v>
      </c>
      <c r="AB7" s="3116" t="s">
        <v>3385</v>
      </c>
      <c r="AC7" s="3116" t="s">
        <v>3358</v>
      </c>
      <c r="AD7" s="3116" t="s">
        <v>3386</v>
      </c>
      <c r="AE7" s="3116">
        <v>900</v>
      </c>
      <c r="AF7" s="3116">
        <v>4456</v>
      </c>
      <c r="AG7" s="3116">
        <v>4456</v>
      </c>
      <c r="AH7" s="3116">
        <v>90.63</v>
      </c>
      <c r="AI7" s="3116">
        <v>90.63</v>
      </c>
      <c r="AJ7" s="3116">
        <v>1132.81</v>
      </c>
      <c r="AK7" s="3116">
        <v>1132.8</v>
      </c>
      <c r="AL7" s="3116" t="s">
        <v>1298</v>
      </c>
      <c r="AM7" s="3116" t="s">
        <v>1298</v>
      </c>
      <c r="AN7" s="3116">
        <v>0</v>
      </c>
      <c r="AO7" s="3116" t="s">
        <v>3370</v>
      </c>
      <c r="AP7" s="3116" t="s">
        <v>1298</v>
      </c>
      <c r="AQ7" s="3116" t="s">
        <v>1298</v>
      </c>
      <c r="AR7" s="3116" t="s">
        <v>1298</v>
      </c>
      <c r="AS7" s="3116" t="s">
        <v>3361</v>
      </c>
    </row>
    <row r="8" spans="1:45">
      <c r="A8" s="3116" t="s">
        <v>3387</v>
      </c>
      <c r="B8" s="3116" t="s">
        <v>3236</v>
      </c>
      <c r="C8" s="3116" t="s">
        <v>3350</v>
      </c>
      <c r="D8" s="3116" t="s">
        <v>3351</v>
      </c>
      <c r="E8" s="3116" t="s">
        <v>1298</v>
      </c>
      <c r="F8" s="3116" t="s">
        <v>3372</v>
      </c>
      <c r="G8" s="3116" t="s">
        <v>3353</v>
      </c>
      <c r="H8" s="3116" t="s">
        <v>3388</v>
      </c>
      <c r="I8" s="3116" t="s">
        <v>3365</v>
      </c>
      <c r="J8" s="3116">
        <v>32326.54</v>
      </c>
      <c r="K8" s="3116">
        <v>38791.85</v>
      </c>
      <c r="L8" s="3116" t="s">
        <v>3374</v>
      </c>
      <c r="M8" s="3116" t="s">
        <v>1298</v>
      </c>
      <c r="N8" s="3116" t="s">
        <v>1298</v>
      </c>
      <c r="O8" s="3116" t="s">
        <v>1298</v>
      </c>
      <c r="P8" s="3116" t="s">
        <v>1298</v>
      </c>
      <c r="Q8" s="3116" t="s">
        <v>1298</v>
      </c>
      <c r="R8" s="3116" t="s">
        <v>1298</v>
      </c>
      <c r="S8" s="3116" t="s">
        <v>1298</v>
      </c>
      <c r="T8" s="3116" t="s">
        <v>1298</v>
      </c>
      <c r="U8" s="3116" t="s">
        <v>1298</v>
      </c>
      <c r="V8" s="3116" t="s">
        <v>1298</v>
      </c>
      <c r="W8" s="3116" t="s">
        <v>3375</v>
      </c>
      <c r="X8" s="3117">
        <v>42360</v>
      </c>
      <c r="Y8" s="3117">
        <v>42380</v>
      </c>
      <c r="Z8" s="3117">
        <v>42401</v>
      </c>
      <c r="AA8" s="3117">
        <v>42401</v>
      </c>
      <c r="AB8" s="3116" t="s">
        <v>3388</v>
      </c>
      <c r="AC8" s="3116" t="s">
        <v>3358</v>
      </c>
      <c r="AD8" s="3116" t="s">
        <v>3389</v>
      </c>
      <c r="AE8" s="3116">
        <v>900</v>
      </c>
      <c r="AF8" s="3116">
        <v>4194</v>
      </c>
      <c r="AG8" s="3116">
        <v>4194</v>
      </c>
      <c r="AH8" s="3116">
        <v>86.49</v>
      </c>
      <c r="AI8" s="3116">
        <v>86.49</v>
      </c>
      <c r="AJ8" s="3116">
        <v>1081.1500000000001</v>
      </c>
      <c r="AK8" s="3116">
        <v>1081.1500000000001</v>
      </c>
      <c r="AL8" s="3116" t="s">
        <v>1298</v>
      </c>
      <c r="AM8" s="3116" t="s">
        <v>1298</v>
      </c>
      <c r="AN8" s="3116">
        <v>0</v>
      </c>
      <c r="AO8" s="3116" t="s">
        <v>3370</v>
      </c>
      <c r="AP8" s="3116" t="s">
        <v>1298</v>
      </c>
      <c r="AQ8" s="3116" t="s">
        <v>1298</v>
      </c>
      <c r="AR8" s="3116" t="s">
        <v>1298</v>
      </c>
      <c r="AS8" s="3116" t="s">
        <v>3361</v>
      </c>
    </row>
    <row r="9" spans="1:45">
      <c r="A9" s="3116" t="s">
        <v>3390</v>
      </c>
      <c r="B9" s="3116" t="s">
        <v>3236</v>
      </c>
      <c r="C9" s="3116" t="s">
        <v>3350</v>
      </c>
      <c r="D9" s="3116" t="s">
        <v>3351</v>
      </c>
      <c r="E9" s="3116" t="s">
        <v>1298</v>
      </c>
      <c r="F9" s="3116" t="s">
        <v>3372</v>
      </c>
      <c r="G9" s="3116" t="s">
        <v>3353</v>
      </c>
      <c r="H9" s="3116" t="s">
        <v>3391</v>
      </c>
      <c r="I9" s="3116" t="s">
        <v>3365</v>
      </c>
      <c r="J9" s="3116">
        <v>31995.71</v>
      </c>
      <c r="K9" s="3116">
        <v>38394.85</v>
      </c>
      <c r="L9" s="3116" t="s">
        <v>3374</v>
      </c>
      <c r="M9" s="3116" t="s">
        <v>1298</v>
      </c>
      <c r="N9" s="3116" t="s">
        <v>1298</v>
      </c>
      <c r="O9" s="3116" t="s">
        <v>1298</v>
      </c>
      <c r="P9" s="3116" t="s">
        <v>1298</v>
      </c>
      <c r="Q9" s="3116" t="s">
        <v>1298</v>
      </c>
      <c r="R9" s="3116" t="s">
        <v>1298</v>
      </c>
      <c r="S9" s="3116" t="s">
        <v>1298</v>
      </c>
      <c r="T9" s="3116" t="s">
        <v>1298</v>
      </c>
      <c r="U9" s="3116" t="s">
        <v>1298</v>
      </c>
      <c r="V9" s="3116" t="s">
        <v>1298</v>
      </c>
      <c r="W9" s="3116" t="s">
        <v>3375</v>
      </c>
      <c r="X9" s="3117">
        <v>42360</v>
      </c>
      <c r="Y9" s="3117">
        <v>42380</v>
      </c>
      <c r="Z9" s="3117">
        <v>42397</v>
      </c>
      <c r="AA9" s="3117">
        <v>42397</v>
      </c>
      <c r="AB9" s="3116" t="s">
        <v>3391</v>
      </c>
      <c r="AC9" s="3116" t="s">
        <v>3358</v>
      </c>
      <c r="AD9" s="3116" t="s">
        <v>3392</v>
      </c>
      <c r="AE9" s="3116">
        <v>900</v>
      </c>
      <c r="AF9" s="3116">
        <v>4151</v>
      </c>
      <c r="AG9" s="3116">
        <v>4151</v>
      </c>
      <c r="AH9" s="3116">
        <v>86.49</v>
      </c>
      <c r="AI9" s="3116">
        <v>86.49</v>
      </c>
      <c r="AJ9" s="3116">
        <v>1081.1300000000001</v>
      </c>
      <c r="AK9" s="3116">
        <v>1081.1300000000001</v>
      </c>
      <c r="AL9" s="3116" t="s">
        <v>1298</v>
      </c>
      <c r="AM9" s="3116" t="s">
        <v>1298</v>
      </c>
      <c r="AN9" s="3116">
        <v>0</v>
      </c>
      <c r="AO9" s="3116" t="s">
        <v>3370</v>
      </c>
      <c r="AP9" s="3116" t="s">
        <v>1298</v>
      </c>
      <c r="AQ9" s="3116" t="s">
        <v>1298</v>
      </c>
      <c r="AR9" s="3116" t="s">
        <v>1298</v>
      </c>
      <c r="AS9" s="3116" t="s">
        <v>3361</v>
      </c>
    </row>
    <row r="10" spans="1:45">
      <c r="A10" s="3116" t="s">
        <v>3393</v>
      </c>
      <c r="B10" s="3116" t="s">
        <v>3236</v>
      </c>
      <c r="C10" s="3116" t="s">
        <v>3350</v>
      </c>
      <c r="D10" s="3116" t="s">
        <v>3351</v>
      </c>
      <c r="E10" s="3116" t="s">
        <v>1298</v>
      </c>
      <c r="F10" s="3116" t="s">
        <v>3394</v>
      </c>
      <c r="G10" s="3116" t="s">
        <v>3353</v>
      </c>
      <c r="H10" s="3116" t="s">
        <v>3395</v>
      </c>
      <c r="I10" s="3116" t="s">
        <v>3365</v>
      </c>
      <c r="J10" s="3116">
        <v>49749.07</v>
      </c>
      <c r="K10" s="3116">
        <v>49749.07</v>
      </c>
      <c r="L10" s="3116" t="s">
        <v>3381</v>
      </c>
      <c r="M10" s="3116" t="s">
        <v>1298</v>
      </c>
      <c r="N10" s="3116" t="s">
        <v>1298</v>
      </c>
      <c r="O10" s="3116" t="s">
        <v>1298</v>
      </c>
      <c r="P10" s="3116" t="s">
        <v>1298</v>
      </c>
      <c r="Q10" s="3116" t="s">
        <v>1298</v>
      </c>
      <c r="R10" s="3116" t="s">
        <v>1298</v>
      </c>
      <c r="S10" s="3116" t="s">
        <v>1298</v>
      </c>
      <c r="T10" s="3116" t="s">
        <v>1298</v>
      </c>
      <c r="U10" s="3116" t="s">
        <v>1298</v>
      </c>
      <c r="V10" s="3116" t="s">
        <v>1298</v>
      </c>
      <c r="W10" s="3116" t="s">
        <v>3375</v>
      </c>
      <c r="X10" s="3117">
        <v>42360</v>
      </c>
      <c r="Y10" s="3117">
        <v>42380</v>
      </c>
      <c r="Z10" s="3117">
        <v>42394</v>
      </c>
      <c r="AA10" s="3117">
        <v>42394</v>
      </c>
      <c r="AB10" s="3116" t="s">
        <v>3395</v>
      </c>
      <c r="AC10" s="3116" t="s">
        <v>3358</v>
      </c>
      <c r="AD10" s="3116" t="s">
        <v>3396</v>
      </c>
      <c r="AE10" s="3116">
        <v>1300</v>
      </c>
      <c r="AF10" s="3116">
        <v>6156</v>
      </c>
      <c r="AG10" s="3116">
        <v>6156</v>
      </c>
      <c r="AH10" s="3116">
        <v>82.49</v>
      </c>
      <c r="AI10" s="3116">
        <v>82.49</v>
      </c>
      <c r="AJ10" s="3116">
        <v>1237.4100000000001</v>
      </c>
      <c r="AK10" s="3116">
        <v>1237.4100000000001</v>
      </c>
      <c r="AL10" s="3116" t="s">
        <v>1298</v>
      </c>
      <c r="AM10" s="3116" t="s">
        <v>1298</v>
      </c>
      <c r="AN10" s="3116">
        <v>0</v>
      </c>
      <c r="AO10" s="3116" t="s">
        <v>3370</v>
      </c>
      <c r="AP10" s="3116" t="s">
        <v>1298</v>
      </c>
      <c r="AQ10" s="3116" t="s">
        <v>1298</v>
      </c>
      <c r="AR10" s="3116" t="s">
        <v>1298</v>
      </c>
      <c r="AS10" s="3116" t="s">
        <v>3361</v>
      </c>
    </row>
    <row r="11" spans="1:45">
      <c r="A11" s="3116" t="s">
        <v>3397</v>
      </c>
      <c r="B11" s="3116" t="s">
        <v>3236</v>
      </c>
      <c r="C11" s="3116" t="s">
        <v>3350</v>
      </c>
      <c r="D11" s="3116" t="s">
        <v>3351</v>
      </c>
      <c r="E11" s="3116" t="s">
        <v>1298</v>
      </c>
      <c r="F11" s="3116" t="s">
        <v>3398</v>
      </c>
      <c r="G11" s="3116" t="s">
        <v>3353</v>
      </c>
      <c r="H11" s="3116" t="s">
        <v>3399</v>
      </c>
      <c r="I11" s="3116" t="s">
        <v>3365</v>
      </c>
      <c r="J11" s="3116">
        <v>10121</v>
      </c>
      <c r="K11" s="3116">
        <v>10121</v>
      </c>
      <c r="L11" s="3116">
        <v>1</v>
      </c>
      <c r="M11" s="3116" t="s">
        <v>1298</v>
      </c>
      <c r="N11" s="3116" t="s">
        <v>1298</v>
      </c>
      <c r="O11" s="3116" t="s">
        <v>1298</v>
      </c>
      <c r="P11" s="3116" t="s">
        <v>1298</v>
      </c>
      <c r="Q11" s="3116" t="s">
        <v>1298</v>
      </c>
      <c r="R11" s="3116" t="s">
        <v>1298</v>
      </c>
      <c r="S11" s="3116" t="s">
        <v>1298</v>
      </c>
      <c r="T11" s="3116" t="s">
        <v>1298</v>
      </c>
      <c r="U11" s="3116" t="s">
        <v>1298</v>
      </c>
      <c r="V11" s="3116" t="s">
        <v>1298</v>
      </c>
      <c r="W11" s="3116" t="s">
        <v>3375</v>
      </c>
      <c r="X11" s="3117">
        <v>42328</v>
      </c>
      <c r="Y11" s="3117">
        <v>42348</v>
      </c>
      <c r="Z11" s="3117">
        <v>42362</v>
      </c>
      <c r="AA11" s="3117">
        <v>42362</v>
      </c>
      <c r="AB11" s="3116" t="s">
        <v>3399</v>
      </c>
      <c r="AC11" s="3116" t="s">
        <v>3358</v>
      </c>
      <c r="AD11" s="3116" t="s">
        <v>3400</v>
      </c>
      <c r="AE11" s="3116">
        <v>100</v>
      </c>
      <c r="AF11" s="3116">
        <v>926</v>
      </c>
      <c r="AG11" s="3116">
        <v>926</v>
      </c>
      <c r="AH11" s="3116">
        <v>61</v>
      </c>
      <c r="AI11" s="3116">
        <v>61</v>
      </c>
      <c r="AJ11" s="3116">
        <v>914.92</v>
      </c>
      <c r="AK11" s="3116">
        <v>914.92</v>
      </c>
      <c r="AL11" s="3116" t="s">
        <v>1298</v>
      </c>
      <c r="AM11" s="3116" t="s">
        <v>1298</v>
      </c>
      <c r="AN11" s="3116">
        <v>0</v>
      </c>
      <c r="AO11" s="3116" t="s">
        <v>3370</v>
      </c>
      <c r="AP11" s="3116" t="s">
        <v>1298</v>
      </c>
      <c r="AQ11" s="3116" t="s">
        <v>1298</v>
      </c>
      <c r="AR11" s="3116" t="s">
        <v>1298</v>
      </c>
      <c r="AS11" s="3116" t="s">
        <v>3361</v>
      </c>
    </row>
    <row r="12" spans="1:45">
      <c r="A12" s="3116" t="s">
        <v>3401</v>
      </c>
      <c r="B12" s="3116" t="s">
        <v>3236</v>
      </c>
      <c r="C12" s="3116" t="s">
        <v>3350</v>
      </c>
      <c r="D12" s="3116" t="s">
        <v>3351</v>
      </c>
      <c r="E12" s="3116" t="s">
        <v>1298</v>
      </c>
      <c r="F12" s="3116" t="s">
        <v>3402</v>
      </c>
      <c r="G12" s="3116" t="s">
        <v>3353</v>
      </c>
      <c r="H12" s="3116" t="s">
        <v>3403</v>
      </c>
      <c r="I12" s="3116" t="s">
        <v>3365</v>
      </c>
      <c r="J12" s="3116">
        <v>25137.72</v>
      </c>
      <c r="K12" s="3116">
        <v>25137.72</v>
      </c>
      <c r="L12" s="3116" t="s">
        <v>3404</v>
      </c>
      <c r="M12" s="3116" t="s">
        <v>1298</v>
      </c>
      <c r="N12" s="3116" t="s">
        <v>1298</v>
      </c>
      <c r="O12" s="3116" t="s">
        <v>1298</v>
      </c>
      <c r="P12" s="3116" t="s">
        <v>1298</v>
      </c>
      <c r="Q12" s="3116" t="s">
        <v>1298</v>
      </c>
      <c r="R12" s="3116" t="s">
        <v>1298</v>
      </c>
      <c r="S12" s="3116" t="s">
        <v>1298</v>
      </c>
      <c r="T12" s="3116" t="s">
        <v>1298</v>
      </c>
      <c r="U12" s="3116" t="s">
        <v>1298</v>
      </c>
      <c r="V12" s="3116" t="s">
        <v>1298</v>
      </c>
      <c r="W12" s="3116" t="s">
        <v>3375</v>
      </c>
      <c r="X12" s="3117">
        <v>42228</v>
      </c>
      <c r="Y12" s="3117">
        <v>42248</v>
      </c>
      <c r="Z12" s="3117">
        <v>42263</v>
      </c>
      <c r="AA12" s="3117">
        <v>42263</v>
      </c>
      <c r="AB12" s="3116" t="s">
        <v>3403</v>
      </c>
      <c r="AC12" s="3116" t="s">
        <v>3358</v>
      </c>
      <c r="AD12" s="3116" t="s">
        <v>3405</v>
      </c>
      <c r="AE12" s="3116">
        <v>300</v>
      </c>
      <c r="AF12" s="3116">
        <v>2984</v>
      </c>
      <c r="AG12" s="3116">
        <v>2984</v>
      </c>
      <c r="AH12" s="3116">
        <v>79.14</v>
      </c>
      <c r="AI12" s="3116">
        <v>79.14</v>
      </c>
      <c r="AJ12" s="3116">
        <v>1187.06</v>
      </c>
      <c r="AK12" s="3116">
        <v>1187.05</v>
      </c>
      <c r="AL12" s="3116" t="s">
        <v>1298</v>
      </c>
      <c r="AM12" s="3116" t="s">
        <v>1298</v>
      </c>
      <c r="AN12" s="3116">
        <v>0</v>
      </c>
      <c r="AO12" s="3116" t="s">
        <v>3370</v>
      </c>
      <c r="AP12" s="3116" t="s">
        <v>1298</v>
      </c>
      <c r="AQ12" s="3116" t="s">
        <v>1298</v>
      </c>
      <c r="AR12" s="3116" t="s">
        <v>1298</v>
      </c>
      <c r="AS12" s="3116" t="s">
        <v>3361</v>
      </c>
    </row>
    <row r="13" spans="1:45">
      <c r="A13" s="3116" t="s">
        <v>3406</v>
      </c>
      <c r="B13" s="3116" t="s">
        <v>3236</v>
      </c>
      <c r="C13" s="3116" t="s">
        <v>3350</v>
      </c>
      <c r="D13" s="3116" t="s">
        <v>3351</v>
      </c>
      <c r="E13" s="3116" t="s">
        <v>1298</v>
      </c>
      <c r="F13" s="3116" t="s">
        <v>3402</v>
      </c>
      <c r="G13" s="3116" t="s">
        <v>3353</v>
      </c>
      <c r="H13" s="3116" t="s">
        <v>3407</v>
      </c>
      <c r="I13" s="3116" t="s">
        <v>3365</v>
      </c>
      <c r="J13" s="3116">
        <v>12530</v>
      </c>
      <c r="K13" s="3116">
        <v>12530</v>
      </c>
      <c r="L13" s="3116" t="s">
        <v>3404</v>
      </c>
      <c r="M13" s="3116" t="s">
        <v>1298</v>
      </c>
      <c r="N13" s="3116" t="s">
        <v>1298</v>
      </c>
      <c r="O13" s="3116" t="s">
        <v>1298</v>
      </c>
      <c r="P13" s="3116" t="s">
        <v>1298</v>
      </c>
      <c r="Q13" s="3116" t="s">
        <v>1298</v>
      </c>
      <c r="R13" s="3116" t="s">
        <v>1298</v>
      </c>
      <c r="S13" s="3116" t="s">
        <v>1298</v>
      </c>
      <c r="T13" s="3116" t="s">
        <v>1298</v>
      </c>
      <c r="U13" s="3116" t="s">
        <v>1298</v>
      </c>
      <c r="V13" s="3116" t="s">
        <v>1298</v>
      </c>
      <c r="W13" s="3116" t="s">
        <v>3375</v>
      </c>
      <c r="X13" s="3117">
        <v>42228</v>
      </c>
      <c r="Y13" s="3117">
        <v>42248</v>
      </c>
      <c r="Z13" s="3117">
        <v>42263</v>
      </c>
      <c r="AA13" s="3117">
        <v>42263</v>
      </c>
      <c r="AB13" s="3116" t="s">
        <v>3407</v>
      </c>
      <c r="AC13" s="3116" t="s">
        <v>3358</v>
      </c>
      <c r="AD13" s="3116" t="s">
        <v>3405</v>
      </c>
      <c r="AE13" s="3116">
        <v>150</v>
      </c>
      <c r="AF13" s="3116">
        <v>1488</v>
      </c>
      <c r="AG13" s="3116">
        <v>1488</v>
      </c>
      <c r="AH13" s="3116">
        <v>79.17</v>
      </c>
      <c r="AI13" s="3116">
        <v>79.17</v>
      </c>
      <c r="AJ13" s="3116">
        <v>1187.54</v>
      </c>
      <c r="AK13" s="3116">
        <v>1187.54</v>
      </c>
      <c r="AL13" s="3116" t="s">
        <v>1298</v>
      </c>
      <c r="AM13" s="3116" t="s">
        <v>1298</v>
      </c>
      <c r="AN13" s="3116">
        <v>0</v>
      </c>
      <c r="AO13" s="3116" t="s">
        <v>3370</v>
      </c>
      <c r="AP13" s="3116" t="s">
        <v>1298</v>
      </c>
      <c r="AQ13" s="3116" t="s">
        <v>1298</v>
      </c>
      <c r="AR13" s="3116" t="s">
        <v>1298</v>
      </c>
      <c r="AS13" s="3116" t="s">
        <v>3361</v>
      </c>
    </row>
    <row r="14" spans="1:45">
      <c r="A14" s="3116" t="s">
        <v>3408</v>
      </c>
      <c r="B14" s="3116" t="s">
        <v>3236</v>
      </c>
      <c r="C14" s="3116" t="s">
        <v>3350</v>
      </c>
      <c r="D14" s="3116" t="s">
        <v>3351</v>
      </c>
      <c r="E14" s="3116" t="s">
        <v>1298</v>
      </c>
      <c r="F14" s="3116" t="s">
        <v>3372</v>
      </c>
      <c r="G14" s="3116" t="s">
        <v>3353</v>
      </c>
      <c r="H14" s="3116" t="s">
        <v>3409</v>
      </c>
      <c r="I14" s="3116" t="s">
        <v>3365</v>
      </c>
      <c r="J14" s="3116">
        <v>69999.3</v>
      </c>
      <c r="K14" s="3116">
        <v>83999.16</v>
      </c>
      <c r="L14" s="3116">
        <v>1.2</v>
      </c>
      <c r="M14" s="3116" t="s">
        <v>1298</v>
      </c>
      <c r="N14" s="3116" t="s">
        <v>1298</v>
      </c>
      <c r="O14" s="3116" t="s">
        <v>1298</v>
      </c>
      <c r="P14" s="3116" t="s">
        <v>1298</v>
      </c>
      <c r="Q14" s="3116" t="s">
        <v>1298</v>
      </c>
      <c r="R14" s="3116" t="s">
        <v>1298</v>
      </c>
      <c r="S14" s="3116" t="s">
        <v>1298</v>
      </c>
      <c r="T14" s="3116" t="s">
        <v>1298</v>
      </c>
      <c r="U14" s="3116" t="s">
        <v>1298</v>
      </c>
      <c r="V14" s="3116" t="s">
        <v>1298</v>
      </c>
      <c r="W14" s="3116" t="s">
        <v>3375</v>
      </c>
      <c r="X14" s="3117">
        <v>41698</v>
      </c>
      <c r="Y14" s="3117">
        <v>41718</v>
      </c>
      <c r="Z14" s="3117">
        <v>41745</v>
      </c>
      <c r="AA14" s="3117">
        <v>41745</v>
      </c>
      <c r="AB14" s="3116" t="s">
        <v>3409</v>
      </c>
      <c r="AC14" s="3116" t="s">
        <v>3358</v>
      </c>
      <c r="AD14" s="3116" t="s">
        <v>3410</v>
      </c>
      <c r="AE14" s="3116">
        <v>1200</v>
      </c>
      <c r="AF14" s="3116">
        <v>11315</v>
      </c>
      <c r="AG14" s="3116">
        <v>11315</v>
      </c>
      <c r="AH14" s="3116">
        <v>107.76</v>
      </c>
      <c r="AI14" s="3116">
        <v>107.76</v>
      </c>
      <c r="AJ14" s="3116">
        <v>1347.03</v>
      </c>
      <c r="AK14" s="3116">
        <v>1347.03</v>
      </c>
      <c r="AL14" s="3116" t="s">
        <v>1298</v>
      </c>
      <c r="AM14" s="3116" t="s">
        <v>1298</v>
      </c>
      <c r="AN14" s="3116">
        <v>0</v>
      </c>
      <c r="AO14" s="3116" t="s">
        <v>3370</v>
      </c>
      <c r="AP14" s="3116" t="s">
        <v>1298</v>
      </c>
      <c r="AQ14" s="3116" t="s">
        <v>1298</v>
      </c>
      <c r="AR14" s="3116" t="s">
        <v>1298</v>
      </c>
      <c r="AS14" s="3116" t="s">
        <v>3361</v>
      </c>
    </row>
    <row r="15" spans="1:45">
      <c r="A15" s="3116" t="s">
        <v>3411</v>
      </c>
      <c r="B15" s="3116" t="s">
        <v>3236</v>
      </c>
      <c r="C15" s="3116" t="s">
        <v>3350</v>
      </c>
      <c r="D15" s="3116" t="s">
        <v>3351</v>
      </c>
      <c r="E15" s="3116" t="s">
        <v>1298</v>
      </c>
      <c r="F15" s="3116" t="s">
        <v>3412</v>
      </c>
      <c r="G15" s="3116" t="s">
        <v>3353</v>
      </c>
      <c r="H15" s="3116" t="s">
        <v>3413</v>
      </c>
      <c r="I15" s="3116" t="s">
        <v>3365</v>
      </c>
      <c r="J15" s="3116">
        <v>60631</v>
      </c>
      <c r="K15" s="3116">
        <v>60631</v>
      </c>
      <c r="L15" s="3116">
        <v>1</v>
      </c>
      <c r="M15" s="3116" t="s">
        <v>1298</v>
      </c>
      <c r="N15" s="3116" t="s">
        <v>1298</v>
      </c>
      <c r="O15" s="3116" t="s">
        <v>1298</v>
      </c>
      <c r="P15" s="3116" t="s">
        <v>1298</v>
      </c>
      <c r="Q15" s="3116" t="s">
        <v>1298</v>
      </c>
      <c r="R15" s="3116" t="s">
        <v>1298</v>
      </c>
      <c r="S15" s="3116" t="s">
        <v>1298</v>
      </c>
      <c r="T15" s="3116" t="s">
        <v>1298</v>
      </c>
      <c r="U15" s="3116" t="s">
        <v>1298</v>
      </c>
      <c r="V15" s="3116" t="s">
        <v>1298</v>
      </c>
      <c r="W15" s="3116" t="s">
        <v>3375</v>
      </c>
      <c r="X15" s="3117">
        <v>41698</v>
      </c>
      <c r="Y15" s="3117">
        <v>41718</v>
      </c>
      <c r="Z15" s="3117">
        <v>41740</v>
      </c>
      <c r="AA15" s="3117">
        <v>41740</v>
      </c>
      <c r="AB15" s="3116" t="s">
        <v>3413</v>
      </c>
      <c r="AC15" s="3116" t="s">
        <v>3358</v>
      </c>
      <c r="AD15" s="3116" t="s">
        <v>3414</v>
      </c>
      <c r="AE15" s="3116">
        <v>660</v>
      </c>
      <c r="AF15" s="3116">
        <v>6579</v>
      </c>
      <c r="AG15" s="3116">
        <v>6579</v>
      </c>
      <c r="AH15" s="3116">
        <v>72.34</v>
      </c>
      <c r="AI15" s="3116">
        <v>72.34</v>
      </c>
      <c r="AJ15" s="3116">
        <v>1085.08</v>
      </c>
      <c r="AK15" s="3116">
        <v>1085.08</v>
      </c>
      <c r="AL15" s="3116" t="s">
        <v>1298</v>
      </c>
      <c r="AM15" s="3116" t="s">
        <v>1298</v>
      </c>
      <c r="AN15" s="3116">
        <v>0</v>
      </c>
      <c r="AO15" s="3116" t="s">
        <v>3370</v>
      </c>
      <c r="AP15" s="3116" t="s">
        <v>1298</v>
      </c>
      <c r="AQ15" s="3116" t="s">
        <v>1298</v>
      </c>
      <c r="AR15" s="3116" t="s">
        <v>1298</v>
      </c>
      <c r="AS15" s="3116" t="s">
        <v>3361</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3089</v>
      </c>
      <c r="D1" s="1549" t="s">
        <v>3458</v>
      </c>
      <c r="E1" s="1550" t="s">
        <v>1352</v>
      </c>
      <c r="F1" s="1195">
        <f ca="1">J53</f>
        <v>42.97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11893</v>
      </c>
      <c r="C2" s="1574" t="s">
        <v>1481</v>
      </c>
      <c r="D2" s="1574"/>
      <c r="E2" s="1575"/>
      <c r="F2" s="1576"/>
      <c r="G2" s="2935"/>
      <c r="H2" s="2924"/>
      <c r="I2" s="2924"/>
      <c r="J2" s="2924"/>
      <c r="K2" s="2925"/>
      <c r="L2" s="2924"/>
      <c r="M2" s="2924"/>
    </row>
    <row r="3" spans="1:37" ht="18" customHeight="1" thickBot="1">
      <c r="A3" s="1577" t="s">
        <v>1482</v>
      </c>
      <c r="B3" s="1578">
        <f ca="1">IF(ISERROR(B2*10000/F43),0,ROUND(B2*10000/F43,0))</f>
        <v>5748</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647</v>
      </c>
      <c r="D5" s="1551" t="s">
        <v>1367</v>
      </c>
      <c r="E5" s="1205"/>
      <c r="F5" s="1206"/>
      <c r="G5" s="1571"/>
      <c r="H5" s="308">
        <v>1</v>
      </c>
      <c r="I5" s="309" t="s">
        <v>1366</v>
      </c>
      <c r="J5" s="1204">
        <f ca="1">J6+J10+J12</f>
        <v>0</v>
      </c>
      <c r="K5" s="1551" t="s">
        <v>1367</v>
      </c>
      <c r="L5" s="1205"/>
      <c r="M5" s="1206"/>
    </row>
    <row r="6" spans="1:37" ht="18" customHeight="1">
      <c r="A6" s="1203" t="s">
        <v>1003</v>
      </c>
      <c r="B6" s="3376" t="s">
        <v>1368</v>
      </c>
      <c r="C6" s="1208">
        <f ca="1">ROUND(F6*F8*F7*(1-F9)/10000,0)</f>
        <v>646</v>
      </c>
      <c r="D6" s="163" t="s">
        <v>2856</v>
      </c>
      <c r="E6" s="311" t="s">
        <v>1370</v>
      </c>
      <c r="F6" s="312">
        <f ca="1">INDIRECT("'数据-取费表'!u"&amp;$G$1)</f>
        <v>0.95</v>
      </c>
      <c r="G6" s="1571"/>
      <c r="H6" s="1203" t="s">
        <v>1003</v>
      </c>
      <c r="I6" s="3376" t="s">
        <v>1368</v>
      </c>
      <c r="J6" s="310">
        <f ca="1">ROUND(M6*M8*M7*(1-M9)/10000,0)</f>
        <v>0</v>
      </c>
      <c r="K6" s="163" t="s">
        <v>2855</v>
      </c>
      <c r="L6" s="311" t="s">
        <v>1370</v>
      </c>
      <c r="M6" s="312">
        <f ca="1">INDIRECT("'数据-取费表'!z"&amp;$G$1)</f>
        <v>0</v>
      </c>
    </row>
    <row r="7" spans="1:37" ht="18" customHeight="1">
      <c r="A7" s="1207"/>
      <c r="B7" s="3377"/>
      <c r="C7" s="1209"/>
      <c r="D7" s="316"/>
      <c r="E7" s="3029" t="s">
        <v>1371</v>
      </c>
      <c r="F7" s="312">
        <f ca="1">IF(INDIRECT("'数据-取费表'!ah"&amp;$G$1)="",INDIRECT("'数据-取费表'!k"&amp;$G$1),INDIRECT("'数据-取费表'!ah"&amp;$G$1))</f>
        <v>20689.020000000008</v>
      </c>
      <c r="G7" s="1571"/>
      <c r="H7" s="313"/>
      <c r="I7" s="3377"/>
      <c r="J7" s="315"/>
      <c r="K7" s="316"/>
      <c r="L7" s="311" t="s">
        <v>1371</v>
      </c>
      <c r="M7" s="312">
        <f ca="1">F7</f>
        <v>20689.020000000008</v>
      </c>
    </row>
    <row r="8" spans="1:37" ht="18" customHeight="1">
      <c r="A8" s="313"/>
      <c r="B8" s="3377"/>
      <c r="C8" s="315"/>
      <c r="D8" s="316"/>
      <c r="E8" s="311" t="s">
        <v>1372</v>
      </c>
      <c r="F8" s="312">
        <f ca="1">INDIRECT("'数据-取费表'!ai"&amp;$G$1)</f>
        <v>365</v>
      </c>
      <c r="G8" s="1571"/>
      <c r="H8" s="313"/>
      <c r="I8" s="3377"/>
      <c r="J8" s="315"/>
      <c r="K8" s="316"/>
      <c r="L8" s="311" t="s">
        <v>1372</v>
      </c>
      <c r="M8" s="312">
        <f ca="1">INDIRECT("'数据-取费表'!ai"&amp;$G$1)</f>
        <v>365</v>
      </c>
    </row>
    <row r="9" spans="1:37" ht="18" customHeight="1">
      <c r="A9" s="313"/>
      <c r="B9" s="3378"/>
      <c r="C9" s="315"/>
      <c r="D9" s="316"/>
      <c r="E9" s="311" t="s">
        <v>1373</v>
      </c>
      <c r="F9" s="321">
        <f ca="1">INDIRECT("'数据-取费表'!w"&amp;$G$1)</f>
        <v>0.1</v>
      </c>
      <c r="G9" s="1571"/>
      <c r="H9" s="313"/>
      <c r="I9" s="3378"/>
      <c r="J9" s="315"/>
      <c r="K9" s="316"/>
      <c r="L9" s="322" t="s">
        <v>1373</v>
      </c>
      <c r="M9" s="323">
        <f ca="1">INDIRECT("'数据-取费表'!ab"&amp;$G$1)</f>
        <v>0</v>
      </c>
    </row>
    <row r="10" spans="1:37" ht="18" customHeight="1">
      <c r="A10" s="1203" t="s">
        <v>1007</v>
      </c>
      <c r="B10" s="1552" t="s">
        <v>1374</v>
      </c>
      <c r="C10" s="325">
        <f ca="1">ROUND(IF(F10="押一",C6/12*F11,IF(F10="押二",C6/12*2*F11,IF(F10="押三",C6/12*3*F11,C11*F11))),0)</f>
        <v>1</v>
      </c>
      <c r="D10" s="1553" t="s">
        <v>2863</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10899</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7749</v>
      </c>
      <c r="D14" s="3032" t="s">
        <v>1383</v>
      </c>
      <c r="E14" s="3031"/>
      <c r="F14" s="328"/>
      <c r="G14" s="1571"/>
      <c r="H14" s="1115" t="s">
        <v>1003</v>
      </c>
      <c r="I14" s="311" t="s">
        <v>1384</v>
      </c>
      <c r="J14" s="24">
        <f ca="1">C29</f>
        <v>10899</v>
      </c>
      <c r="K14" s="3028"/>
      <c r="L14" s="918"/>
      <c r="M14" s="919"/>
    </row>
    <row r="15" spans="1:37" s="1584" customFormat="1" ht="18" customHeight="1" thickBot="1">
      <c r="A15" s="1115" t="s">
        <v>1004</v>
      </c>
      <c r="B15" s="311" t="s">
        <v>1385</v>
      </c>
      <c r="C15" s="24">
        <f ca="1">ROUND(C14*F15,0)</f>
        <v>387</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148</v>
      </c>
      <c r="K16" s="1249" t="s">
        <v>1390</v>
      </c>
      <c r="L16" s="3034"/>
      <c r="M16" s="1206"/>
    </row>
    <row r="17" spans="1:37" s="1584" customFormat="1" ht="18" customHeight="1">
      <c r="A17" s="1115" t="s">
        <v>1355</v>
      </c>
      <c r="B17" s="311" t="s">
        <v>1391</v>
      </c>
      <c r="C17" s="24">
        <f ca="1">ROUND(F17*(F43+INDIRECT("'数据-取费表'!S"&amp;$G$1))/10000,0)</f>
        <v>419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93</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116</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8671</v>
      </c>
      <c r="D19" s="139" t="s">
        <v>1401</v>
      </c>
      <c r="E19" s="3036"/>
      <c r="F19" s="26"/>
      <c r="G19" s="1571"/>
      <c r="H19" s="1115" t="s">
        <v>1004</v>
      </c>
      <c r="I19" s="311" t="s">
        <v>1402</v>
      </c>
      <c r="J19" s="24">
        <f ca="1">IF(K19="按租金收入计税",ROUND(J6*M19/(1+'数据-取费表'!C42),2),ROUND(C29*M19*0.7,2))</f>
        <v>91.55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217</v>
      </c>
      <c r="D20" s="332" t="s">
        <v>1405</v>
      </c>
      <c r="E20" s="311" t="s">
        <v>1387</v>
      </c>
      <c r="F20" s="331">
        <f>'数据-取费表'!B37</f>
        <v>2.5000000000000001E-2</v>
      </c>
      <c r="G20" s="1583"/>
      <c r="H20" s="1115" t="s">
        <v>1354</v>
      </c>
      <c r="I20" s="163" t="s">
        <v>1406</v>
      </c>
      <c r="J20" s="25">
        <f ca="1">ROUND(M20*M21/10000,2)</f>
        <v>1.51</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10090.450000000001</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54.5</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422</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-148</v>
      </c>
      <c r="K25" s="1257" t="s">
        <v>1429</v>
      </c>
      <c r="L25" s="1258"/>
      <c r="M25" s="1259"/>
    </row>
    <row r="26" spans="1:37">
      <c r="A26" s="1115" t="s">
        <v>1002</v>
      </c>
      <c r="B26" s="311" t="s">
        <v>1430</v>
      </c>
      <c r="C26" s="24">
        <f ca="1">ROUND((C19+C20)*F26,0)</f>
        <v>711</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2E-3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10899</v>
      </c>
      <c r="D29" s="1254"/>
      <c r="E29" s="1252"/>
      <c r="F29" s="1255"/>
      <c r="G29" s="1583"/>
      <c r="H29" s="343" t="s">
        <v>1001</v>
      </c>
      <c r="I29" s="344" t="s">
        <v>1444</v>
      </c>
      <c r="J29" s="345">
        <f ca="1">ROUND(J26/(1+F40)^F41,0)</f>
        <v>0</v>
      </c>
      <c r="K29" s="346" t="s">
        <v>1445</v>
      </c>
      <c r="L29" s="347"/>
      <c r="M29" s="348">
        <f ca="1">INDIRECT("'数据-取费表'!k"&amp;$G$1)</f>
        <v>20689.020000000008</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186</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109</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33.840000000000003</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73.83</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1.51</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10090.450000000001</v>
      </c>
      <c r="G35" s="1571"/>
      <c r="H35" s="2926"/>
      <c r="I35" s="1585"/>
      <c r="J35" s="1586"/>
      <c r="K35" s="2930"/>
      <c r="L35" s="2929"/>
      <c r="M35" s="2929"/>
    </row>
    <row r="36" spans="1:18" ht="18" customHeight="1">
      <c r="A36" s="1264" t="s">
        <v>1007</v>
      </c>
      <c r="B36" s="311" t="s">
        <v>1414</v>
      </c>
      <c r="C36" s="24">
        <f ca="1">ROUND(C29*F36,1)</f>
        <v>54.5</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16.3</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6.5</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461</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11893</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42.97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5748</v>
      </c>
      <c r="D43" s="346" t="s">
        <v>1453</v>
      </c>
      <c r="E43" s="347" t="s">
        <v>1454</v>
      </c>
      <c r="F43" s="348">
        <f ca="1">INDIRECT("'数据-取费表'!k"&amp;$G$1)</f>
        <v>20689.020000000008</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-29225</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11893</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10899</v>
      </c>
      <c r="R49" s="1607" t="s">
        <v>1494</v>
      </c>
    </row>
    <row r="50" spans="1:18" s="1571" customFormat="1" ht="13.5" thickBot="1">
      <c r="A50" s="1109"/>
      <c r="B50" s="1112"/>
      <c r="C50" s="1280"/>
      <c r="D50" s="1086"/>
      <c r="E50" s="1189" t="s">
        <v>1371</v>
      </c>
      <c r="F50" s="1190">
        <f ca="1">F7</f>
        <v>20689.020000000008</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-8481</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42.97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42.97</v>
      </c>
      <c r="K53" s="3379" t="s">
        <v>1513</v>
      </c>
      <c r="L53" s="3380"/>
      <c r="O53" s="1605" t="s">
        <v>1014</v>
      </c>
      <c r="P53" s="1606" t="s">
        <v>1514</v>
      </c>
      <c r="Q53" s="1607">
        <f ca="1">Q47+Q48</f>
        <v>11893</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10899</v>
      </c>
      <c r="D56" s="1634"/>
      <c r="E56" s="1635"/>
      <c r="F56" s="1627"/>
      <c r="I56" s="1636" t="s">
        <v>1519</v>
      </c>
      <c r="J56" s="1637" t="s">
        <v>3242</v>
      </c>
      <c r="K56" s="1608" t="s">
        <v>1520</v>
      </c>
      <c r="L56" s="1611" t="str">
        <f ca="1">IF(L48&lt;J51,"——",L48-J53)</f>
        <v>——</v>
      </c>
      <c r="O56" s="1605" t="s">
        <v>1008</v>
      </c>
      <c r="P56" s="1606" t="s">
        <v>1493</v>
      </c>
      <c r="Q56" s="1607">
        <f ca="1">C40+J29</f>
        <v>11893</v>
      </c>
      <c r="R56" s="1607" t="s">
        <v>1494</v>
      </c>
    </row>
    <row r="57" spans="1:18" s="1571" customFormat="1" ht="24.75" thickBot="1">
      <c r="A57" s="1638"/>
      <c r="B57" s="1083" t="s">
        <v>1443</v>
      </c>
      <c r="C57" s="247">
        <f ca="1">C29</f>
        <v>10899</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988</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917</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915.52</v>
      </c>
      <c r="D61" s="1557" t="s">
        <v>1403</v>
      </c>
      <c r="E61" s="1083" t="s">
        <v>1387</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1.51</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11893</v>
      </c>
      <c r="R62" s="1607" t="s">
        <v>1015</v>
      </c>
    </row>
    <row r="63" spans="1:18" s="1571" customFormat="1" ht="13.5" thickBot="1">
      <c r="A63" s="335"/>
      <c r="B63" s="1089"/>
      <c r="C63" s="29"/>
      <c r="D63" s="1099"/>
      <c r="E63" s="1083" t="s">
        <v>1412</v>
      </c>
      <c r="F63" s="312">
        <f t="shared" ca="1" si="0"/>
        <v>10090.450000000001</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54.5</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16.3</v>
      </c>
      <c r="D65" s="1097" t="s">
        <v>1419</v>
      </c>
      <c r="E65" s="1083" t="s">
        <v>1387</v>
      </c>
      <c r="F65" s="339">
        <f t="shared" ca="1" si="0"/>
        <v>1.5E-3</v>
      </c>
      <c r="I65" s="1649" t="s">
        <v>1544</v>
      </c>
      <c r="J65" s="1650">
        <v>40</v>
      </c>
      <c r="K65" s="1650">
        <v>30</v>
      </c>
      <c r="L65" s="1650">
        <v>50</v>
      </c>
      <c r="M65" s="1652">
        <v>0.02</v>
      </c>
      <c r="O65" s="1605" t="s">
        <v>1008</v>
      </c>
      <c r="P65" s="1606" t="s">
        <v>1493</v>
      </c>
      <c r="Q65" s="1607">
        <f ca="1">C40+J29</f>
        <v>11893</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-988</v>
      </c>
      <c r="D67" s="1096" t="s">
        <v>1429</v>
      </c>
      <c r="E67" s="1101"/>
      <c r="F67" s="1102"/>
      <c r="O67" s="1615" t="s">
        <v>1010</v>
      </c>
      <c r="P67" s="1606" t="s">
        <v>1527</v>
      </c>
      <c r="Q67" s="1653">
        <f ca="1">L51</f>
        <v>-8481</v>
      </c>
      <c r="R67" s="1607" t="s">
        <v>1547</v>
      </c>
    </row>
    <row r="68" spans="1:18" s="1571" customFormat="1" ht="16.5" thickBot="1">
      <c r="A68" s="1080" t="s">
        <v>1000</v>
      </c>
      <c r="B68" s="1081" t="s">
        <v>1450</v>
      </c>
      <c r="C68" s="310">
        <f ca="1">ROUND(C67*(1-((1+F70)/(1+F68))^F69)/(F68-F70),0)</f>
        <v>-17332</v>
      </c>
      <c r="D68" s="1098" t="s">
        <v>1434</v>
      </c>
      <c r="E68" s="1083" t="s">
        <v>1435</v>
      </c>
      <c r="F68" s="321">
        <f ca="1">F40</f>
        <v>4.9999999999999996E-2</v>
      </c>
      <c r="O68" s="1615" t="s">
        <v>1011</v>
      </c>
      <c r="P68" s="1654" t="s">
        <v>1548</v>
      </c>
      <c r="Q68" s="1607">
        <f ca="1">ROUND(Q69-Q70*Q71,0)</f>
        <v>-411</v>
      </c>
      <c r="R68" s="1607" t="s">
        <v>1019</v>
      </c>
    </row>
    <row r="69" spans="1:18" s="1571" customFormat="1" ht="13.5" thickBot="1">
      <c r="A69" s="1084"/>
      <c r="B69" s="1085"/>
      <c r="C69" s="315"/>
      <c r="D69" s="1103" t="s">
        <v>1438</v>
      </c>
      <c r="E69" s="1083" t="s">
        <v>1439</v>
      </c>
      <c r="F69" s="342">
        <f ca="1">F41</f>
        <v>42.97</v>
      </c>
      <c r="O69" s="1615" t="s">
        <v>1016</v>
      </c>
      <c r="P69" s="1654" t="s">
        <v>1549</v>
      </c>
      <c r="Q69" s="1607">
        <f ca="1">C39</f>
        <v>461</v>
      </c>
      <c r="R69" s="1607" t="s">
        <v>1494</v>
      </c>
    </row>
    <row r="70" spans="1:18" s="1571" customFormat="1" ht="13.5" thickBot="1">
      <c r="A70" s="1087"/>
      <c r="B70" s="1088"/>
      <c r="C70" s="319"/>
      <c r="D70" s="1099"/>
      <c r="E70" s="1083" t="s">
        <v>1442</v>
      </c>
      <c r="F70" s="1187"/>
      <c r="O70" s="1615" t="s">
        <v>1017</v>
      </c>
      <c r="P70" s="1654" t="s">
        <v>1550</v>
      </c>
      <c r="Q70" s="1607">
        <f ca="1">C13</f>
        <v>10899</v>
      </c>
      <c r="R70" s="1607" t="s">
        <v>1494</v>
      </c>
    </row>
    <row r="71" spans="1:18" s="1571" customFormat="1" ht="13.5" thickBot="1">
      <c r="A71" s="1104" t="s">
        <v>1001</v>
      </c>
      <c r="B71" s="1105" t="s">
        <v>1452</v>
      </c>
      <c r="C71" s="345">
        <f ca="1">ROUND(C68*10000/F71,0)</f>
        <v>-8377</v>
      </c>
      <c r="D71" s="1106" t="s">
        <v>1453</v>
      </c>
      <c r="E71" s="1107" t="s">
        <v>1454</v>
      </c>
      <c r="F71" s="348">
        <f ca="1">F43</f>
        <v>20689.020000000008</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872</v>
      </c>
      <c r="D75" s="1571"/>
      <c r="E75" s="1571"/>
      <c r="F75" s="1571"/>
      <c r="K75" s="1589"/>
      <c r="L75" s="1571"/>
      <c r="O75" s="1605" t="s">
        <v>1014</v>
      </c>
      <c r="P75" s="1606" t="s">
        <v>1514</v>
      </c>
      <c r="Q75" s="1607">
        <f ca="1">Q65+Q66</f>
        <v>11893</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-0.8919999999999999</v>
      </c>
    </row>
    <row r="80" spans="1:18">
      <c r="B80" s="349" t="s">
        <v>1476</v>
      </c>
      <c r="C80" s="283">
        <f ca="1">ROUND(C75/C39,3)</f>
        <v>1.8919999999999999</v>
      </c>
    </row>
    <row r="81" spans="2:3">
      <c r="B81" s="279" t="s">
        <v>1477</v>
      </c>
      <c r="C81" s="247"/>
    </row>
    <row r="82" spans="2:3">
      <c r="B82" s="282" t="s">
        <v>1478</v>
      </c>
      <c r="C82" s="284">
        <f ca="1">1-C83</f>
        <v>8.3999999999999964E-2</v>
      </c>
    </row>
    <row r="83" spans="2:3">
      <c r="B83" s="282" t="s">
        <v>1479</v>
      </c>
      <c r="C83" s="283">
        <f ca="1">ROUND(C13/C40,3)</f>
        <v>0.91600000000000004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7" sqref="H37"/>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3458</v>
      </c>
      <c r="E1" s="1550" t="s">
        <v>1352</v>
      </c>
      <c r="F1" s="1195">
        <f ca="1">J53</f>
        <v>42.97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2023</v>
      </c>
      <c r="C2" s="1574" t="s">
        <v>1481</v>
      </c>
      <c r="D2" s="1574"/>
      <c r="E2" s="1575"/>
      <c r="F2" s="1576"/>
      <c r="G2" s="2935"/>
      <c r="H2" s="2924"/>
      <c r="I2" s="2924"/>
      <c r="J2" s="2924"/>
      <c r="K2" s="2925"/>
      <c r="L2" s="2924"/>
      <c r="M2" s="2924"/>
    </row>
    <row r="3" spans="1:37" ht="18" customHeight="1" thickBot="1">
      <c r="A3" s="1577" t="s">
        <v>1482</v>
      </c>
      <c r="B3" s="1578">
        <f ca="1">IF(ISERROR(B2*10000/F43),0,ROUND(B2*10000/F43,0))</f>
        <v>1146</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174</v>
      </c>
      <c r="D5" s="1551" t="s">
        <v>1367</v>
      </c>
      <c r="E5" s="1205"/>
      <c r="F5" s="1206"/>
      <c r="G5" s="1571"/>
      <c r="H5" s="308">
        <v>1</v>
      </c>
      <c r="I5" s="309" t="s">
        <v>1366</v>
      </c>
      <c r="J5" s="1204">
        <f ca="1">J6+J10+J12</f>
        <v>0</v>
      </c>
      <c r="K5" s="1551" t="s">
        <v>1367</v>
      </c>
      <c r="L5" s="1205"/>
      <c r="M5" s="1206"/>
    </row>
    <row r="6" spans="1:37" ht="18" customHeight="1">
      <c r="A6" s="1203" t="s">
        <v>1003</v>
      </c>
      <c r="B6" s="3376" t="s">
        <v>1368</v>
      </c>
      <c r="C6" s="1208">
        <f ca="1">ROUND(F6*F8*F7*(1-F9)/10000,0)</f>
        <v>174</v>
      </c>
      <c r="D6" s="163" t="s">
        <v>2856</v>
      </c>
      <c r="E6" s="311" t="s">
        <v>1370</v>
      </c>
      <c r="F6" s="312">
        <f ca="1">INDIRECT("'数据-取费表'!u"&amp;$G$1)</f>
        <v>0.3</v>
      </c>
      <c r="G6" s="1571"/>
      <c r="H6" s="1203" t="s">
        <v>1003</v>
      </c>
      <c r="I6" s="3376" t="s">
        <v>1368</v>
      </c>
      <c r="J6" s="310">
        <f ca="1">ROUND(M6*M8*M7*(1-M9)/10000,0)</f>
        <v>0</v>
      </c>
      <c r="K6" s="163" t="s">
        <v>2855</v>
      </c>
      <c r="L6" s="311" t="s">
        <v>1370</v>
      </c>
      <c r="M6" s="312">
        <f ca="1">INDIRECT("'数据-取费表'!z"&amp;$G$1)</f>
        <v>0</v>
      </c>
    </row>
    <row r="7" spans="1:37" ht="18" customHeight="1">
      <c r="A7" s="1207"/>
      <c r="B7" s="3377"/>
      <c r="C7" s="1209"/>
      <c r="D7" s="316"/>
      <c r="E7" s="3029" t="s">
        <v>1371</v>
      </c>
      <c r="F7" s="312">
        <f ca="1">IF(INDIRECT("'数据-取费表'!ah"&amp;$G$1)="",INDIRECT("'数据-取费表'!k"&amp;$G$1),INDIRECT("'数据-取费表'!ah"&amp;$G$1))</f>
        <v>17651.66</v>
      </c>
      <c r="G7" s="1571"/>
      <c r="H7" s="313"/>
      <c r="I7" s="3377"/>
      <c r="J7" s="315"/>
      <c r="K7" s="316"/>
      <c r="L7" s="311" t="s">
        <v>1371</v>
      </c>
      <c r="M7" s="312">
        <f ca="1">F7</f>
        <v>17651.66</v>
      </c>
    </row>
    <row r="8" spans="1:37" ht="18" customHeight="1">
      <c r="A8" s="313"/>
      <c r="B8" s="3377"/>
      <c r="C8" s="315"/>
      <c r="D8" s="316"/>
      <c r="E8" s="311" t="s">
        <v>1372</v>
      </c>
      <c r="F8" s="312">
        <f ca="1">INDIRECT("'数据-取费表'!ai"&amp;$G$1)</f>
        <v>365</v>
      </c>
      <c r="G8" s="1571"/>
      <c r="H8" s="313"/>
      <c r="I8" s="3377"/>
      <c r="J8" s="315"/>
      <c r="K8" s="316"/>
      <c r="L8" s="311" t="s">
        <v>1372</v>
      </c>
      <c r="M8" s="312">
        <f ca="1">INDIRECT("'数据-取费表'!ai"&amp;$G$1)</f>
        <v>365</v>
      </c>
    </row>
    <row r="9" spans="1:37" ht="18" customHeight="1">
      <c r="A9" s="313"/>
      <c r="B9" s="3378"/>
      <c r="C9" s="315"/>
      <c r="D9" s="316"/>
      <c r="E9" s="311" t="s">
        <v>1373</v>
      </c>
      <c r="F9" s="321">
        <f ca="1">INDIRECT("'数据-取费表'!w"&amp;$G$1)</f>
        <v>0.1</v>
      </c>
      <c r="G9" s="1571"/>
      <c r="H9" s="313"/>
      <c r="I9" s="3378"/>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t="s">
        <v>3294</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8875</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6611</v>
      </c>
      <c r="D14" s="3032" t="s">
        <v>1383</v>
      </c>
      <c r="E14" s="3031"/>
      <c r="F14" s="328"/>
      <c r="G14" s="1571"/>
      <c r="H14" s="1115" t="s">
        <v>1003</v>
      </c>
      <c r="I14" s="311" t="s">
        <v>1384</v>
      </c>
      <c r="J14" s="24">
        <f ca="1">C29</f>
        <v>8875</v>
      </c>
      <c r="K14" s="3028"/>
      <c r="L14" s="918"/>
      <c r="M14" s="919"/>
    </row>
    <row r="15" spans="1:37" s="1584" customFormat="1" ht="18" customHeight="1" thickBot="1">
      <c r="A15" s="1115" t="s">
        <v>1004</v>
      </c>
      <c r="B15" s="311" t="s">
        <v>1385</v>
      </c>
      <c r="C15" s="24">
        <f ca="1">ROUND(C14*F15,0)</f>
        <v>331</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120</v>
      </c>
      <c r="K16" s="1249" t="s">
        <v>1390</v>
      </c>
      <c r="L16" s="3034"/>
      <c r="M16" s="1206"/>
    </row>
    <row r="17" spans="1:37" s="1584" customFormat="1" ht="18" customHeight="1">
      <c r="A17" s="1115" t="s">
        <v>1355</v>
      </c>
      <c r="B17" s="311" t="s">
        <v>1391</v>
      </c>
      <c r="C17" s="24">
        <f ca="1">ROUND(F17*(F43+INDIRECT("'数据-取费表'!S"&amp;$G$1))/10000,0)</f>
        <v>357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76</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99</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7398</v>
      </c>
      <c r="D19" s="139" t="s">
        <v>1401</v>
      </c>
      <c r="E19" s="3036"/>
      <c r="F19" s="26"/>
      <c r="G19" s="1571"/>
      <c r="H19" s="1115" t="s">
        <v>1004</v>
      </c>
      <c r="I19" s="311" t="s">
        <v>1402</v>
      </c>
      <c r="J19" s="24">
        <f ca="1">IF(K19="按租金收入计税",ROUND(J6*M19/(1+'数据-取费表'!C42),2),ROUND(C29*M19*0.7,2))</f>
        <v>74.55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185</v>
      </c>
      <c r="D20" s="332" t="s">
        <v>1405</v>
      </c>
      <c r="E20" s="311" t="s">
        <v>1387</v>
      </c>
      <c r="F20" s="331">
        <f>'数据-取费表'!B37</f>
        <v>2.5000000000000001E-2</v>
      </c>
      <c r="G20" s="1583"/>
      <c r="H20" s="1115" t="s">
        <v>1354</v>
      </c>
      <c r="I20" s="163" t="s">
        <v>1406</v>
      </c>
      <c r="J20" s="25">
        <f ca="1">ROUND(M20*M21/10000,2)</f>
        <v>1.29</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8609.07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44.4</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360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-120</v>
      </c>
      <c r="K25" s="1257" t="s">
        <v>1429</v>
      </c>
      <c r="L25" s="1258"/>
      <c r="M25" s="1259"/>
    </row>
    <row r="26" spans="1:37">
      <c r="A26" s="1115" t="s">
        <v>1002</v>
      </c>
      <c r="B26" s="311" t="s">
        <v>1430</v>
      </c>
      <c r="C26" s="24">
        <f ca="1">ROUND((C19+C20)*F26,0)</f>
        <v>227</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8.0000000000000004E-4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8875</v>
      </c>
      <c r="D29" s="1254"/>
      <c r="E29" s="1252"/>
      <c r="F29" s="1255"/>
      <c r="G29" s="1583"/>
      <c r="H29" s="343" t="s">
        <v>1001</v>
      </c>
      <c r="I29" s="344" t="s">
        <v>1444</v>
      </c>
      <c r="J29" s="345">
        <f ca="1">ROUND(J26/(1+F40)^F41,0)</f>
        <v>0</v>
      </c>
      <c r="K29" s="346" t="s">
        <v>1445</v>
      </c>
      <c r="L29" s="347"/>
      <c r="M29" s="348">
        <f ca="1">INDIRECT("'数据-取费表'!k"&amp;$G$1)</f>
        <v>17651.66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89</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30</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9.11</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19.89</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1.29</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8609.07</v>
      </c>
      <c r="G35" s="1571"/>
      <c r="H35" s="2926"/>
      <c r="I35" s="1585"/>
      <c r="J35" s="1586"/>
      <c r="K35" s="2930"/>
      <c r="L35" s="2929"/>
      <c r="M35" s="2929"/>
    </row>
    <row r="36" spans="1:18" ht="18" customHeight="1">
      <c r="A36" s="1264" t="s">
        <v>1007</v>
      </c>
      <c r="B36" s="311" t="s">
        <v>1414</v>
      </c>
      <c r="C36" s="24">
        <f ca="1">ROUND(C29*F36,1)</f>
        <v>44.4</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13.3</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1.7</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85</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2023</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42.97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1146</v>
      </c>
      <c r="D43" s="346" t="s">
        <v>1453</v>
      </c>
      <c r="E43" s="347" t="s">
        <v>1454</v>
      </c>
      <c r="F43" s="348">
        <f ca="1">INDIRECT("'数据-取费表'!k"&amp;$G$1)</f>
        <v>17651.66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-17213</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2023</v>
      </c>
      <c r="R47" s="1607" t="s">
        <v>1494</v>
      </c>
    </row>
    <row r="48" spans="1:18" s="1571" customFormat="1" ht="28.5" thickBot="1">
      <c r="A48" s="1272" t="s">
        <v>1103</v>
      </c>
      <c r="B48" s="309" t="s">
        <v>1366</v>
      </c>
      <c r="C48" s="3035">
        <f ca="1">C49+C53+C55</f>
        <v>0</v>
      </c>
      <c r="D48" s="1274"/>
      <c r="E48" s="1275"/>
      <c r="F48" s="1095"/>
      <c r="G48" s="734"/>
      <c r="H48" s="735"/>
      <c r="I48" s="1608" t="s">
        <v>1495</v>
      </c>
      <c r="J48" s="1609" t="s">
        <v>3289</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2855</v>
      </c>
      <c r="E49" s="1559" t="s">
        <v>1456</v>
      </c>
      <c r="F49" s="1193"/>
      <c r="G49" s="1612"/>
      <c r="H49" s="735"/>
      <c r="I49" s="1608" t="s">
        <v>1499</v>
      </c>
      <c r="J49" s="1613">
        <v>2020</v>
      </c>
      <c r="K49" s="1610" t="s">
        <v>1500</v>
      </c>
      <c r="L49" s="1614"/>
      <c r="O49" s="1615" t="s">
        <v>1010</v>
      </c>
      <c r="P49" s="1606" t="s">
        <v>1501</v>
      </c>
      <c r="Q49" s="1607">
        <f ca="1">C29</f>
        <v>8875</v>
      </c>
      <c r="R49" s="1607" t="s">
        <v>1494</v>
      </c>
    </row>
    <row r="50" spans="1:18" s="1571" customFormat="1" ht="13.5" thickBot="1">
      <c r="A50" s="1109"/>
      <c r="B50" s="1112"/>
      <c r="C50" s="1280"/>
      <c r="D50" s="1086"/>
      <c r="E50" s="1189" t="s">
        <v>1371</v>
      </c>
      <c r="F50" s="1190">
        <f ca="1">F7</f>
        <v>17651.66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-14140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42.97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42.97</v>
      </c>
      <c r="K53" s="3379" t="s">
        <v>1513</v>
      </c>
      <c r="L53" s="3380"/>
      <c r="O53" s="1605" t="s">
        <v>1014</v>
      </c>
      <c r="P53" s="1606" t="s">
        <v>1514</v>
      </c>
      <c r="Q53" s="1607">
        <f ca="1">Q47+Q48</f>
        <v>2023</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8875</v>
      </c>
      <c r="D56" s="1634"/>
      <c r="E56" s="1635"/>
      <c r="F56" s="1627"/>
      <c r="I56" s="1636" t="s">
        <v>1519</v>
      </c>
      <c r="J56" s="1637" t="s">
        <v>3242</v>
      </c>
      <c r="K56" s="1608" t="s">
        <v>1520</v>
      </c>
      <c r="L56" s="1611" t="str">
        <f ca="1">IF(L48&lt;J51,"——",L48-J53)</f>
        <v>——</v>
      </c>
      <c r="O56" s="1605" t="s">
        <v>1008</v>
      </c>
      <c r="P56" s="1606" t="s">
        <v>1493</v>
      </c>
      <c r="Q56" s="1607">
        <f ca="1">C40+J29</f>
        <v>2023</v>
      </c>
      <c r="R56" s="1607" t="s">
        <v>1494</v>
      </c>
    </row>
    <row r="57" spans="1:18" s="1571" customFormat="1" ht="24.75" thickBot="1">
      <c r="A57" s="1638"/>
      <c r="B57" s="1083" t="s">
        <v>1443</v>
      </c>
      <c r="C57" s="247">
        <f ca="1">C29</f>
        <v>8875</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805</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747</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745.5</v>
      </c>
      <c r="D61" s="1557" t="s">
        <v>1403</v>
      </c>
      <c r="E61" s="1083" t="s">
        <v>1387</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1.29</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2023</v>
      </c>
      <c r="R62" s="1607" t="s">
        <v>1015</v>
      </c>
    </row>
    <row r="63" spans="1:18" s="1571" customFormat="1" ht="13.5" thickBot="1">
      <c r="A63" s="335"/>
      <c r="B63" s="1089"/>
      <c r="C63" s="29"/>
      <c r="D63" s="1099"/>
      <c r="E63" s="1083" t="s">
        <v>1412</v>
      </c>
      <c r="F63" s="312">
        <f t="shared" ca="1" si="0"/>
        <v>8609.07</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44.4</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13.3</v>
      </c>
      <c r="D65" s="1097" t="s">
        <v>1419</v>
      </c>
      <c r="E65" s="1083" t="s">
        <v>1387</v>
      </c>
      <c r="F65" s="339">
        <f t="shared" ca="1" si="0"/>
        <v>1.5E-3</v>
      </c>
      <c r="I65" s="1649" t="s">
        <v>1544</v>
      </c>
      <c r="J65" s="1650">
        <v>40</v>
      </c>
      <c r="K65" s="1650">
        <v>30</v>
      </c>
      <c r="L65" s="1650">
        <v>50</v>
      </c>
      <c r="M65" s="1652">
        <v>0.02</v>
      </c>
      <c r="O65" s="1605" t="s">
        <v>1008</v>
      </c>
      <c r="P65" s="1606" t="s">
        <v>1493</v>
      </c>
      <c r="Q65" s="1607">
        <f ca="1">C40+J29</f>
        <v>2023</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-805</v>
      </c>
      <c r="D67" s="1096" t="s">
        <v>1429</v>
      </c>
      <c r="E67" s="1101"/>
      <c r="F67" s="1102"/>
      <c r="O67" s="1615" t="s">
        <v>1010</v>
      </c>
      <c r="P67" s="1606" t="s">
        <v>1527</v>
      </c>
      <c r="Q67" s="1653">
        <f ca="1">L51</f>
        <v>-14140</v>
      </c>
      <c r="R67" s="1607" t="s">
        <v>1547</v>
      </c>
    </row>
    <row r="68" spans="1:18" s="1571" customFormat="1" ht="16.5" thickBot="1">
      <c r="A68" s="1080" t="s">
        <v>1000</v>
      </c>
      <c r="B68" s="1081" t="s">
        <v>1450</v>
      </c>
      <c r="C68" s="310">
        <f ca="1">ROUND(C67*(1-((1+F70)/(1+F68))^F69)/(F68-F70),0)</f>
        <v>-15190</v>
      </c>
      <c r="D68" s="1098" t="s">
        <v>1434</v>
      </c>
      <c r="E68" s="1083" t="s">
        <v>1435</v>
      </c>
      <c r="F68" s="321">
        <f ca="1">F40</f>
        <v>4.4999999999999998E-2</v>
      </c>
      <c r="O68" s="1615" t="s">
        <v>1011</v>
      </c>
      <c r="P68" s="1654" t="s">
        <v>1548</v>
      </c>
      <c r="Q68" s="1607">
        <f ca="1">ROUND(Q69-Q70*Q71,0)</f>
        <v>-625</v>
      </c>
      <c r="R68" s="1607" t="s">
        <v>1019</v>
      </c>
    </row>
    <row r="69" spans="1:18" s="1571" customFormat="1" ht="13.5" thickBot="1">
      <c r="A69" s="1084"/>
      <c r="B69" s="1085"/>
      <c r="C69" s="315"/>
      <c r="D69" s="1103" t="s">
        <v>1438</v>
      </c>
      <c r="E69" s="1083" t="s">
        <v>1439</v>
      </c>
      <c r="F69" s="342">
        <f ca="1">F41</f>
        <v>42.97</v>
      </c>
      <c r="O69" s="1615" t="s">
        <v>1016</v>
      </c>
      <c r="P69" s="1654" t="s">
        <v>1549</v>
      </c>
      <c r="Q69" s="1607">
        <f ca="1">C39</f>
        <v>85</v>
      </c>
      <c r="R69" s="1607" t="s">
        <v>1494</v>
      </c>
    </row>
    <row r="70" spans="1:18" s="1571" customFormat="1" ht="13.5" thickBot="1">
      <c r="A70" s="1087"/>
      <c r="B70" s="1088"/>
      <c r="C70" s="319"/>
      <c r="D70" s="1099"/>
      <c r="E70" s="1083" t="s">
        <v>1442</v>
      </c>
      <c r="F70" s="1187"/>
      <c r="O70" s="1615" t="s">
        <v>1017</v>
      </c>
      <c r="P70" s="1654" t="s">
        <v>1550</v>
      </c>
      <c r="Q70" s="1607">
        <f ca="1">C13</f>
        <v>8875</v>
      </c>
      <c r="R70" s="1607" t="s">
        <v>1494</v>
      </c>
    </row>
    <row r="71" spans="1:18" s="1571" customFormat="1" ht="13.5" thickBot="1">
      <c r="A71" s="1104" t="s">
        <v>1001</v>
      </c>
      <c r="B71" s="1105" t="s">
        <v>1452</v>
      </c>
      <c r="C71" s="345">
        <f ca="1">ROUND(C68*10000/F71,0)</f>
        <v>-8605</v>
      </c>
      <c r="D71" s="1106" t="s">
        <v>1453</v>
      </c>
      <c r="E71" s="1107" t="s">
        <v>1454</v>
      </c>
      <c r="F71" s="348">
        <f ca="1">F43</f>
        <v>17651.66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710</v>
      </c>
      <c r="D75" s="1571"/>
      <c r="E75" s="1571"/>
      <c r="F75" s="1571"/>
      <c r="K75" s="1589"/>
      <c r="L75" s="1571"/>
      <c r="O75" s="1605" t="s">
        <v>1014</v>
      </c>
      <c r="P75" s="1606" t="s">
        <v>1514</v>
      </c>
      <c r="Q75" s="1607">
        <f ca="1">Q65+Q66</f>
        <v>2023</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-7.3529999999999998</v>
      </c>
    </row>
    <row r="80" spans="1:18">
      <c r="B80" s="349" t="s">
        <v>1476</v>
      </c>
      <c r="C80" s="283">
        <f ca="1">ROUND(C75/C39,3)</f>
        <v>8.3529999999999998</v>
      </c>
    </row>
    <row r="81" spans="2:3">
      <c r="B81" s="279" t="s">
        <v>1477</v>
      </c>
      <c r="C81" s="247"/>
    </row>
    <row r="82" spans="2:3">
      <c r="B82" s="282" t="s">
        <v>1478</v>
      </c>
      <c r="C82" s="284">
        <f ca="1">1-C83</f>
        <v>-3.3869999999999996</v>
      </c>
    </row>
    <row r="83" spans="2:3">
      <c r="B83" s="282" t="s">
        <v>1479</v>
      </c>
      <c r="C83" s="283">
        <f ca="1">ROUND(C13/C40,3)</f>
        <v>4.3869999999999996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3088</v>
      </c>
      <c r="D1" s="1549" t="s">
        <v>3458</v>
      </c>
      <c r="E1" s="1550" t="s">
        <v>1352</v>
      </c>
      <c r="F1" s="1195">
        <f ca="1">J53</f>
        <v>42.97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82081</v>
      </c>
      <c r="C2" s="1574" t="s">
        <v>1481</v>
      </c>
      <c r="D2" s="1574"/>
      <c r="E2" s="1575"/>
      <c r="F2" s="1576"/>
      <c r="G2" s="2935"/>
      <c r="H2" s="2924"/>
      <c r="I2" s="2924"/>
      <c r="J2" s="2924"/>
      <c r="K2" s="2925"/>
      <c r="L2" s="2924"/>
      <c r="M2" s="2924"/>
    </row>
    <row r="3" spans="1:37" ht="18" customHeight="1" thickBot="1">
      <c r="A3" s="1577" t="s">
        <v>1482</v>
      </c>
      <c r="B3" s="1578">
        <f ca="1">IF(ISERROR(B2*10000/F43),0,ROUND(B2*10000/F43,0))</f>
        <v>7961</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4409</v>
      </c>
      <c r="D5" s="1551" t="s">
        <v>1367</v>
      </c>
      <c r="E5" s="1205"/>
      <c r="F5" s="1206"/>
      <c r="G5" s="1571"/>
      <c r="H5" s="308">
        <v>1</v>
      </c>
      <c r="I5" s="309" t="s">
        <v>1366</v>
      </c>
      <c r="J5" s="1204">
        <f ca="1">J6+J10+J12</f>
        <v>0</v>
      </c>
      <c r="K5" s="1551" t="s">
        <v>1367</v>
      </c>
      <c r="L5" s="1205"/>
      <c r="M5" s="1206"/>
    </row>
    <row r="6" spans="1:37" ht="18" customHeight="1">
      <c r="A6" s="1203" t="s">
        <v>1003</v>
      </c>
      <c r="B6" s="3376" t="s">
        <v>1368</v>
      </c>
      <c r="C6" s="1208">
        <f ca="1">ROUND(F6*F8*F7*(1-F9)/10000,0)</f>
        <v>4403</v>
      </c>
      <c r="D6" s="163" t="s">
        <v>2856</v>
      </c>
      <c r="E6" s="311" t="s">
        <v>1370</v>
      </c>
      <c r="F6" s="312">
        <f ca="1">INDIRECT("'数据-取费表'!u"&amp;$G$1)</f>
        <v>1.3</v>
      </c>
      <c r="G6" s="1571"/>
      <c r="H6" s="1203" t="s">
        <v>1003</v>
      </c>
      <c r="I6" s="3376" t="s">
        <v>1368</v>
      </c>
      <c r="J6" s="310">
        <f ca="1">ROUND(M6*M8*M7*(1-M9)/10000,0)</f>
        <v>0</v>
      </c>
      <c r="K6" s="163" t="s">
        <v>2855</v>
      </c>
      <c r="L6" s="311" t="s">
        <v>1370</v>
      </c>
      <c r="M6" s="312">
        <f ca="1">INDIRECT("'数据-取费表'!z"&amp;$G$1)</f>
        <v>0</v>
      </c>
    </row>
    <row r="7" spans="1:37" ht="18" customHeight="1">
      <c r="A7" s="1207"/>
      <c r="B7" s="3377"/>
      <c r="C7" s="1209"/>
      <c r="D7" s="316"/>
      <c r="E7" s="1210" t="s">
        <v>1371</v>
      </c>
      <c r="F7" s="312">
        <f ca="1">IF(INDIRECT("'数据-取费表'!ah"&amp;$G$1)="",INDIRECT("'数据-取费表'!k"&amp;$G$1),INDIRECT("'数据-取费表'!ah"&amp;$G$1))</f>
        <v>103099.22</v>
      </c>
      <c r="G7" s="1571"/>
      <c r="H7" s="313"/>
      <c r="I7" s="3377"/>
      <c r="J7" s="315"/>
      <c r="K7" s="316"/>
      <c r="L7" s="311" t="s">
        <v>1371</v>
      </c>
      <c r="M7" s="312">
        <f ca="1">F7</f>
        <v>103099.22</v>
      </c>
    </row>
    <row r="8" spans="1:37" ht="18" customHeight="1">
      <c r="A8" s="313"/>
      <c r="B8" s="3377"/>
      <c r="C8" s="315"/>
      <c r="D8" s="316"/>
      <c r="E8" s="311" t="s">
        <v>1372</v>
      </c>
      <c r="F8" s="312">
        <f ca="1">INDIRECT("'数据-取费表'!ai"&amp;$G$1)</f>
        <v>365</v>
      </c>
      <c r="G8" s="1571"/>
      <c r="H8" s="313"/>
      <c r="I8" s="3377"/>
      <c r="J8" s="315"/>
      <c r="K8" s="316"/>
      <c r="L8" s="311" t="s">
        <v>1372</v>
      </c>
      <c r="M8" s="312">
        <f ca="1">INDIRECT("'数据-取费表'!ai"&amp;$G$1)</f>
        <v>365</v>
      </c>
    </row>
    <row r="9" spans="1:37" ht="18" customHeight="1">
      <c r="A9" s="313"/>
      <c r="B9" s="3378"/>
      <c r="C9" s="315"/>
      <c r="D9" s="316"/>
      <c r="E9" s="311" t="s">
        <v>1373</v>
      </c>
      <c r="F9" s="321">
        <f ca="1">INDIRECT("'数据-取费表'!w"&amp;$G$1)</f>
        <v>0.1</v>
      </c>
      <c r="G9" s="1571"/>
      <c r="H9" s="313"/>
      <c r="I9" s="3378"/>
      <c r="J9" s="315"/>
      <c r="K9" s="316"/>
      <c r="L9" s="322" t="s">
        <v>1373</v>
      </c>
      <c r="M9" s="323">
        <f ca="1">INDIRECT("'数据-取费表'!ab"&amp;$G$1)</f>
        <v>0</v>
      </c>
    </row>
    <row r="10" spans="1:37" ht="18" customHeight="1">
      <c r="A10" s="1203" t="s">
        <v>1007</v>
      </c>
      <c r="B10" s="1552" t="s">
        <v>1374</v>
      </c>
      <c r="C10" s="325">
        <f ca="1">ROUND(IF(F10="押一",C6/12*F11,IF(F10="押二",C6/12*2*F11,IF(F10="押三",C6/12*3*F11,C11*F11))),0)</f>
        <v>6</v>
      </c>
      <c r="D10" s="1553" t="s">
        <v>2864</v>
      </c>
      <c r="E10" s="322" t="s">
        <v>1375</v>
      </c>
      <c r="F10" s="1278" t="s">
        <v>3286</v>
      </c>
      <c r="G10" s="1571"/>
      <c r="H10" s="1203" t="s">
        <v>1007</v>
      </c>
      <c r="I10" s="1552" t="s">
        <v>1374</v>
      </c>
      <c r="J10" s="310">
        <f ca="1">ROUND(IF(M10="押一",J6/12*M11,IF(M10="押二",J6/12*2*M11,IF(M10="押三",J6/12*3*M11,J11*M11))),0)</f>
        <v>0</v>
      </c>
      <c r="K10" s="1553" t="s">
        <v>2863</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57804</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38616</v>
      </c>
      <c r="D14" s="1532" t="s">
        <v>1383</v>
      </c>
      <c r="E14" s="1529"/>
      <c r="F14" s="328"/>
      <c r="G14" s="1571"/>
      <c r="H14" s="1115" t="s">
        <v>1003</v>
      </c>
      <c r="I14" s="311" t="s">
        <v>1384</v>
      </c>
      <c r="J14" s="24">
        <f ca="1">C29</f>
        <v>57804</v>
      </c>
      <c r="K14" s="15"/>
      <c r="L14" s="918"/>
      <c r="M14" s="919"/>
    </row>
    <row r="15" spans="1:37" s="1584" customFormat="1" ht="18" customHeight="1" thickBot="1">
      <c r="A15" s="1115" t="s">
        <v>1004</v>
      </c>
      <c r="B15" s="311" t="s">
        <v>1385</v>
      </c>
      <c r="C15" s="24">
        <f ca="1">ROUND(C14*F15,0)</f>
        <v>1931</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1360</v>
      </c>
      <c r="K16" s="1249" t="s">
        <v>1390</v>
      </c>
      <c r="L16" s="1250"/>
      <c r="M16" s="1206"/>
    </row>
    <row r="17" spans="1:37" s="1584" customFormat="1" ht="18" customHeight="1">
      <c r="A17" s="1115" t="s">
        <v>1355</v>
      </c>
      <c r="B17" s="311" t="s">
        <v>1391</v>
      </c>
      <c r="C17" s="24">
        <f ca="1">ROUND(F17*(F43+INDIRECT("'数据-取费表'!S"&amp;$G$1))/10000,0)</f>
        <v>2087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493</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579</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43213</v>
      </c>
      <c r="D19" s="139" t="s">
        <v>1401</v>
      </c>
      <c r="E19" s="1547"/>
      <c r="F19" s="26"/>
      <c r="G19" s="1571"/>
      <c r="H19" s="1115" t="s">
        <v>1004</v>
      </c>
      <c r="I19" s="311" t="s">
        <v>1402</v>
      </c>
      <c r="J19" s="24">
        <f ca="1">IF(K19="按租金收入计税",ROUND(J6*M19/(1+'数据-取费表'!C42),2),ROUND(C29*M19*0.7,2))</f>
        <v>485.55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1080</v>
      </c>
      <c r="D20" s="332" t="s">
        <v>1405</v>
      </c>
      <c r="E20" s="311" t="s">
        <v>1387</v>
      </c>
      <c r="F20" s="331">
        <f>'数据-取费表'!B37</f>
        <v>2.5000000000000001E-2</v>
      </c>
      <c r="G20" s="1583"/>
      <c r="H20" s="1115" t="s">
        <v>1354</v>
      </c>
      <c r="I20" s="163" t="s">
        <v>1406</v>
      </c>
      <c r="J20" s="25">
        <f ca="1">ROUND(M20*M21/10000,2)</f>
        <v>7.54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50283.56</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867.1</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2104</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-1360</v>
      </c>
      <c r="K25" s="1257" t="s">
        <v>1429</v>
      </c>
      <c r="L25" s="1258"/>
      <c r="M25" s="1259"/>
    </row>
    <row r="26" spans="1:37">
      <c r="A26" s="1115" t="s">
        <v>1002</v>
      </c>
      <c r="B26" s="311" t="s">
        <v>1430</v>
      </c>
      <c r="C26" s="24">
        <f ca="1">ROUND((C19+C20)*F26,0)</f>
        <v>6644</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3.8E-3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57804</v>
      </c>
      <c r="D29" s="1254"/>
      <c r="E29" s="1252"/>
      <c r="F29" s="1255"/>
      <c r="G29" s="1583"/>
      <c r="H29" s="343" t="s">
        <v>1001</v>
      </c>
      <c r="I29" s="344" t="s">
        <v>1444</v>
      </c>
      <c r="J29" s="345">
        <f ca="1">ROUND(J26/(1+F40)^F41,0)</f>
        <v>0</v>
      </c>
      <c r="K29" s="346" t="s">
        <v>1445</v>
      </c>
      <c r="L29" s="347"/>
      <c r="M29" s="348">
        <f ca="1">INDIRECT("'数据-取费表'!k"&amp;$G$1)</f>
        <v>103099.22</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1739</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741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230.63</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503.2</v>
      </c>
      <c r="D33" s="1557" t="s">
        <v>3287</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7.54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50283.56</v>
      </c>
      <c r="G35" s="1571"/>
      <c r="H35" s="2926"/>
      <c r="I35" s="1585"/>
      <c r="J35" s="1586"/>
      <c r="K35" s="2930"/>
      <c r="L35" s="2929"/>
      <c r="M35" s="2929"/>
    </row>
    <row r="36" spans="1:18" ht="18" customHeight="1">
      <c r="A36" s="1264" t="s">
        <v>1007</v>
      </c>
      <c r="B36" s="311" t="s">
        <v>1414</v>
      </c>
      <c r="C36" s="24">
        <f ca="1">ROUND(C29*F36,1)</f>
        <v>867.1</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86.7</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44.1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2670</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82081</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42.97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7961</v>
      </c>
      <c r="D43" s="346" t="s">
        <v>1453</v>
      </c>
      <c r="E43" s="347" t="s">
        <v>1454</v>
      </c>
      <c r="F43" s="348">
        <f ca="1">INDIRECT("'数据-取费表'!k"&amp;$G$1)</f>
        <v>103099.22</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-184125</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3288</v>
      </c>
      <c r="K47" s="1603" t="s">
        <v>1492</v>
      </c>
      <c r="L47" s="1604">
        <f ca="1">INDIRECT("'数据-取费表'!d"&amp;$G$1)</f>
        <v>50</v>
      </c>
      <c r="M47" s="1567" t="str">
        <f>IF(ISNUMBER(FIND("住宅",C1)),"住宅","非住宅")</f>
        <v>非住宅</v>
      </c>
      <c r="O47" s="1605" t="s">
        <v>1008</v>
      </c>
      <c r="P47" s="1606" t="s">
        <v>1493</v>
      </c>
      <c r="Q47" s="1607">
        <f ca="1">C40+J29</f>
        <v>82081</v>
      </c>
      <c r="R47" s="1607" t="s">
        <v>1494</v>
      </c>
    </row>
    <row r="48" spans="1:18" s="1571" customFormat="1" ht="28.5" thickBot="1">
      <c r="A48" s="1272" t="s">
        <v>1103</v>
      </c>
      <c r="B48" s="309" t="s">
        <v>1366</v>
      </c>
      <c r="C48" s="1546">
        <f ca="1">C49+C53+C55</f>
        <v>0</v>
      </c>
      <c r="D48" s="1274"/>
      <c r="E48" s="1275"/>
      <c r="F48" s="1095"/>
      <c r="G48" s="734"/>
      <c r="H48" s="735"/>
      <c r="I48" s="1608" t="s">
        <v>1495</v>
      </c>
      <c r="J48" s="1609" t="s">
        <v>3289</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2857</v>
      </c>
      <c r="E49" s="1559" t="s">
        <v>1456</v>
      </c>
      <c r="F49" s="1193"/>
      <c r="G49" s="1612"/>
      <c r="H49" s="735"/>
      <c r="I49" s="1608" t="s">
        <v>1499</v>
      </c>
      <c r="J49" s="1613">
        <v>2020</v>
      </c>
      <c r="K49" s="1610" t="s">
        <v>1500</v>
      </c>
      <c r="L49" s="1614"/>
      <c r="O49" s="1615" t="s">
        <v>1010</v>
      </c>
      <c r="P49" s="1606" t="s">
        <v>1501</v>
      </c>
      <c r="Q49" s="1607">
        <f ca="1">C29</f>
        <v>57804</v>
      </c>
      <c r="R49" s="1607" t="s">
        <v>1494</v>
      </c>
    </row>
    <row r="50" spans="1:18" s="1571" customFormat="1" ht="13.5" thickBot="1">
      <c r="A50" s="1109"/>
      <c r="B50" s="1112"/>
      <c r="C50" s="1280"/>
      <c r="D50" s="1086"/>
      <c r="E50" s="1189" t="s">
        <v>1371</v>
      </c>
      <c r="F50" s="1190">
        <f ca="1">F7</f>
        <v>103099.22</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-40333</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42.97</v>
      </c>
      <c r="R52" s="1607" t="s">
        <v>1511</v>
      </c>
    </row>
    <row r="53" spans="1:18" s="1571" customFormat="1" ht="24.75" thickBot="1">
      <c r="A53" s="1316" t="s">
        <v>1105</v>
      </c>
      <c r="B53" s="1560" t="s">
        <v>1374</v>
      </c>
      <c r="C53" s="325">
        <f ca="1">ROUND(IF(F53="押一",C49/12*F11,IF(F53="押二",C49/12*2*F11,IF(F53="押三",C49/12*3*F11,C54*F11))),0)</f>
        <v>0</v>
      </c>
      <c r="D53" s="1553" t="s">
        <v>2863</v>
      </c>
      <c r="E53" s="322" t="s">
        <v>1375</v>
      </c>
      <c r="F53" s="1278"/>
      <c r="I53" s="1626" t="s">
        <v>1512</v>
      </c>
      <c r="J53" s="2388">
        <f ca="1">IF(M47="住宅",IF(D1="——",MAX(J51,L48),MAX(J51,L48-'数据-取费表'!B24)),IF(D1="——",MIN(J51,L48),MIN(J51,L48-'数据-取费表'!B24)))</f>
        <v>42.97</v>
      </c>
      <c r="K53" s="3379" t="s">
        <v>1513</v>
      </c>
      <c r="L53" s="3380"/>
      <c r="O53" s="1605" t="s">
        <v>1014</v>
      </c>
      <c r="P53" s="1606" t="s">
        <v>1514</v>
      </c>
      <c r="Q53" s="1607">
        <f ca="1">Q47+Q48</f>
        <v>82081</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57804</v>
      </c>
      <c r="D56" s="1634"/>
      <c r="E56" s="1635"/>
      <c r="F56" s="1627"/>
      <c r="I56" s="1636" t="s">
        <v>1519</v>
      </c>
      <c r="J56" s="1637" t="s">
        <v>3242</v>
      </c>
      <c r="K56" s="1608" t="s">
        <v>1520</v>
      </c>
      <c r="L56" s="1611" t="str">
        <f ca="1">IF(L48&lt;J51,"——",L48-J53)</f>
        <v>——</v>
      </c>
      <c r="O56" s="1605" t="s">
        <v>1008</v>
      </c>
      <c r="P56" s="1606" t="s">
        <v>1493</v>
      </c>
      <c r="Q56" s="1607">
        <f ca="1">C40+J29</f>
        <v>82081</v>
      </c>
      <c r="R56" s="1607" t="s">
        <v>1494</v>
      </c>
    </row>
    <row r="57" spans="1:18" s="1571" customFormat="1" ht="24.75" thickBot="1">
      <c r="A57" s="1638"/>
      <c r="B57" s="1083" t="s">
        <v>1443</v>
      </c>
      <c r="C57" s="247">
        <f ca="1">C29</f>
        <v>57804</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5817</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4863</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4855.54</v>
      </c>
      <c r="D61" s="1557" t="s">
        <v>1403</v>
      </c>
      <c r="E61" s="1083" t="s">
        <v>1459</v>
      </c>
      <c r="F61" s="331">
        <f t="shared" si="0"/>
        <v>0.12</v>
      </c>
      <c r="I61" s="1648"/>
      <c r="J61" s="1648"/>
      <c r="K61" s="1648"/>
      <c r="L61" s="1648"/>
      <c r="O61" s="1615" t="s">
        <v>1013</v>
      </c>
      <c r="P61" s="1606" t="str">
        <f>K59</f>
        <v>续建工期及建筑物耐用年限下的土地年期修正系数Kn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7.54</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82081</v>
      </c>
      <c r="R62" s="1607" t="s">
        <v>1015</v>
      </c>
    </row>
    <row r="63" spans="1:18" s="1571" customFormat="1" ht="13.5" thickBot="1">
      <c r="A63" s="335"/>
      <c r="B63" s="1089"/>
      <c r="C63" s="29"/>
      <c r="D63" s="1099"/>
      <c r="E63" s="1083" t="s">
        <v>1464</v>
      </c>
      <c r="F63" s="312">
        <f t="shared" ca="1" si="0"/>
        <v>50283.56</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867.1</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86.7</v>
      </c>
      <c r="D65" s="1097" t="s">
        <v>1419</v>
      </c>
      <c r="E65" s="1083" t="s">
        <v>1420</v>
      </c>
      <c r="F65" s="339">
        <f t="shared" ca="1" si="0"/>
        <v>1.5E-3</v>
      </c>
      <c r="I65" s="1649" t="s">
        <v>1544</v>
      </c>
      <c r="J65" s="1650">
        <v>40</v>
      </c>
      <c r="K65" s="1650">
        <v>30</v>
      </c>
      <c r="L65" s="1650">
        <v>50</v>
      </c>
      <c r="M65" s="1652">
        <v>0.02</v>
      </c>
      <c r="O65" s="1605" t="s">
        <v>1008</v>
      </c>
      <c r="P65" s="1606" t="s">
        <v>1545</v>
      </c>
      <c r="Q65" s="1607">
        <f ca="1">C40+J29</f>
        <v>82081</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-5817</v>
      </c>
      <c r="D67" s="1096" t="s">
        <v>1429</v>
      </c>
      <c r="E67" s="1101"/>
      <c r="F67" s="1102"/>
      <c r="O67" s="1615" t="s">
        <v>1010</v>
      </c>
      <c r="P67" s="1606" t="s">
        <v>1527</v>
      </c>
      <c r="Q67" s="1653">
        <f ca="1">L51</f>
        <v>-40333</v>
      </c>
      <c r="R67" s="1607" t="s">
        <v>1547</v>
      </c>
    </row>
    <row r="68" spans="1:18" s="1571" customFormat="1" ht="16.5" thickBot="1">
      <c r="A68" s="1080" t="s">
        <v>1000</v>
      </c>
      <c r="B68" s="1081" t="s">
        <v>1450</v>
      </c>
      <c r="C68" s="310">
        <f ca="1">ROUND(C67*(1-((1+F70)/(1+F68))^F69)/(F68-F70),0)</f>
        <v>-102044</v>
      </c>
      <c r="D68" s="1098" t="s">
        <v>1434</v>
      </c>
      <c r="E68" s="1083" t="s">
        <v>1435</v>
      </c>
      <c r="F68" s="321">
        <f ca="1">F40</f>
        <v>0.05</v>
      </c>
      <c r="O68" s="1615" t="s">
        <v>1011</v>
      </c>
      <c r="P68" s="1654" t="s">
        <v>1548</v>
      </c>
      <c r="Q68" s="1607">
        <f ca="1">ROUND(Q69-Q70*Q71,0)</f>
        <v>-1954</v>
      </c>
      <c r="R68" s="1607" t="s">
        <v>1019</v>
      </c>
    </row>
    <row r="69" spans="1:18" s="1571" customFormat="1" ht="13.5" thickBot="1">
      <c r="A69" s="1084"/>
      <c r="B69" s="1085"/>
      <c r="C69" s="315"/>
      <c r="D69" s="1103" t="s">
        <v>1438</v>
      </c>
      <c r="E69" s="1083" t="s">
        <v>1439</v>
      </c>
      <c r="F69" s="342">
        <f ca="1">F41</f>
        <v>42.97</v>
      </c>
      <c r="O69" s="1615" t="s">
        <v>1016</v>
      </c>
      <c r="P69" s="1654" t="s">
        <v>1549</v>
      </c>
      <c r="Q69" s="1607">
        <f ca="1">C39</f>
        <v>2670</v>
      </c>
      <c r="R69" s="1607" t="s">
        <v>1494</v>
      </c>
    </row>
    <row r="70" spans="1:18" s="1571" customFormat="1" ht="13.5" thickBot="1">
      <c r="A70" s="1087"/>
      <c r="B70" s="1088"/>
      <c r="C70" s="319"/>
      <c r="D70" s="1099"/>
      <c r="E70" s="1083" t="s">
        <v>1442</v>
      </c>
      <c r="F70" s="1187"/>
      <c r="O70" s="1615" t="s">
        <v>1017</v>
      </c>
      <c r="P70" s="1654" t="s">
        <v>1550</v>
      </c>
      <c r="Q70" s="1607">
        <f ca="1">C13</f>
        <v>57804</v>
      </c>
      <c r="R70" s="1607" t="s">
        <v>1494</v>
      </c>
    </row>
    <row r="71" spans="1:18" s="1571" customFormat="1" ht="13.5" thickBot="1">
      <c r="A71" s="1104" t="s">
        <v>1001</v>
      </c>
      <c r="B71" s="1105" t="s">
        <v>1452</v>
      </c>
      <c r="C71" s="345">
        <f ca="1">ROUND(C68*10000/F71,0)</f>
        <v>-9898</v>
      </c>
      <c r="D71" s="1106" t="s">
        <v>1453</v>
      </c>
      <c r="E71" s="1107" t="s">
        <v>1454</v>
      </c>
      <c r="F71" s="348">
        <f ca="1">F43</f>
        <v>103099.22</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续建工期及建筑物耐用年限下的土地年期修正系数Kn</v>
      </c>
      <c r="Q74" s="1607" t="e">
        <f ca="1">L59</f>
        <v>#DIV/0!</v>
      </c>
      <c r="R74" s="1607" t="s">
        <v>1534</v>
      </c>
    </row>
    <row r="75" spans="1:18" ht="13.5" thickBot="1">
      <c r="A75" s="1571"/>
      <c r="B75" s="349" t="s">
        <v>1471</v>
      </c>
      <c r="C75" s="350">
        <f ca="1">ROUND(C13*C76,0)</f>
        <v>4624</v>
      </c>
      <c r="D75" s="1571"/>
      <c r="E75" s="1571"/>
      <c r="F75" s="1571"/>
      <c r="K75" s="1589"/>
      <c r="L75" s="1571"/>
      <c r="O75" s="1605" t="s">
        <v>1014</v>
      </c>
      <c r="P75" s="1606" t="s">
        <v>1514</v>
      </c>
      <c r="Q75" s="1607">
        <f ca="1">Q65+Q66</f>
        <v>82081</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-0.73199999999999998</v>
      </c>
    </row>
    <row r="80" spans="1:18">
      <c r="B80" s="349" t="s">
        <v>1476</v>
      </c>
      <c r="C80" s="283">
        <f ca="1">ROUND(C75/C39,3)</f>
        <v>1.732</v>
      </c>
    </row>
    <row r="81" spans="2:3">
      <c r="B81" s="279" t="s">
        <v>1477</v>
      </c>
      <c r="C81" s="247"/>
    </row>
    <row r="82" spans="2:3">
      <c r="B82" s="282" t="s">
        <v>1478</v>
      </c>
      <c r="C82" s="284">
        <f ca="1">1-C83</f>
        <v>0.29600000000000004</v>
      </c>
    </row>
    <row r="83" spans="2:3">
      <c r="B83" s="282" t="s">
        <v>1479</v>
      </c>
      <c r="C83" s="283">
        <f ca="1">ROUND(C13/C40,3)</f>
        <v>0.70399999999999996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-0.19999999999999996</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6" t="s">
        <v>1368</v>
      </c>
      <c r="C6" s="1208">
        <f ca="1">ROUND(F6*F8*F7*(1-F9),0)</f>
        <v>0</v>
      </c>
      <c r="D6" s="163" t="s">
        <v>2853</v>
      </c>
      <c r="E6" s="311" t="s">
        <v>1370</v>
      </c>
      <c r="F6" s="312">
        <f ca="1">INDIRECT("'数据-取费表'!u"&amp;$G$1)</f>
        <v>0</v>
      </c>
      <c r="G6" s="1571"/>
      <c r="H6" s="1203" t="s">
        <v>1003</v>
      </c>
      <c r="I6" s="3376" t="s">
        <v>1368</v>
      </c>
      <c r="J6" s="310">
        <f ca="1">ROUND(M6*M8*M7*(1-M9),0)</f>
        <v>0</v>
      </c>
      <c r="K6" s="1563" t="s">
        <v>2854</v>
      </c>
      <c r="L6" s="311" t="s">
        <v>1370</v>
      </c>
      <c r="M6" s="312">
        <f ca="1">INDIRECT("'数据-取费表'!z"&amp;$G$1)</f>
        <v>0</v>
      </c>
    </row>
    <row r="7" spans="1:37" ht="18" customHeight="1">
      <c r="A7" s="1207"/>
      <c r="B7" s="3377"/>
      <c r="C7" s="1209"/>
      <c r="D7" s="316"/>
      <c r="E7" s="1210" t="s">
        <v>1371</v>
      </c>
      <c r="F7" s="312">
        <f ca="1">IF(INDIRECT("'数据-取费表'!ah"&amp;$G$1)="",INDIRECT("'数据-取费表'!k"&amp;$G$1),INDIRECT("'数据-取费表'!ah"&amp;$G$1))</f>
        <v>0</v>
      </c>
      <c r="G7" s="1571"/>
      <c r="H7" s="313"/>
      <c r="I7" s="3377"/>
      <c r="J7" s="315"/>
      <c r="K7" s="316"/>
      <c r="L7" s="311" t="s">
        <v>1371</v>
      </c>
      <c r="M7" s="312">
        <f ca="1">F7</f>
        <v>0</v>
      </c>
    </row>
    <row r="8" spans="1:37" ht="18" customHeight="1">
      <c r="A8" s="313"/>
      <c r="B8" s="3377"/>
      <c r="C8" s="315"/>
      <c r="D8" s="316"/>
      <c r="E8" s="311" t="s">
        <v>1372</v>
      </c>
      <c r="F8" s="312">
        <f ca="1">INDIRECT("'数据-取费表'!ai"&amp;$G$1)</f>
        <v>0</v>
      </c>
      <c r="G8" s="1571"/>
      <c r="H8" s="313"/>
      <c r="I8" s="3377"/>
      <c r="J8" s="315"/>
      <c r="K8" s="316"/>
      <c r="L8" s="311" t="s">
        <v>1372</v>
      </c>
      <c r="M8" s="312">
        <f ca="1">INDIRECT("'数据-取费表'!ai"&amp;$G$1)</f>
        <v>0</v>
      </c>
    </row>
    <row r="9" spans="1:37" ht="18" customHeight="1">
      <c r="A9" s="313"/>
      <c r="B9" s="3378"/>
      <c r="C9" s="315"/>
      <c r="D9" s="316"/>
      <c r="E9" s="311" t="s">
        <v>1373</v>
      </c>
      <c r="F9" s="321">
        <f ca="1">INDIRECT("'数据-取费表'!w"&amp;$G$1)</f>
        <v>0</v>
      </c>
      <c r="G9" s="1571"/>
      <c r="H9" s="313"/>
      <c r="I9" s="3378"/>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2863</v>
      </c>
      <c r="E10" s="322" t="s">
        <v>1375</v>
      </c>
      <c r="F10" s="1278"/>
      <c r="G10" s="1571"/>
      <c r="H10" s="1203" t="s">
        <v>1007</v>
      </c>
      <c r="I10" s="1552" t="s">
        <v>1374</v>
      </c>
      <c r="J10" s="310">
        <f ca="1">ROUND(IF(M10="押一",J6/12*M11,IF(M10="押二",J6/12*2*M11,IF(M10="押三",J6/12*3*M11,J11*M11))),0)</f>
        <v>0</v>
      </c>
      <c r="K10" s="1564" t="s">
        <v>2865</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2.5000000000000001E-2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2.5000000000000001E-2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-0.19999999999999996</v>
      </c>
      <c r="R52" s="1607" t="s">
        <v>1511</v>
      </c>
    </row>
    <row r="53" spans="1:18" s="1571" customFormat="1" ht="30.75" customHeight="1" thickBot="1">
      <c r="A53" s="1273" t="s">
        <v>1105</v>
      </c>
      <c r="B53" s="332"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-0.19999999999999996</v>
      </c>
      <c r="K53" s="3379" t="s">
        <v>1513</v>
      </c>
      <c r="L53" s="3380"/>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估价对象（分摊）出让国有建设用地使用权面积为68983.08平方米，建筑面积为143180.5平方米。</v>
      </c>
    </row>
    <row r="8" spans="1:1" ht="57.75">
      <c r="A8" s="1671" t="s">
        <v>1579</v>
      </c>
    </row>
    <row r="9" spans="1:1" ht="18.75">
      <c r="A9" s="1670" t="s">
        <v>1580</v>
      </c>
    </row>
    <row r="10" spans="1:1" ht="108">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估价对象（分摊）出让国有建设用地使用权面积为68983.08平方米，规划建筑面积为143180.5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2020年12月1日（评估专业人员实地查勘之日）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本次评估采用的主估价方法为成本法和假设开发法。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4" sqref="G34"/>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2352</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95997</v>
      </c>
      <c r="C2" s="2060" t="s">
        <v>2345</v>
      </c>
      <c r="D2" s="2061" t="s">
        <v>2346</v>
      </c>
      <c r="E2" s="2831">
        <f>SUM(E6:E13)</f>
        <v>143180.51</v>
      </c>
      <c r="F2" s="2936"/>
      <c r="G2" s="1677"/>
      <c r="H2" s="1677"/>
      <c r="I2" s="1677"/>
      <c r="J2" s="1677"/>
      <c r="K2" s="1677"/>
      <c r="L2" s="1677"/>
      <c r="M2" s="1677"/>
      <c r="N2" s="1677"/>
      <c r="O2" s="1677"/>
      <c r="P2" s="1677"/>
      <c r="Q2" s="1677"/>
      <c r="R2" s="1677"/>
      <c r="S2" s="1677"/>
    </row>
    <row r="3" spans="1:22" ht="15.75">
      <c r="A3" s="2058" t="s">
        <v>1360</v>
      </c>
      <c r="B3" s="2825">
        <f ca="1">ROUND(B2*10000/E2,0)</f>
        <v>6705</v>
      </c>
      <c r="C3" s="2060" t="s">
        <v>2353</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2347</v>
      </c>
      <c r="B5" s="3381" t="s">
        <v>2348</v>
      </c>
      <c r="C5" s="3382"/>
      <c r="D5" s="2937"/>
      <c r="E5" s="2062" t="s">
        <v>2349</v>
      </c>
      <c r="F5" s="2063" t="s">
        <v>2350</v>
      </c>
      <c r="G5" s="1677"/>
      <c r="H5" s="1677"/>
      <c r="I5" s="1677"/>
      <c r="J5" s="1677"/>
      <c r="K5" s="1677"/>
      <c r="L5" s="1677"/>
      <c r="M5" s="1677"/>
      <c r="N5" s="1677"/>
      <c r="O5" s="1677"/>
      <c r="P5" s="1677"/>
      <c r="Q5" s="1677"/>
      <c r="R5" s="1677"/>
      <c r="S5" s="1677"/>
    </row>
    <row r="6" spans="1:22">
      <c r="A6" s="2828" t="str">
        <f>'数据-取费表'!AN6</f>
        <v>收益法</v>
      </c>
      <c r="B6" s="2826">
        <f ca="1">IF(F6="是",'数据-取费表'!AO6,0)</f>
        <v>82081</v>
      </c>
      <c r="C6" s="2060" t="s">
        <v>2345</v>
      </c>
      <c r="D6" s="2938"/>
      <c r="E6" s="2830">
        <f>IF(OR(A6=0,F6="否"),0,'数据-取费表'!K6+'数据-取费表'!S6)</f>
        <v>104367.99</v>
      </c>
      <c r="F6" s="2064" t="s">
        <v>2351</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11893</v>
      </c>
      <c r="C7" s="2060" t="s">
        <v>2345</v>
      </c>
      <c r="D7" s="2938"/>
      <c r="E7" s="2830">
        <f>IF(OR(A7=0,F7="否"),0,'数据-取费表'!K7+'数据-取费表'!S7)</f>
        <v>20943.630000000008</v>
      </c>
      <c r="F7" s="2064" t="s">
        <v>2351</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2023</v>
      </c>
      <c r="C8" s="2060" t="s">
        <v>2345</v>
      </c>
      <c r="D8" s="2938"/>
      <c r="E8" s="2830">
        <f>IF(OR(A8=0,F8="否"),0,'数据-取费表'!K8+'数据-取费表'!S8)</f>
        <v>17868.89</v>
      </c>
      <c r="F8" s="2064" t="s">
        <v>2351</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2345</v>
      </c>
      <c r="D9" s="2938"/>
      <c r="E9" s="2830">
        <f>IF(OR(A9=0,F9="否"),0,'数据-取费表'!K9+'数据-取费表'!S9)</f>
        <v>0</v>
      </c>
      <c r="F9" s="2064" t="s">
        <v>2351</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2345</v>
      </c>
      <c r="D10" s="2938"/>
      <c r="E10" s="2830">
        <f>IF(OR(A10=0,F10="否"),0,'数据-取费表'!K10+'数据-取费表'!S10)</f>
        <v>0</v>
      </c>
      <c r="F10" s="2064" t="s">
        <v>2351</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2345</v>
      </c>
      <c r="D11" s="2938"/>
      <c r="E11" s="2830">
        <f>IF(OR(A11=0,F11="否"),0,'数据-取费表'!K11+'数据-取费表'!S11)</f>
        <v>0</v>
      </c>
      <c r="F11" s="2064" t="s">
        <v>2351</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2345</v>
      </c>
      <c r="D12" s="2938"/>
      <c r="E12" s="2830">
        <f>IF(OR(A12=0,F12="否"),0,'数据-取费表'!K12+'数据-取费表'!S12)</f>
        <v>0</v>
      </c>
      <c r="F12" s="2064" t="s">
        <v>2351</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2345</v>
      </c>
      <c r="D13" s="2939"/>
      <c r="E13" s="2830">
        <f>IF(OR(A13=0,F13="否"),0,'数据-取费表'!K13+'数据-取费表'!S13)</f>
        <v>0</v>
      </c>
      <c r="F13" s="2064" t="s">
        <v>2351</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3" t="s">
        <v>1044</v>
      </c>
      <c r="B1" s="3384"/>
      <c r="C1" s="3385"/>
      <c r="D1" s="3386">
        <f>SUM(I10,I15,I20,I21,I23)</f>
        <v>0</v>
      </c>
      <c r="E1" s="3386"/>
      <c r="F1" s="3386"/>
      <c r="G1" s="3386"/>
      <c r="H1" s="3386"/>
      <c r="I1" s="3387"/>
    </row>
    <row r="2" spans="1:9">
      <c r="A2" s="3388" t="s">
        <v>1045</v>
      </c>
      <c r="B2" s="3389" t="s">
        <v>1046</v>
      </c>
      <c r="C2" s="3389"/>
      <c r="D2" s="1213" t="s">
        <v>1047</v>
      </c>
      <c r="E2" s="1213" t="s">
        <v>1048</v>
      </c>
      <c r="F2" s="1213" t="s">
        <v>1049</v>
      </c>
      <c r="G2" s="1213" t="s">
        <v>1050</v>
      </c>
      <c r="H2" s="1213" t="s">
        <v>1051</v>
      </c>
      <c r="I2" s="1214" t="s">
        <v>1052</v>
      </c>
    </row>
    <row r="3" spans="1:9">
      <c r="A3" s="3388"/>
      <c r="B3" s="3389" t="s">
        <v>1053</v>
      </c>
      <c r="C3" s="3389"/>
      <c r="D3" s="1215"/>
      <c r="E3" s="1213"/>
      <c r="F3" s="1216"/>
      <c r="G3" s="1216"/>
      <c r="H3" s="1217"/>
      <c r="I3" s="1218">
        <f>ROUND(D3*E3*F3*G3*H3/10000,0)</f>
        <v>0</v>
      </c>
    </row>
    <row r="4" spans="1:9">
      <c r="A4" s="3388"/>
      <c r="B4" s="3389" t="s">
        <v>1054</v>
      </c>
      <c r="C4" s="3389"/>
      <c r="D4" s="1215"/>
      <c r="E4" s="1213"/>
      <c r="F4" s="1216"/>
      <c r="G4" s="1216"/>
      <c r="H4" s="1217"/>
      <c r="I4" s="1218">
        <f t="shared" ref="I4:I9" si="0">ROUND(D4*E4*F4*G4*H4/10000,0)</f>
        <v>0</v>
      </c>
    </row>
    <row r="5" spans="1:9">
      <c r="A5" s="3388"/>
      <c r="B5" s="3389" t="s">
        <v>1055</v>
      </c>
      <c r="C5" s="3389"/>
      <c r="D5" s="1215"/>
      <c r="E5" s="1213"/>
      <c r="F5" s="1216"/>
      <c r="G5" s="1216"/>
      <c r="H5" s="1217"/>
      <c r="I5" s="1218">
        <f t="shared" si="0"/>
        <v>0</v>
      </c>
    </row>
    <row r="6" spans="1:9">
      <c r="A6" s="3388"/>
      <c r="B6" s="3389" t="s">
        <v>1056</v>
      </c>
      <c r="C6" s="3389"/>
      <c r="D6" s="1215"/>
      <c r="E6" s="1213"/>
      <c r="F6" s="1216"/>
      <c r="G6" s="1216"/>
      <c r="H6" s="1217"/>
      <c r="I6" s="1218">
        <f t="shared" si="0"/>
        <v>0</v>
      </c>
    </row>
    <row r="7" spans="1:9">
      <c r="A7" s="3388"/>
      <c r="B7" s="3389" t="s">
        <v>1057</v>
      </c>
      <c r="C7" s="3389"/>
      <c r="D7" s="1215"/>
      <c r="E7" s="1213"/>
      <c r="F7" s="1216"/>
      <c r="G7" s="1216"/>
      <c r="H7" s="1217"/>
      <c r="I7" s="1218">
        <f t="shared" si="0"/>
        <v>0</v>
      </c>
    </row>
    <row r="8" spans="1:9">
      <c r="A8" s="3388"/>
      <c r="B8" s="3389" t="s">
        <v>1058</v>
      </c>
      <c r="C8" s="3389"/>
      <c r="D8" s="1215"/>
      <c r="E8" s="1213"/>
      <c r="F8" s="1216"/>
      <c r="G8" s="1216"/>
      <c r="H8" s="1217"/>
      <c r="I8" s="1218">
        <f t="shared" si="0"/>
        <v>0</v>
      </c>
    </row>
    <row r="9" spans="1:9">
      <c r="A9" s="3388"/>
      <c r="B9" s="3389" t="s">
        <v>1059</v>
      </c>
      <c r="C9" s="3389"/>
      <c r="D9" s="1215"/>
      <c r="E9" s="1213"/>
      <c r="F9" s="1216"/>
      <c r="G9" s="1216"/>
      <c r="H9" s="1217"/>
      <c r="I9" s="1218">
        <f t="shared" si="0"/>
        <v>0</v>
      </c>
    </row>
    <row r="10" spans="1:9">
      <c r="A10" s="3388"/>
      <c r="B10" s="3390" t="s">
        <v>1060</v>
      </c>
      <c r="C10" s="3390"/>
      <c r="D10" s="1219"/>
      <c r="E10" s="1219" t="e">
        <f>ROUND(D1*10000/D10/H9,0)</f>
        <v>#DIV/0!</v>
      </c>
      <c r="F10" s="1220"/>
      <c r="G10" s="1220"/>
      <c r="H10" s="1221"/>
      <c r="I10" s="1222">
        <f>SUM(I3:I9)</f>
        <v>0</v>
      </c>
    </row>
    <row r="11" spans="1:9" ht="14.25">
      <c r="A11" s="3388" t="s">
        <v>1061</v>
      </c>
      <c r="B11" s="3389" t="s">
        <v>1062</v>
      </c>
      <c r="C11" s="3389"/>
      <c r="D11" s="1215" t="s">
        <v>1063</v>
      </c>
      <c r="E11" s="1215" t="s">
        <v>1064</v>
      </c>
      <c r="F11" s="1216" t="s">
        <v>1065</v>
      </c>
      <c r="G11" s="1216" t="s">
        <v>1051</v>
      </c>
      <c r="H11" s="1223" t="s">
        <v>1066</v>
      </c>
      <c r="I11" s="1214" t="s">
        <v>1052</v>
      </c>
    </row>
    <row r="12" spans="1:9">
      <c r="A12" s="3388"/>
      <c r="B12" s="3389" t="s">
        <v>1067</v>
      </c>
      <c r="C12" s="3389"/>
      <c r="D12" s="1215"/>
      <c r="E12" s="1215"/>
      <c r="F12" s="1216"/>
      <c r="G12" s="1217"/>
      <c r="H12" s="1224"/>
      <c r="I12" s="1214">
        <f>ROUND(D12*E12*F12*G12/10000,0)</f>
        <v>0</v>
      </c>
    </row>
    <row r="13" spans="1:9">
      <c r="A13" s="3388"/>
      <c r="B13" s="3389" t="s">
        <v>1068</v>
      </c>
      <c r="C13" s="3389"/>
      <c r="D13" s="1215"/>
      <c r="E13" s="1215"/>
      <c r="F13" s="1216"/>
      <c r="G13" s="1217"/>
      <c r="H13" s="1224"/>
      <c r="I13" s="1214">
        <f>ROUND(D13*E13*F13*G13/10000,0)</f>
        <v>0</v>
      </c>
    </row>
    <row r="14" spans="1:9">
      <c r="A14" s="3388"/>
      <c r="B14" s="3389" t="s">
        <v>1069</v>
      </c>
      <c r="C14" s="3389"/>
      <c r="D14" s="1215"/>
      <c r="E14" s="1215"/>
      <c r="F14" s="1216"/>
      <c r="G14" s="1217"/>
      <c r="H14" s="1224"/>
      <c r="I14" s="1214">
        <f>ROUND(D14*E14*F14*G14/10000,0)</f>
        <v>0</v>
      </c>
    </row>
    <row r="15" spans="1:9">
      <c r="A15" s="3388"/>
      <c r="B15" s="3390" t="s">
        <v>1060</v>
      </c>
      <c r="C15" s="3390"/>
      <c r="D15" s="1219"/>
      <c r="E15" s="1219">
        <f>SUM(E12:E14)</f>
        <v>0</v>
      </c>
      <c r="F15" s="1220"/>
      <c r="G15" s="1217"/>
      <c r="H15" s="1224"/>
      <c r="I15" s="1225">
        <f>SUM(I12:I14)</f>
        <v>0</v>
      </c>
    </row>
    <row r="16" spans="1:9" ht="24">
      <c r="A16" s="3388" t="s">
        <v>1070</v>
      </c>
      <c r="B16" s="3389" t="s">
        <v>1071</v>
      </c>
      <c r="C16" s="3389"/>
      <c r="D16" s="1215" t="s">
        <v>1047</v>
      </c>
      <c r="E16" s="1226" t="s">
        <v>1072</v>
      </c>
      <c r="F16" s="1216" t="s">
        <v>1073</v>
      </c>
      <c r="G16" s="1217" t="s">
        <v>1051</v>
      </c>
      <c r="H16" s="1223" t="s">
        <v>1066</v>
      </c>
      <c r="I16" s="1214" t="s">
        <v>1052</v>
      </c>
    </row>
    <row r="17" spans="1:9" ht="14.25">
      <c r="A17" s="3388"/>
      <c r="B17" s="3389" t="s">
        <v>1074</v>
      </c>
      <c r="C17" s="3389"/>
      <c r="D17" s="1215"/>
      <c r="E17" s="1215"/>
      <c r="F17" s="1216"/>
      <c r="G17" s="1217"/>
      <c r="H17" s="1227"/>
      <c r="I17" s="1228">
        <f>ROUND(D17*E17*F17*G17/10000,0)</f>
        <v>0</v>
      </c>
    </row>
    <row r="18" spans="1:9" ht="14.25">
      <c r="A18" s="3388"/>
      <c r="B18" s="3389" t="s">
        <v>1075</v>
      </c>
      <c r="C18" s="3389"/>
      <c r="D18" s="1215"/>
      <c r="E18" s="1215"/>
      <c r="F18" s="1216"/>
      <c r="G18" s="1217"/>
      <c r="H18" s="1227"/>
      <c r="I18" s="1228">
        <f>ROUND(D18*E18*F18*G18/10000,0)</f>
        <v>0</v>
      </c>
    </row>
    <row r="19" spans="1:9" ht="14.25">
      <c r="A19" s="3388"/>
      <c r="B19" s="3389" t="s">
        <v>1076</v>
      </c>
      <c r="C19" s="3389"/>
      <c r="D19" s="1215"/>
      <c r="E19" s="1215"/>
      <c r="F19" s="1216"/>
      <c r="G19" s="1217"/>
      <c r="H19" s="1227"/>
      <c r="I19" s="1228">
        <f>ROUND(D19*E19*F19*G19/10000,0)</f>
        <v>0</v>
      </c>
    </row>
    <row r="20" spans="1:9">
      <c r="A20" s="3388"/>
      <c r="B20" s="3390" t="s">
        <v>1060</v>
      </c>
      <c r="C20" s="3390"/>
      <c r="D20" s="1219">
        <f>SUM(D17:D19)</f>
        <v>0</v>
      </c>
      <c r="E20" s="1219"/>
      <c r="F20" s="1220"/>
      <c r="G20" s="1217"/>
      <c r="H20" s="1224"/>
      <c r="I20" s="1225">
        <f>SUM(I17:I19)</f>
        <v>0</v>
      </c>
    </row>
    <row r="21" spans="1:9">
      <c r="A21" s="3388" t="s">
        <v>1077</v>
      </c>
      <c r="B21" s="3392"/>
      <c r="C21" s="3392"/>
      <c r="D21" s="3392"/>
      <c r="E21" s="3392"/>
      <c r="F21" s="3392"/>
      <c r="G21" s="3392"/>
      <c r="H21" s="1505">
        <v>0.1</v>
      </c>
      <c r="I21" s="1222">
        <f>ROUND(I10*H21,0)</f>
        <v>0</v>
      </c>
    </row>
    <row r="22" spans="1:9" ht="14.25">
      <c r="A22" s="3393" t="s">
        <v>1078</v>
      </c>
      <c r="B22" s="3394"/>
      <c r="C22" s="3395"/>
      <c r="D22" s="1229" t="s">
        <v>1079</v>
      </c>
      <c r="E22" s="1229" t="s">
        <v>1080</v>
      </c>
      <c r="F22" s="1230" t="s">
        <v>1081</v>
      </c>
      <c r="G22" s="1230" t="s">
        <v>1082</v>
      </c>
      <c r="H22" s="1223" t="s">
        <v>1083</v>
      </c>
      <c r="I22" s="1214" t="s">
        <v>1084</v>
      </c>
    </row>
    <row r="23" spans="1:9" ht="14.25" thickBot="1">
      <c r="A23" s="3396"/>
      <c r="B23" s="3397"/>
      <c r="C23" s="3398"/>
      <c r="D23" s="1231"/>
      <c r="E23" s="1231"/>
      <c r="F23" s="1231"/>
      <c r="G23" s="1232"/>
      <c r="H23" s="1233"/>
      <c r="I23" s="1234">
        <f>ROUND(E23*D23*F23*(1-G23)/10000,0)</f>
        <v>0</v>
      </c>
    </row>
    <row r="26" spans="1:9">
      <c r="A26" s="1235" t="s">
        <v>1085</v>
      </c>
      <c r="B26" s="1235"/>
      <c r="C26" s="1235"/>
      <c r="D26" s="1235"/>
      <c r="E26" s="3399">
        <f>C27-C30-C31-C32</f>
        <v>0</v>
      </c>
      <c r="F26" s="3399"/>
      <c r="G26" s="3399"/>
      <c r="H26" s="1502" t="s">
        <v>1306</v>
      </c>
    </row>
    <row r="27" spans="1:9">
      <c r="A27" s="1236">
        <v>1</v>
      </c>
      <c r="B27" s="1237" t="s">
        <v>1086</v>
      </c>
      <c r="C27" s="1237">
        <f>C28+C29</f>
        <v>0</v>
      </c>
      <c r="D27" s="1237"/>
      <c r="E27" s="3400"/>
      <c r="F27" s="3400"/>
      <c r="G27" s="3400"/>
    </row>
    <row r="28" spans="1:9">
      <c r="A28" s="1238" t="s">
        <v>1087</v>
      </c>
      <c r="B28" s="1237" t="s">
        <v>1088</v>
      </c>
      <c r="C28" s="1237"/>
      <c r="D28" s="1237"/>
      <c r="E28" s="3400"/>
      <c r="F28" s="3400"/>
      <c r="G28" s="3400"/>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91"/>
      <c r="F32" s="3391"/>
      <c r="G32" s="3391"/>
    </row>
    <row r="33" spans="1:7" hidden="1">
      <c r="A33" s="3401" t="s">
        <v>1097</v>
      </c>
      <c r="B33" s="3402"/>
      <c r="C33" s="3402"/>
      <c r="D33" s="3403"/>
      <c r="E33" s="3399"/>
      <c r="F33" s="3399"/>
      <c r="G33" s="3399"/>
    </row>
    <row r="34" spans="1:7" hidden="1">
      <c r="A34" s="1240">
        <v>1</v>
      </c>
      <c r="B34" s="1237" t="s">
        <v>1098</v>
      </c>
      <c r="C34" s="1237"/>
      <c r="D34" s="1237"/>
      <c r="E34" s="3400"/>
      <c r="F34" s="3400"/>
      <c r="G34" s="3400"/>
    </row>
    <row r="35" spans="1:7" hidden="1">
      <c r="A35" s="1240">
        <v>2</v>
      </c>
      <c r="B35" s="1237" t="s">
        <v>1099</v>
      </c>
      <c r="C35" s="1237"/>
      <c r="D35" s="1237"/>
      <c r="E35" s="3400"/>
      <c r="F35" s="3400"/>
      <c r="G35" s="3400"/>
    </row>
    <row r="36" spans="1:7" hidden="1">
      <c r="A36" s="1240">
        <v>3</v>
      </c>
      <c r="B36" s="1237" t="s">
        <v>1100</v>
      </c>
      <c r="C36" s="1237"/>
      <c r="D36" s="1237"/>
      <c r="E36" s="3400"/>
      <c r="F36" s="3400"/>
      <c r="G36" s="3400"/>
    </row>
    <row r="37" spans="1:7" hidden="1">
      <c r="A37" s="1240">
        <v>4</v>
      </c>
      <c r="B37" s="1237" t="s">
        <v>1101</v>
      </c>
      <c r="C37" s="1237"/>
      <c r="D37" s="1237"/>
      <c r="E37" s="3400"/>
      <c r="F37" s="3400"/>
      <c r="G37" s="3400"/>
    </row>
    <row r="38" spans="1:7" hidden="1">
      <c r="A38" s="3401" t="s">
        <v>1102</v>
      </c>
      <c r="B38" s="3402"/>
      <c r="C38" s="3402"/>
      <c r="D38" s="3403"/>
      <c r="E38" s="3399"/>
      <c r="F38" s="3399"/>
      <c r="G38" s="33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2355</v>
      </c>
      <c r="C1" s="1407" t="s">
        <v>2356</v>
      </c>
      <c r="D1" s="1394"/>
      <c r="E1" s="2546"/>
      <c r="F1" s="2067" t="s">
        <v>2357</v>
      </c>
      <c r="G1" s="1404" t="s">
        <v>2358</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2359</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2360</v>
      </c>
      <c r="D3" s="362">
        <f>IF(D1="",'数据-汇总表'!E3,SUMIF('数据-汇总表'!$C19:$C33,D1,'数据-汇总表'!$E19:$E33))</f>
        <v>143180.50000000003</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2361</v>
      </c>
      <c r="B4" s="365"/>
      <c r="C4" s="3345" t="s">
        <v>2362</v>
      </c>
      <c r="D4" s="3346"/>
      <c r="E4" s="3347" t="s">
        <v>2363</v>
      </c>
      <c r="F4" s="3348"/>
      <c r="G4" s="3345" t="s">
        <v>2364</v>
      </c>
      <c r="H4" s="3346"/>
      <c r="I4" s="3345" t="s">
        <v>2365</v>
      </c>
      <c r="J4" s="3346"/>
      <c r="K4" s="2077" t="s">
        <v>2366</v>
      </c>
      <c r="L4" s="2944"/>
      <c r="M4" s="2945"/>
      <c r="N4" s="2945"/>
      <c r="O4" s="2945"/>
      <c r="P4" s="3349" t="s">
        <v>2367</v>
      </c>
      <c r="Q4" s="3350"/>
      <c r="R4" s="3362" t="s">
        <v>2363</v>
      </c>
      <c r="S4" s="3363"/>
      <c r="T4" s="3362" t="s">
        <v>2364</v>
      </c>
      <c r="U4" s="3363"/>
      <c r="V4" s="3337" t="s">
        <v>2365</v>
      </c>
      <c r="W4" s="3337"/>
      <c r="X4" s="1542"/>
      <c r="Y4" s="3362" t="s">
        <v>2367</v>
      </c>
      <c r="Z4" s="3363"/>
      <c r="AA4" s="3342" t="s">
        <v>2363</v>
      </c>
      <c r="AB4" s="3342" t="s">
        <v>2364</v>
      </c>
      <c r="AC4" s="3342" t="s">
        <v>2365</v>
      </c>
    </row>
    <row r="5" spans="1:29" ht="15">
      <c r="A5" s="367"/>
      <c r="B5" s="368"/>
      <c r="C5" s="3370" t="s">
        <v>2368</v>
      </c>
      <c r="D5" s="3367"/>
      <c r="E5" s="3355" t="s">
        <v>2369</v>
      </c>
      <c r="F5" s="3356"/>
      <c r="G5" s="3370" t="s">
        <v>2370</v>
      </c>
      <c r="H5" s="3367"/>
      <c r="I5" s="3370" t="s">
        <v>2371</v>
      </c>
      <c r="J5" s="3367"/>
      <c r="K5" s="2078"/>
      <c r="L5" s="2944"/>
      <c r="M5" s="2945"/>
      <c r="N5" s="2945"/>
      <c r="O5" s="2945"/>
      <c r="P5" s="3351"/>
      <c r="Q5" s="3352"/>
      <c r="R5" s="3364"/>
      <c r="S5" s="3365"/>
      <c r="T5" s="3364"/>
      <c r="U5" s="3365"/>
      <c r="V5" s="3337"/>
      <c r="W5" s="3337"/>
      <c r="X5" s="1542"/>
      <c r="Y5" s="3364"/>
      <c r="Z5" s="3365"/>
      <c r="AA5" s="3343"/>
      <c r="AB5" s="3343"/>
      <c r="AC5" s="3343"/>
    </row>
    <row r="6" spans="1:29" ht="15.75" thickBot="1">
      <c r="A6" s="369"/>
      <c r="B6" s="370"/>
      <c r="C6" s="3404" t="s">
        <v>2372</v>
      </c>
      <c r="D6" s="3405"/>
      <c r="E6" s="3406" t="s">
        <v>2372</v>
      </c>
      <c r="F6" s="3407"/>
      <c r="G6" s="3404" t="s">
        <v>2372</v>
      </c>
      <c r="H6" s="3405"/>
      <c r="I6" s="3404" t="s">
        <v>2372</v>
      </c>
      <c r="J6" s="3405"/>
      <c r="K6" s="2078" t="s">
        <v>2373</v>
      </c>
      <c r="L6" s="2944"/>
      <c r="M6" s="2945"/>
      <c r="N6" s="2945"/>
      <c r="O6" s="2945"/>
      <c r="P6" s="3353"/>
      <c r="Q6" s="3354"/>
      <c r="R6" s="3364"/>
      <c r="S6" s="3365"/>
      <c r="T6" s="3374"/>
      <c r="U6" s="3375"/>
      <c r="V6" s="3337"/>
      <c r="W6" s="3337"/>
      <c r="X6" s="1542"/>
      <c r="Y6" s="3374"/>
      <c r="Z6" s="3375"/>
      <c r="AA6" s="3344"/>
      <c r="AB6" s="3344"/>
      <c r="AC6" s="3344"/>
    </row>
    <row r="7" spans="1:29" s="116" customFormat="1" ht="15.75" thickBot="1">
      <c r="A7" s="371" t="s">
        <v>2374</v>
      </c>
      <c r="B7" s="372"/>
      <c r="C7" s="373">
        <f>'数据-取费表'!B2</f>
        <v>44166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57" t="s">
        <v>2375</v>
      </c>
      <c r="Q7" s="3371"/>
      <c r="R7" s="713" t="s">
        <v>23</v>
      </c>
      <c r="S7" s="714">
        <f t="shared" ref="S7:S15" si="0">F7</f>
        <v>0</v>
      </c>
      <c r="T7" s="713" t="s">
        <v>23</v>
      </c>
      <c r="U7" s="714">
        <f t="shared" ref="U7:U15" si="1">H7</f>
        <v>0</v>
      </c>
      <c r="V7" s="713" t="s">
        <v>23</v>
      </c>
      <c r="W7" s="714">
        <f t="shared" ref="W7:W15" si="2">J7</f>
        <v>0</v>
      </c>
      <c r="X7" s="715"/>
      <c r="Y7" s="3357" t="s">
        <v>2375</v>
      </c>
      <c r="Z7" s="3358"/>
      <c r="AA7" s="716" t="e">
        <f>D7/F7</f>
        <v>#DIV/0!</v>
      </c>
      <c r="AB7" s="716" t="e">
        <f>D7/H7</f>
        <v>#DIV/0!</v>
      </c>
      <c r="AC7" s="716" t="e">
        <f>D7/J7</f>
        <v>#DIV/0!</v>
      </c>
    </row>
    <row r="8" spans="1:29" s="116" customFormat="1" ht="15.75" thickBot="1">
      <c r="A8" s="371" t="s">
        <v>2376</v>
      </c>
      <c r="B8" s="372"/>
      <c r="C8" s="377" t="s">
        <v>2377</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57" t="s">
        <v>2378</v>
      </c>
      <c r="Q8" s="3358"/>
      <c r="R8" s="713" t="s">
        <v>23</v>
      </c>
      <c r="S8" s="714">
        <f t="shared" si="0"/>
        <v>0</v>
      </c>
      <c r="T8" s="713" t="s">
        <v>23</v>
      </c>
      <c r="U8" s="714">
        <f t="shared" si="1"/>
        <v>0</v>
      </c>
      <c r="V8" s="713" t="s">
        <v>23</v>
      </c>
      <c r="W8" s="714">
        <f t="shared" si="2"/>
        <v>0</v>
      </c>
      <c r="X8" s="715"/>
      <c r="Y8" s="3357" t="s">
        <v>2378</v>
      </c>
      <c r="Z8" s="3358"/>
      <c r="AA8" s="716" t="e">
        <f t="shared" ref="AA8:AA19" si="3">D8/F8</f>
        <v>#DIV/0!</v>
      </c>
      <c r="AB8" s="716" t="e">
        <f t="shared" ref="AB8:AB19" si="4">D8/H8</f>
        <v>#DIV/0!</v>
      </c>
      <c r="AC8" s="716" t="e">
        <f t="shared" ref="AC8:AC19" si="5">D8/J8</f>
        <v>#DIV/0!</v>
      </c>
    </row>
    <row r="9" spans="1:29" s="116" customFormat="1">
      <c r="A9" s="378" t="s">
        <v>2379</v>
      </c>
      <c r="B9" s="71" t="s">
        <v>2380</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60"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60"/>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60"/>
      <c r="Q11" s="1530" t="str">
        <f t="shared" si="6"/>
        <v>容积率</v>
      </c>
      <c r="R11" s="713" t="s">
        <v>21</v>
      </c>
      <c r="S11" s="714" t="e">
        <f t="shared" si="0"/>
        <v>#N/A</v>
      </c>
      <c r="T11" s="713" t="s">
        <v>21</v>
      </c>
      <c r="U11" s="714" t="e">
        <f t="shared" si="1"/>
        <v>#N/A</v>
      </c>
      <c r="V11" s="713" t="s">
        <v>21</v>
      </c>
      <c r="W11" s="714" t="e">
        <f t="shared" si="2"/>
        <v>#N/A</v>
      </c>
      <c r="X11" s="715"/>
      <c r="Y11" s="3301"/>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60"/>
      <c r="Q12" s="1530">
        <f t="shared" si="6"/>
        <v>111</v>
      </c>
      <c r="R12" s="713" t="s">
        <v>21</v>
      </c>
      <c r="S12" s="714">
        <f t="shared" si="0"/>
        <v>100</v>
      </c>
      <c r="T12" s="713" t="s">
        <v>21</v>
      </c>
      <c r="U12" s="714">
        <f t="shared" si="1"/>
        <v>100</v>
      </c>
      <c r="V12" s="713" t="s">
        <v>21</v>
      </c>
      <c r="W12" s="714">
        <f t="shared" si="2"/>
        <v>100</v>
      </c>
      <c r="X12" s="715"/>
      <c r="Y12" s="3301"/>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60"/>
      <c r="Q13" s="1530">
        <f t="shared" si="6"/>
        <v>111</v>
      </c>
      <c r="R13" s="713" t="s">
        <v>21</v>
      </c>
      <c r="S13" s="714">
        <f t="shared" si="0"/>
        <v>100</v>
      </c>
      <c r="T13" s="713" t="s">
        <v>21</v>
      </c>
      <c r="U13" s="714">
        <f t="shared" si="1"/>
        <v>100</v>
      </c>
      <c r="V13" s="713" t="s">
        <v>21</v>
      </c>
      <c r="W13" s="714">
        <f t="shared" si="2"/>
        <v>100</v>
      </c>
      <c r="X13" s="715"/>
      <c r="Y13" s="3301"/>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60"/>
      <c r="Q14" s="1530">
        <f t="shared" si="6"/>
        <v>111</v>
      </c>
      <c r="R14" s="713" t="s">
        <v>21</v>
      </c>
      <c r="S14" s="714">
        <f t="shared" si="0"/>
        <v>100</v>
      </c>
      <c r="T14" s="713" t="s">
        <v>21</v>
      </c>
      <c r="U14" s="714">
        <f t="shared" si="1"/>
        <v>100</v>
      </c>
      <c r="V14" s="713" t="s">
        <v>21</v>
      </c>
      <c r="W14" s="714">
        <f t="shared" si="2"/>
        <v>100</v>
      </c>
      <c r="X14" s="715"/>
      <c r="Y14" s="3301"/>
      <c r="Z14" s="55">
        <f t="shared" si="7"/>
        <v>111</v>
      </c>
      <c r="AA14" s="716">
        <f t="shared" si="3"/>
        <v>1</v>
      </c>
      <c r="AB14" s="716">
        <f t="shared" si="4"/>
        <v>1</v>
      </c>
      <c r="AC14" s="716">
        <f t="shared" si="5"/>
        <v>1</v>
      </c>
    </row>
    <row r="15" spans="1:29" ht="99.75">
      <c r="A15" s="402" t="s">
        <v>2385</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14" t="s">
        <v>2386</v>
      </c>
      <c r="Q15" s="1539" t="str">
        <f t="shared" si="6"/>
        <v>居住社区成熟度</v>
      </c>
      <c r="R15" s="717" t="s">
        <v>21</v>
      </c>
      <c r="S15" s="718">
        <f t="shared" si="0"/>
        <v>100</v>
      </c>
      <c r="T15" s="717" t="s">
        <v>21</v>
      </c>
      <c r="U15" s="718">
        <f t="shared" si="1"/>
        <v>100</v>
      </c>
      <c r="V15" s="717" t="s">
        <v>21</v>
      </c>
      <c r="W15" s="718">
        <f t="shared" si="2"/>
        <v>100</v>
      </c>
      <c r="X15" s="1542"/>
      <c r="Y15" s="3338" t="s">
        <v>2386</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15"/>
      <c r="Q16" s="1539"/>
      <c r="R16" s="717"/>
      <c r="S16" s="718"/>
      <c r="T16" s="717"/>
      <c r="U16" s="718"/>
      <c r="V16" s="717"/>
      <c r="W16" s="718"/>
      <c r="X16" s="1542"/>
      <c r="Y16" s="3339"/>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15"/>
      <c r="Q17" s="1539" t="str">
        <f>B17</f>
        <v>交通便捷度</v>
      </c>
      <c r="R17" s="717" t="s">
        <v>21</v>
      </c>
      <c r="S17" s="718">
        <f>F17</f>
        <v>100</v>
      </c>
      <c r="T17" s="717" t="s">
        <v>21</v>
      </c>
      <c r="U17" s="718">
        <f>H17</f>
        <v>100</v>
      </c>
      <c r="V17" s="717" t="s">
        <v>21</v>
      </c>
      <c r="W17" s="718">
        <f>J17</f>
        <v>100</v>
      </c>
      <c r="X17" s="1542"/>
      <c r="Y17" s="3339"/>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15"/>
      <c r="Q18" s="1539"/>
      <c r="R18" s="717"/>
      <c r="S18" s="718"/>
      <c r="T18" s="717"/>
      <c r="U18" s="718"/>
      <c r="V18" s="717"/>
      <c r="W18" s="718"/>
      <c r="X18" s="1542"/>
      <c r="Y18" s="3339"/>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15"/>
      <c r="Q19" s="1539" t="str">
        <f>B19</f>
        <v>公共配套设施</v>
      </c>
      <c r="R19" s="717" t="s">
        <v>21</v>
      </c>
      <c r="S19" s="718">
        <f>F19</f>
        <v>100</v>
      </c>
      <c r="T19" s="717" t="s">
        <v>21</v>
      </c>
      <c r="U19" s="718">
        <f>H19</f>
        <v>100</v>
      </c>
      <c r="V19" s="717" t="s">
        <v>21</v>
      </c>
      <c r="W19" s="718">
        <f>J19</f>
        <v>100</v>
      </c>
      <c r="X19" s="1542"/>
      <c r="Y19" s="3339"/>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15"/>
      <c r="Q20" s="1539"/>
      <c r="R20" s="717"/>
      <c r="S20" s="718"/>
      <c r="T20" s="717"/>
      <c r="U20" s="718"/>
      <c r="V20" s="717"/>
      <c r="W20" s="718"/>
      <c r="X20" s="1542"/>
      <c r="Y20" s="3339"/>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15"/>
      <c r="Q21" s="1539" t="str">
        <f>B21</f>
        <v>基础设施水平</v>
      </c>
      <c r="R21" s="717" t="s">
        <v>17</v>
      </c>
      <c r="S21" s="718">
        <f>F21</f>
        <v>100</v>
      </c>
      <c r="T21" s="717" t="s">
        <v>17</v>
      </c>
      <c r="U21" s="718">
        <f>H21</f>
        <v>100</v>
      </c>
      <c r="V21" s="717" t="s">
        <v>17</v>
      </c>
      <c r="W21" s="718">
        <f>J21</f>
        <v>100</v>
      </c>
      <c r="X21" s="1542"/>
      <c r="Y21" s="3339"/>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15"/>
      <c r="Q22" s="1539"/>
      <c r="R22" s="717"/>
      <c r="S22" s="718"/>
      <c r="T22" s="717"/>
      <c r="U22" s="718"/>
      <c r="V22" s="717"/>
      <c r="W22" s="718"/>
      <c r="X22" s="1542"/>
      <c r="Y22" s="3339"/>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15"/>
      <c r="Q23" s="1539" t="str">
        <f>B23</f>
        <v>自然及人文环境</v>
      </c>
      <c r="R23" s="717" t="s">
        <v>21</v>
      </c>
      <c r="S23" s="718">
        <f>F23</f>
        <v>100</v>
      </c>
      <c r="T23" s="717" t="s">
        <v>21</v>
      </c>
      <c r="U23" s="718">
        <f>H23</f>
        <v>100</v>
      </c>
      <c r="V23" s="717" t="s">
        <v>21</v>
      </c>
      <c r="W23" s="718">
        <f>J23</f>
        <v>100</v>
      </c>
      <c r="X23" s="1542"/>
      <c r="Y23" s="3339"/>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15"/>
      <c r="Q24" s="1539"/>
      <c r="R24" s="717"/>
      <c r="S24" s="718"/>
      <c r="T24" s="717"/>
      <c r="U24" s="718"/>
      <c r="V24" s="717"/>
      <c r="W24" s="718"/>
      <c r="X24" s="1542"/>
      <c r="Y24" s="3339"/>
      <c r="Z24" s="1543"/>
      <c r="AA24" s="1540">
        <v>1</v>
      </c>
      <c r="AB24" s="1540">
        <v>1</v>
      </c>
      <c r="AC24" s="1540">
        <v>1</v>
      </c>
    </row>
    <row r="25" spans="1:29" ht="15">
      <c r="A25" s="390"/>
      <c r="B25" s="384" t="s">
        <v>2387</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15"/>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39"/>
      <c r="Z25" s="1543" t="str">
        <f>Q25</f>
        <v>楼层-1</v>
      </c>
      <c r="AA25" s="1540">
        <f t="shared" ref="AA25:AA46" si="15">D25/F25</f>
        <v>1</v>
      </c>
      <c r="AB25" s="1540">
        <f t="shared" ref="AB25:AB46" si="16">D25/H25</f>
        <v>1</v>
      </c>
      <c r="AC25" s="1540">
        <f t="shared" ref="AC25:AC46" si="17">D25/J25</f>
        <v>1</v>
      </c>
    </row>
    <row r="26" spans="1:29" ht="15">
      <c r="A26" s="390"/>
      <c r="B26" s="384" t="s">
        <v>2388</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15"/>
      <c r="Q26" s="1539" t="str">
        <f t="shared" si="11"/>
        <v>朝向</v>
      </c>
      <c r="R26" s="717" t="s">
        <v>21</v>
      </c>
      <c r="S26" s="718">
        <f t="shared" si="12"/>
        <v>100</v>
      </c>
      <c r="T26" s="717" t="s">
        <v>21</v>
      </c>
      <c r="U26" s="718">
        <f t="shared" si="13"/>
        <v>100</v>
      </c>
      <c r="V26" s="717" t="s">
        <v>21</v>
      </c>
      <c r="W26" s="718">
        <f t="shared" si="14"/>
        <v>100</v>
      </c>
      <c r="X26" s="1542"/>
      <c r="Y26" s="3339"/>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15"/>
      <c r="Q27" s="1530">
        <f t="shared" si="11"/>
        <v>111</v>
      </c>
      <c r="R27" s="713" t="s">
        <v>21</v>
      </c>
      <c r="S27" s="714">
        <f t="shared" si="12"/>
        <v>100</v>
      </c>
      <c r="T27" s="713" t="s">
        <v>21</v>
      </c>
      <c r="U27" s="714">
        <f t="shared" si="13"/>
        <v>100</v>
      </c>
      <c r="V27" s="713" t="s">
        <v>21</v>
      </c>
      <c r="W27" s="714">
        <f t="shared" si="14"/>
        <v>100</v>
      </c>
      <c r="X27" s="715"/>
      <c r="Y27" s="3339"/>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15"/>
      <c r="Q28" s="1539">
        <f t="shared" si="11"/>
        <v>111</v>
      </c>
      <c r="R28" s="717" t="s">
        <v>21</v>
      </c>
      <c r="S28" s="718">
        <f t="shared" si="12"/>
        <v>100</v>
      </c>
      <c r="T28" s="717" t="s">
        <v>21</v>
      </c>
      <c r="U28" s="718">
        <f t="shared" si="13"/>
        <v>100</v>
      </c>
      <c r="V28" s="717" t="s">
        <v>21</v>
      </c>
      <c r="W28" s="718">
        <f t="shared" si="14"/>
        <v>100</v>
      </c>
      <c r="X28" s="1542"/>
      <c r="Y28" s="3339"/>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15"/>
      <c r="Q29" s="1539">
        <f t="shared" si="11"/>
        <v>111</v>
      </c>
      <c r="R29" s="717" t="s">
        <v>21</v>
      </c>
      <c r="S29" s="718">
        <f t="shared" si="12"/>
        <v>100</v>
      </c>
      <c r="T29" s="717" t="s">
        <v>21</v>
      </c>
      <c r="U29" s="718">
        <f t="shared" si="13"/>
        <v>100</v>
      </c>
      <c r="V29" s="717" t="s">
        <v>21</v>
      </c>
      <c r="W29" s="718">
        <f t="shared" si="14"/>
        <v>100</v>
      </c>
      <c r="X29" s="1542"/>
      <c r="Y29" s="3339"/>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15"/>
      <c r="Q30" s="1539">
        <f t="shared" si="11"/>
        <v>111</v>
      </c>
      <c r="R30" s="717" t="s">
        <v>21</v>
      </c>
      <c r="S30" s="718">
        <f t="shared" si="12"/>
        <v>100</v>
      </c>
      <c r="T30" s="717" t="s">
        <v>21</v>
      </c>
      <c r="U30" s="718">
        <f t="shared" si="13"/>
        <v>100</v>
      </c>
      <c r="V30" s="717" t="s">
        <v>21</v>
      </c>
      <c r="W30" s="718">
        <f t="shared" si="14"/>
        <v>100</v>
      </c>
      <c r="X30" s="1542"/>
      <c r="Y30" s="3339"/>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15"/>
      <c r="Q31" s="1539">
        <f t="shared" si="11"/>
        <v>111</v>
      </c>
      <c r="R31" s="717" t="s">
        <v>21</v>
      </c>
      <c r="S31" s="718">
        <f t="shared" si="12"/>
        <v>100</v>
      </c>
      <c r="T31" s="717" t="s">
        <v>21</v>
      </c>
      <c r="U31" s="718">
        <f t="shared" si="13"/>
        <v>100</v>
      </c>
      <c r="V31" s="717" t="s">
        <v>21</v>
      </c>
      <c r="W31" s="718">
        <f t="shared" si="14"/>
        <v>100</v>
      </c>
      <c r="X31" s="1542"/>
      <c r="Y31" s="3339"/>
      <c r="Z31" s="1543">
        <f t="shared" si="18"/>
        <v>111</v>
      </c>
      <c r="AA31" s="1540">
        <f t="shared" si="15"/>
        <v>1</v>
      </c>
      <c r="AB31" s="1540">
        <f t="shared" si="16"/>
        <v>1</v>
      </c>
      <c r="AC31" s="1540">
        <f t="shared" si="17"/>
        <v>1</v>
      </c>
    </row>
    <row r="32" spans="1:29" ht="15">
      <c r="A32" s="402" t="s">
        <v>2389</v>
      </c>
      <c r="B32" s="71" t="s">
        <v>2390</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10" t="s">
        <v>2391</v>
      </c>
      <c r="Q32" s="1539" t="str">
        <f t="shared" si="11"/>
        <v>建筑类型</v>
      </c>
      <c r="R32" s="717" t="s">
        <v>21</v>
      </c>
      <c r="S32" s="718">
        <f t="shared" si="12"/>
        <v>100</v>
      </c>
      <c r="T32" s="717" t="s">
        <v>21</v>
      </c>
      <c r="U32" s="718">
        <f t="shared" si="13"/>
        <v>100</v>
      </c>
      <c r="V32" s="717" t="s">
        <v>21</v>
      </c>
      <c r="W32" s="718">
        <f t="shared" si="14"/>
        <v>100</v>
      </c>
      <c r="X32" s="1542"/>
      <c r="Y32" s="3341" t="s">
        <v>2391</v>
      </c>
      <c r="Z32" s="1543" t="str">
        <f t="shared" si="18"/>
        <v>建筑类型</v>
      </c>
      <c r="AA32" s="1540">
        <f t="shared" si="15"/>
        <v>1</v>
      </c>
      <c r="AB32" s="1540">
        <f t="shared" si="16"/>
        <v>1</v>
      </c>
      <c r="AC32" s="1540">
        <f t="shared" si="17"/>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11"/>
      <c r="Q33" s="719" t="str">
        <f t="shared" si="11"/>
        <v>项目建筑规模</v>
      </c>
      <c r="R33" s="720" t="s">
        <v>21</v>
      </c>
      <c r="S33" s="721" t="e">
        <f t="shared" si="12"/>
        <v>#N/A</v>
      </c>
      <c r="T33" s="720" t="s">
        <v>21</v>
      </c>
      <c r="U33" s="721" t="e">
        <f t="shared" si="13"/>
        <v>#N/A</v>
      </c>
      <c r="V33" s="720" t="s">
        <v>21</v>
      </c>
      <c r="W33" s="721" t="e">
        <f t="shared" si="14"/>
        <v>#N/A</v>
      </c>
      <c r="X33" s="722"/>
      <c r="Y33" s="3341"/>
      <c r="Z33" s="723" t="str">
        <f t="shared" si="18"/>
        <v>项目建筑规模</v>
      </c>
      <c r="AA33" s="1540" t="e">
        <f t="shared" si="15"/>
        <v>#N/A</v>
      </c>
      <c r="AB33" s="1540" t="e">
        <f t="shared" si="16"/>
        <v>#N/A</v>
      </c>
      <c r="AC33" s="1540" t="e">
        <f t="shared" si="17"/>
        <v>#N/A</v>
      </c>
    </row>
    <row r="34" spans="1:29" ht="15">
      <c r="A34" s="434"/>
      <c r="B34" s="384" t="s">
        <v>2393</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11"/>
      <c r="Q34" s="1539" t="str">
        <f t="shared" si="11"/>
        <v>建筑结构</v>
      </c>
      <c r="R34" s="717" t="s">
        <v>21</v>
      </c>
      <c r="S34" s="718">
        <f t="shared" si="12"/>
        <v>100</v>
      </c>
      <c r="T34" s="717" t="s">
        <v>21</v>
      </c>
      <c r="U34" s="718">
        <f t="shared" si="13"/>
        <v>100</v>
      </c>
      <c r="V34" s="717" t="s">
        <v>21</v>
      </c>
      <c r="W34" s="718">
        <f t="shared" si="14"/>
        <v>100</v>
      </c>
      <c r="X34" s="1542"/>
      <c r="Y34" s="3341"/>
      <c r="Z34" s="1543" t="str">
        <f t="shared" si="18"/>
        <v>建筑结构</v>
      </c>
      <c r="AA34" s="1540">
        <f t="shared" si="15"/>
        <v>1</v>
      </c>
      <c r="AB34" s="1540">
        <f t="shared" si="16"/>
        <v>1</v>
      </c>
      <c r="AC34" s="1540">
        <f t="shared" si="17"/>
        <v>1</v>
      </c>
    </row>
    <row r="35" spans="1:29" ht="15">
      <c r="A35" s="434"/>
      <c r="B35" s="384" t="s">
        <v>2394</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11"/>
      <c r="Q35" s="1539" t="str">
        <f t="shared" si="11"/>
        <v>建筑品质</v>
      </c>
      <c r="R35" s="717" t="s">
        <v>21</v>
      </c>
      <c r="S35" s="718">
        <f t="shared" si="12"/>
        <v>100</v>
      </c>
      <c r="T35" s="717" t="s">
        <v>21</v>
      </c>
      <c r="U35" s="718">
        <f t="shared" si="13"/>
        <v>100</v>
      </c>
      <c r="V35" s="717" t="s">
        <v>21</v>
      </c>
      <c r="W35" s="718">
        <f t="shared" si="14"/>
        <v>100</v>
      </c>
      <c r="X35" s="1542"/>
      <c r="Y35" s="3341"/>
      <c r="Z35" s="1543" t="str">
        <f t="shared" si="18"/>
        <v>建筑品质</v>
      </c>
      <c r="AA35" s="1540">
        <f t="shared" si="15"/>
        <v>1</v>
      </c>
      <c r="AB35" s="1540">
        <f t="shared" si="16"/>
        <v>1</v>
      </c>
      <c r="AC35" s="1540">
        <f t="shared" si="17"/>
        <v>1</v>
      </c>
    </row>
    <row r="36" spans="1:29" ht="15">
      <c r="A36" s="434"/>
      <c r="B36" s="384" t="s">
        <v>2395</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11"/>
      <c r="Q36" s="1539" t="str">
        <f t="shared" si="11"/>
        <v>公共部分装修</v>
      </c>
      <c r="R36" s="717" t="s">
        <v>21</v>
      </c>
      <c r="S36" s="718">
        <f t="shared" si="12"/>
        <v>100</v>
      </c>
      <c r="T36" s="717" t="s">
        <v>21</v>
      </c>
      <c r="U36" s="718">
        <f t="shared" si="13"/>
        <v>100</v>
      </c>
      <c r="V36" s="717" t="s">
        <v>21</v>
      </c>
      <c r="W36" s="718">
        <f t="shared" si="14"/>
        <v>100</v>
      </c>
      <c r="X36" s="1542"/>
      <c r="Y36" s="3341"/>
      <c r="Z36" s="1543" t="str">
        <f t="shared" si="18"/>
        <v>公共部分装修</v>
      </c>
      <c r="AA36" s="1540">
        <f t="shared" si="15"/>
        <v>1</v>
      </c>
      <c r="AB36" s="1540">
        <f t="shared" si="16"/>
        <v>1</v>
      </c>
      <c r="AC36" s="1540">
        <f t="shared" si="17"/>
        <v>1</v>
      </c>
    </row>
    <row r="37" spans="1:29" s="116" customFormat="1" ht="15">
      <c r="A37" s="435"/>
      <c r="B37" s="384" t="s">
        <v>2396</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11"/>
      <c r="Q37" s="1530" t="str">
        <f t="shared" si="11"/>
        <v>成新度</v>
      </c>
      <c r="R37" s="713" t="s">
        <v>21</v>
      </c>
      <c r="S37" s="714" t="e">
        <f t="shared" si="12"/>
        <v>#N/A</v>
      </c>
      <c r="T37" s="713" t="s">
        <v>21</v>
      </c>
      <c r="U37" s="714" t="e">
        <f t="shared" si="13"/>
        <v>#N/A</v>
      </c>
      <c r="V37" s="713" t="s">
        <v>21</v>
      </c>
      <c r="W37" s="714" t="e">
        <f t="shared" si="14"/>
        <v>#N/A</v>
      </c>
      <c r="X37" s="715"/>
      <c r="Y37" s="3341"/>
      <c r="Z37" s="55" t="str">
        <f t="shared" si="18"/>
        <v>成新度</v>
      </c>
      <c r="AA37" s="716" t="e">
        <f t="shared" si="15"/>
        <v>#N/A</v>
      </c>
      <c r="AB37" s="716" t="e">
        <f t="shared" si="16"/>
        <v>#N/A</v>
      </c>
      <c r="AC37" s="716" t="e">
        <f t="shared" si="17"/>
        <v>#N/A</v>
      </c>
    </row>
    <row r="38" spans="1:29" ht="15">
      <c r="A38" s="434"/>
      <c r="B38" s="384" t="s">
        <v>2397</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11" t="s">
        <v>2391</v>
      </c>
      <c r="Q38" s="1539" t="str">
        <f t="shared" si="11"/>
        <v>物业管理</v>
      </c>
      <c r="R38" s="717" t="s">
        <v>21</v>
      </c>
      <c r="S38" s="718">
        <f t="shared" si="12"/>
        <v>100</v>
      </c>
      <c r="T38" s="717" t="s">
        <v>21</v>
      </c>
      <c r="U38" s="718">
        <f t="shared" si="13"/>
        <v>100</v>
      </c>
      <c r="V38" s="717" t="s">
        <v>21</v>
      </c>
      <c r="W38" s="718">
        <f t="shared" si="14"/>
        <v>100</v>
      </c>
      <c r="X38" s="1542"/>
      <c r="Y38" s="3341" t="s">
        <v>2391</v>
      </c>
      <c r="Z38" s="1543" t="str">
        <f t="shared" si="18"/>
        <v>物业管理</v>
      </c>
      <c r="AA38" s="1540">
        <f t="shared" si="15"/>
        <v>1</v>
      </c>
      <c r="AB38" s="1540">
        <f t="shared" si="16"/>
        <v>1</v>
      </c>
      <c r="AC38" s="1540">
        <f t="shared" si="17"/>
        <v>1</v>
      </c>
    </row>
    <row r="39" spans="1:29" ht="15">
      <c r="A39" s="434"/>
      <c r="B39" s="384" t="s">
        <v>2398</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11"/>
      <c r="Q39" s="1539" t="str">
        <f t="shared" si="11"/>
        <v>市政基础设施</v>
      </c>
      <c r="R39" s="717" t="s">
        <v>21</v>
      </c>
      <c r="S39" s="718">
        <f t="shared" si="12"/>
        <v>100</v>
      </c>
      <c r="T39" s="717" t="s">
        <v>21</v>
      </c>
      <c r="U39" s="718">
        <f t="shared" si="13"/>
        <v>100</v>
      </c>
      <c r="V39" s="717" t="s">
        <v>21</v>
      </c>
      <c r="W39" s="718">
        <f t="shared" si="14"/>
        <v>100</v>
      </c>
      <c r="X39" s="1542"/>
      <c r="Y39" s="3341"/>
      <c r="Z39" s="1543" t="str">
        <f t="shared" si="18"/>
        <v>市政基础设施</v>
      </c>
      <c r="AA39" s="1540">
        <f t="shared" si="15"/>
        <v>1</v>
      </c>
      <c r="AB39" s="1540">
        <f t="shared" si="16"/>
        <v>1</v>
      </c>
      <c r="AC39" s="1540">
        <f t="shared" si="17"/>
        <v>1</v>
      </c>
    </row>
    <row r="40" spans="1:29" ht="15">
      <c r="A40" s="434"/>
      <c r="B40" s="384" t="s">
        <v>2399</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11"/>
      <c r="Q40" s="1539" t="str">
        <f t="shared" si="11"/>
        <v>房型</v>
      </c>
      <c r="R40" s="717" t="s">
        <v>21</v>
      </c>
      <c r="S40" s="718">
        <f t="shared" si="12"/>
        <v>100</v>
      </c>
      <c r="T40" s="717" t="s">
        <v>21</v>
      </c>
      <c r="U40" s="718">
        <f t="shared" si="13"/>
        <v>100</v>
      </c>
      <c r="V40" s="717" t="s">
        <v>21</v>
      </c>
      <c r="W40" s="718">
        <f t="shared" si="14"/>
        <v>100</v>
      </c>
      <c r="X40" s="1542"/>
      <c r="Y40" s="3341"/>
      <c r="Z40" s="1543" t="str">
        <f t="shared" si="18"/>
        <v>房型</v>
      </c>
      <c r="AA40" s="1540">
        <f t="shared" si="15"/>
        <v>1</v>
      </c>
      <c r="AB40" s="1540">
        <f t="shared" si="16"/>
        <v>1</v>
      </c>
      <c r="AC40" s="1540">
        <f t="shared" si="17"/>
        <v>1</v>
      </c>
    </row>
    <row r="41" spans="1:29" s="433" customFormat="1" ht="28.5">
      <c r="A41" s="430"/>
      <c r="B41" s="384" t="s">
        <v>2400</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11"/>
      <c r="Q41" s="719" t="str">
        <f t="shared" si="11"/>
        <v>单套/主力户型建筑面积</v>
      </c>
      <c r="R41" s="720" t="s">
        <v>21</v>
      </c>
      <c r="S41" s="721">
        <f t="shared" si="12"/>
        <v>100</v>
      </c>
      <c r="T41" s="720" t="s">
        <v>21</v>
      </c>
      <c r="U41" s="721">
        <f t="shared" si="13"/>
        <v>100</v>
      </c>
      <c r="V41" s="720" t="s">
        <v>21</v>
      </c>
      <c r="W41" s="721">
        <f t="shared" si="14"/>
        <v>100</v>
      </c>
      <c r="X41" s="722"/>
      <c r="Y41" s="3341"/>
      <c r="Z41" s="723" t="str">
        <f t="shared" si="18"/>
        <v>单套/主力户型建筑面积</v>
      </c>
      <c r="AA41" s="1540">
        <f t="shared" si="15"/>
        <v>1</v>
      </c>
      <c r="AB41" s="1540">
        <f t="shared" si="16"/>
        <v>1</v>
      </c>
      <c r="AC41" s="1540">
        <f t="shared" si="17"/>
        <v>1</v>
      </c>
    </row>
    <row r="42" spans="1:29" ht="15">
      <c r="A42" s="434"/>
      <c r="B42" s="384" t="s">
        <v>2401</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11"/>
      <c r="Q42" s="1539" t="str">
        <f t="shared" si="11"/>
        <v>内部装修</v>
      </c>
      <c r="R42" s="717" t="s">
        <v>21</v>
      </c>
      <c r="S42" s="718">
        <f t="shared" si="12"/>
        <v>100</v>
      </c>
      <c r="T42" s="717" t="s">
        <v>21</v>
      </c>
      <c r="U42" s="718">
        <f t="shared" si="13"/>
        <v>100</v>
      </c>
      <c r="V42" s="717" t="s">
        <v>21</v>
      </c>
      <c r="W42" s="718">
        <f t="shared" si="14"/>
        <v>100</v>
      </c>
      <c r="X42" s="1542"/>
      <c r="Y42" s="3341"/>
      <c r="Z42" s="1543" t="str">
        <f t="shared" si="18"/>
        <v>内部装修</v>
      </c>
      <c r="AA42" s="1540">
        <f t="shared" si="15"/>
        <v>1</v>
      </c>
      <c r="AB42" s="1540">
        <f t="shared" si="16"/>
        <v>1</v>
      </c>
      <c r="AC42" s="1540">
        <f t="shared" si="17"/>
        <v>1</v>
      </c>
    </row>
    <row r="43" spans="1:29" ht="15">
      <c r="A43" s="434"/>
      <c r="B43" s="384" t="s">
        <v>2402</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11"/>
      <c r="Q43" s="1539" t="str">
        <f t="shared" si="11"/>
        <v>内部装修维护情况</v>
      </c>
      <c r="R43" s="717" t="s">
        <v>21</v>
      </c>
      <c r="S43" s="718">
        <f t="shared" si="12"/>
        <v>100</v>
      </c>
      <c r="T43" s="717" t="s">
        <v>21</v>
      </c>
      <c r="U43" s="718">
        <f t="shared" si="13"/>
        <v>100</v>
      </c>
      <c r="V43" s="717" t="s">
        <v>21</v>
      </c>
      <c r="W43" s="718">
        <f t="shared" si="14"/>
        <v>100</v>
      </c>
      <c r="X43" s="1542"/>
      <c r="Y43" s="3341"/>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11"/>
      <c r="Q44" s="1530">
        <f t="shared" si="11"/>
        <v>111</v>
      </c>
      <c r="R44" s="713" t="s">
        <v>21</v>
      </c>
      <c r="S44" s="714">
        <f t="shared" si="12"/>
        <v>100</v>
      </c>
      <c r="T44" s="713" t="s">
        <v>21</v>
      </c>
      <c r="U44" s="714">
        <f t="shared" si="13"/>
        <v>100</v>
      </c>
      <c r="V44" s="713" t="s">
        <v>21</v>
      </c>
      <c r="W44" s="714">
        <f t="shared" si="14"/>
        <v>100</v>
      </c>
      <c r="X44" s="715"/>
      <c r="Y44" s="3341"/>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11"/>
      <c r="Q45" s="1539">
        <f t="shared" si="11"/>
        <v>111</v>
      </c>
      <c r="R45" s="717" t="s">
        <v>21</v>
      </c>
      <c r="S45" s="718">
        <f t="shared" si="12"/>
        <v>100</v>
      </c>
      <c r="T45" s="717" t="s">
        <v>21</v>
      </c>
      <c r="U45" s="718">
        <f t="shared" si="13"/>
        <v>100</v>
      </c>
      <c r="V45" s="717" t="s">
        <v>21</v>
      </c>
      <c r="W45" s="718">
        <f t="shared" si="14"/>
        <v>100</v>
      </c>
      <c r="X45" s="1542"/>
      <c r="Y45" s="3341"/>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12"/>
      <c r="Q46" s="1539">
        <f t="shared" si="11"/>
        <v>111</v>
      </c>
      <c r="R46" s="717" t="s">
        <v>20</v>
      </c>
      <c r="S46" s="718">
        <f t="shared" si="12"/>
        <v>100</v>
      </c>
      <c r="T46" s="717" t="s">
        <v>20</v>
      </c>
      <c r="U46" s="718">
        <f t="shared" si="13"/>
        <v>100</v>
      </c>
      <c r="V46" s="717" t="s">
        <v>20</v>
      </c>
      <c r="W46" s="718">
        <f t="shared" si="14"/>
        <v>100</v>
      </c>
      <c r="X46" s="1542"/>
      <c r="Y46" s="3413"/>
      <c r="Z46" s="1543">
        <f t="shared" si="18"/>
        <v>111</v>
      </c>
      <c r="AA46" s="1540">
        <f t="shared" si="15"/>
        <v>1</v>
      </c>
      <c r="AB46" s="1540">
        <f t="shared" si="16"/>
        <v>1</v>
      </c>
      <c r="AC46" s="1540">
        <f t="shared" si="17"/>
        <v>1</v>
      </c>
    </row>
    <row r="47" spans="1:29" ht="15">
      <c r="A47" s="441" t="s">
        <v>2403</v>
      </c>
      <c r="B47" s="442"/>
      <c r="C47" s="1318" t="s">
        <v>19</v>
      </c>
      <c r="D47" s="1319"/>
      <c r="E47" s="1320"/>
      <c r="F47" s="1321"/>
      <c r="G47" s="1322"/>
      <c r="H47" s="1323"/>
      <c r="I47" s="1320"/>
      <c r="J47" s="1323"/>
      <c r="K47" s="2102"/>
      <c r="L47" s="2953"/>
      <c r="M47" s="2954"/>
      <c r="N47" s="2945"/>
      <c r="O47" s="2954"/>
      <c r="P47" s="3335" t="str">
        <f>A47</f>
        <v>成交单价（元/平方米）</v>
      </c>
      <c r="Q47" s="3335"/>
      <c r="R47" s="3409">
        <f>E47</f>
        <v>0</v>
      </c>
      <c r="S47" s="3409"/>
      <c r="T47" s="3409">
        <f>G47</f>
        <v>0</v>
      </c>
      <c r="U47" s="3409"/>
      <c r="V47" s="3409">
        <f>I47</f>
        <v>0</v>
      </c>
      <c r="W47" s="3409"/>
      <c r="X47" s="702"/>
      <c r="Y47" s="724"/>
      <c r="Z47" s="702"/>
      <c r="AA47" s="702"/>
      <c r="AB47" s="702"/>
      <c r="AC47" s="702"/>
    </row>
    <row r="48" spans="1:29" ht="15.75" thickBot="1">
      <c r="A48" s="448" t="s">
        <v>2404</v>
      </c>
      <c r="B48" s="449"/>
      <c r="C48" s="1324" t="e">
        <f>R49</f>
        <v>#DIV/0!</v>
      </c>
      <c r="D48" s="2540" t="s">
        <v>2888</v>
      </c>
      <c r="E48" s="1325" t="e">
        <f>R48</f>
        <v>#DIV/0!</v>
      </c>
      <c r="F48" s="2541"/>
      <c r="G48" s="1324" t="e">
        <f>T48</f>
        <v>#DIV/0!</v>
      </c>
      <c r="H48" s="2541"/>
      <c r="I48" s="1325" t="e">
        <f>V48</f>
        <v>#DIV/0!</v>
      </c>
      <c r="J48" s="2541"/>
      <c r="K48" s="2542">
        <f>F48+H48+J48</f>
        <v>0</v>
      </c>
      <c r="L48" s="2953"/>
      <c r="M48" s="2954"/>
      <c r="N48" s="2954"/>
      <c r="O48" s="2954"/>
      <c r="P48" s="3335" t="str">
        <f>A48</f>
        <v>比较价值（元/平方米）</v>
      </c>
      <c r="Q48" s="3335"/>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02"/>
      <c r="Y48" s="702"/>
      <c r="Z48" s="702"/>
      <c r="AA48" s="702"/>
      <c r="AB48" s="702"/>
      <c r="AC48" s="702"/>
    </row>
    <row r="49" spans="1:29" ht="15.75" thickBot="1">
      <c r="A49" s="452" t="s">
        <v>2405</v>
      </c>
      <c r="B49" s="453"/>
      <c r="C49" s="1326" t="e">
        <f>R49</f>
        <v>#DIV/0!</v>
      </c>
      <c r="D49" s="1327"/>
      <c r="E49" s="1327"/>
      <c r="F49" s="1327"/>
      <c r="G49" s="1327"/>
      <c r="H49" s="1327"/>
      <c r="I49" s="1327"/>
      <c r="J49" s="1327"/>
      <c r="K49" s="2103"/>
      <c r="L49" s="2953"/>
      <c r="M49" s="2954"/>
      <c r="N49" s="2954"/>
      <c r="O49" s="2954"/>
      <c r="P49" s="3332" t="str">
        <f>A49</f>
        <v>估价对象XX用房的比较价值（楼面单价，元/平方米）</v>
      </c>
      <c r="Q49" s="3333"/>
      <c r="R49" s="3408" t="e">
        <f>IF(F1="售价",ROUND(IF(D48="简单平均",AVERAGE(R48:V48),R48*F48+T48*H48+V48*J48),0),ROUND(IF(D48="简单平均",AVERAGE(R48:V48),R48*F48+T48*H48+V48*J48),1))</f>
        <v>#DIV/0!</v>
      </c>
      <c r="S49" s="3408"/>
      <c r="T49" s="3408"/>
      <c r="U49" s="3408"/>
      <c r="V49" s="3408"/>
      <c r="W49" s="3408"/>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2406</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2407</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2408</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2409</v>
      </c>
      <c r="B57" s="702"/>
      <c r="C57" s="707"/>
      <c r="D57" s="707"/>
      <c r="E57" s="707"/>
      <c r="F57" s="708"/>
      <c r="G57" s="708"/>
      <c r="H57" s="707"/>
      <c r="I57" s="707"/>
      <c r="J57" s="707"/>
      <c r="K57" s="1074"/>
      <c r="L57" s="1075"/>
      <c r="M57" s="1073"/>
      <c r="N57" s="1073"/>
      <c r="O57" s="1073"/>
      <c r="P57" s="2106"/>
      <c r="Q57" s="464"/>
    </row>
    <row r="58" spans="1:29" s="468" customFormat="1" ht="15">
      <c r="A58" s="465" t="s">
        <v>2410</v>
      </c>
      <c r="B58" s="466"/>
      <c r="C58" s="1349" t="str">
        <f>YEAR(C7)&amp;"-"&amp;MONTH(C7)</f>
        <v>2020-12</v>
      </c>
      <c r="D58" s="1348">
        <f>EDATE(C58,-1)</f>
        <v>44136</v>
      </c>
      <c r="E58" s="1348">
        <f>EDATE(D58,-1)</f>
        <v>44105</v>
      </c>
      <c r="F58" s="1348">
        <f t="shared" ref="F58:O58" si="19">EDATE(E58,-1)</f>
        <v>44075</v>
      </c>
      <c r="G58" s="1348">
        <f t="shared" si="19"/>
        <v>44044</v>
      </c>
      <c r="H58" s="1348">
        <f t="shared" si="19"/>
        <v>44013</v>
      </c>
      <c r="I58" s="1348">
        <f t="shared" si="19"/>
        <v>43983</v>
      </c>
      <c r="J58" s="1348">
        <f t="shared" si="19"/>
        <v>43952</v>
      </c>
      <c r="K58" s="1348">
        <f t="shared" si="19"/>
        <v>43922</v>
      </c>
      <c r="L58" s="1348">
        <f t="shared" si="19"/>
        <v>43891</v>
      </c>
      <c r="M58" s="1348">
        <f t="shared" si="19"/>
        <v>43862</v>
      </c>
      <c r="N58" s="1348">
        <f t="shared" si="19"/>
        <v>43831</v>
      </c>
      <c r="O58" s="1348">
        <f t="shared" si="19"/>
        <v>43800</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2411</v>
      </c>
      <c r="B60" s="476"/>
      <c r="C60" s="477"/>
      <c r="D60" s="478"/>
      <c r="E60" s="478"/>
      <c r="F60" s="478"/>
      <c r="G60" s="478"/>
      <c r="H60" s="478"/>
      <c r="I60" s="478"/>
      <c r="J60" s="478"/>
      <c r="K60" s="478"/>
      <c r="L60" s="478"/>
      <c r="M60" s="479"/>
      <c r="N60" s="478"/>
      <c r="O60" s="479"/>
      <c r="P60" s="2108"/>
      <c r="Q60" s="464"/>
    </row>
    <row r="61" spans="1:29" s="116" customFormat="1" ht="15">
      <c r="A61" s="481" t="s">
        <v>2412</v>
      </c>
      <c r="B61" s="470"/>
      <c r="C61" s="482" t="s">
        <v>2413</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2414</v>
      </c>
      <c r="B63" s="488" t="s">
        <v>2380</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2383</v>
      </c>
      <c r="C65" s="499" t="s">
        <v>2415</v>
      </c>
      <c r="D65" s="499" t="s">
        <v>2416</v>
      </c>
      <c r="E65" s="499" t="s">
        <v>2417</v>
      </c>
      <c r="F65" s="499" t="s">
        <v>2418</v>
      </c>
      <c r="G65" s="499" t="s">
        <v>2419</v>
      </c>
      <c r="H65" s="499" t="s">
        <v>2420</v>
      </c>
      <c r="I65" s="499" t="s">
        <v>2421</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2384</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2385</v>
      </c>
      <c r="B76" s="488" t="s">
        <v>2422</v>
      </c>
      <c r="C76" s="533" t="s">
        <v>2423</v>
      </c>
      <c r="D76" s="533" t="s">
        <v>2424</v>
      </c>
      <c r="E76" s="533" t="s">
        <v>2425</v>
      </c>
      <c r="F76" s="533" t="s">
        <v>2426</v>
      </c>
      <c r="G76" s="533" t="s">
        <v>2427</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2428</v>
      </c>
      <c r="C78" s="538" t="s">
        <v>2423</v>
      </c>
      <c r="D78" s="538" t="s">
        <v>2424</v>
      </c>
      <c r="E78" s="538" t="s">
        <v>2425</v>
      </c>
      <c r="F78" s="538" t="s">
        <v>2426</v>
      </c>
      <c r="G78" s="538" t="s">
        <v>2427</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2429</v>
      </c>
      <c r="C80" s="538" t="s">
        <v>2423</v>
      </c>
      <c r="D80" s="538" t="s">
        <v>2424</v>
      </c>
      <c r="E80" s="538" t="s">
        <v>2425</v>
      </c>
      <c r="F80" s="538" t="s">
        <v>2426</v>
      </c>
      <c r="G80" s="538" t="s">
        <v>2427</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2430</v>
      </c>
      <c r="D82" s="499" t="s">
        <v>2431</v>
      </c>
      <c r="E82" s="499" t="s">
        <v>2432</v>
      </c>
      <c r="F82" s="499" t="s">
        <v>2433</v>
      </c>
      <c r="G82" s="499" t="s">
        <v>2434</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2435</v>
      </c>
      <c r="C84" s="538" t="s">
        <v>2423</v>
      </c>
      <c r="D84" s="538" t="s">
        <v>2424</v>
      </c>
      <c r="E84" s="538" t="s">
        <v>2425</v>
      </c>
      <c r="F84" s="538" t="s">
        <v>2426</v>
      </c>
      <c r="G84" s="538" t="s">
        <v>2427</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2436</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2437</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2389</v>
      </c>
      <c r="B100" s="488" t="s">
        <v>2438</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2439</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2440</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2441</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2442</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2443</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2444</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2445</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2400</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2446</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2447</v>
      </c>
      <c r="C124" s="538" t="s">
        <v>2423</v>
      </c>
      <c r="D124" s="538" t="s">
        <v>2424</v>
      </c>
      <c r="E124" s="538" t="s">
        <v>2425</v>
      </c>
      <c r="F124" s="538" t="s">
        <v>2426</v>
      </c>
      <c r="G124" s="538" t="s">
        <v>2427</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2448</v>
      </c>
    </row>
    <row r="137" spans="1:17" ht="15">
      <c r="B137" s="2118" t="s">
        <v>2449</v>
      </c>
      <c r="C137" s="2119"/>
      <c r="D137" s="2119"/>
      <c r="E137" s="2119"/>
      <c r="F137" s="2119"/>
      <c r="G137" s="2120"/>
      <c r="H137" s="2121"/>
      <c r="I137" s="2122" t="s">
        <v>2450</v>
      </c>
      <c r="J137" s="2119"/>
      <c r="K137" s="2123"/>
    </row>
    <row r="138" spans="1:17" ht="15">
      <c r="B138" s="2124"/>
      <c r="C138" s="145" t="s">
        <v>2451</v>
      </c>
      <c r="D138" s="145" t="s">
        <v>2452</v>
      </c>
      <c r="E138" s="2125" t="s">
        <v>2453</v>
      </c>
      <c r="F138" s="2126" t="s">
        <v>2454</v>
      </c>
      <c r="G138" s="145" t="s">
        <v>2452</v>
      </c>
      <c r="H138" s="146" t="s">
        <v>2453</v>
      </c>
      <c r="I138" s="2127"/>
      <c r="J138" s="145" t="s">
        <v>2455</v>
      </c>
      <c r="K138" s="146" t="s">
        <v>2456</v>
      </c>
    </row>
    <row r="139" spans="1:17" ht="15">
      <c r="B139" s="1000">
        <v>6</v>
      </c>
      <c r="C139" s="1001">
        <v>96</v>
      </c>
      <c r="D139" s="2128" t="s">
        <v>2457</v>
      </c>
      <c r="E139" s="1002">
        <v>100</v>
      </c>
      <c r="F139" s="1003">
        <v>102.5</v>
      </c>
      <c r="G139" s="2128" t="s">
        <v>2457</v>
      </c>
      <c r="H139" s="1004">
        <v>105</v>
      </c>
      <c r="I139" s="2129" t="s">
        <v>2458</v>
      </c>
      <c r="J139" s="1001">
        <v>20</v>
      </c>
      <c r="K139" s="1005">
        <f>C145/(J139-2)</f>
        <v>4.0555555555555553E-3</v>
      </c>
    </row>
    <row r="140" spans="1:17" ht="15">
      <c r="B140" s="1006">
        <v>5</v>
      </c>
      <c r="C140" s="1007">
        <v>100</v>
      </c>
      <c r="D140" s="1007"/>
      <c r="E140" s="1008"/>
      <c r="F140" s="1009">
        <v>102</v>
      </c>
      <c r="G140" s="1007"/>
      <c r="H140" s="1010"/>
      <c r="I140" s="2130" t="s">
        <v>2459</v>
      </c>
      <c r="J140" s="280">
        <f>ROUNDUP((J139-1)/2,0)</f>
        <v>10</v>
      </c>
      <c r="K140" s="1011">
        <v>100</v>
      </c>
    </row>
    <row r="141" spans="1:17" ht="15">
      <c r="B141" s="1006">
        <v>4</v>
      </c>
      <c r="C141" s="1007">
        <v>102</v>
      </c>
      <c r="D141" s="1007"/>
      <c r="E141" s="1008"/>
      <c r="F141" s="1009">
        <v>101.5</v>
      </c>
      <c r="G141" s="1007"/>
      <c r="H141" s="1010"/>
      <c r="I141" s="2130" t="s">
        <v>2460</v>
      </c>
      <c r="J141" s="280">
        <v>1</v>
      </c>
      <c r="K141" s="1012">
        <f>ROUND(100+(J141-J140)*K139*100,1)</f>
        <v>96.4</v>
      </c>
    </row>
    <row r="142" spans="1:17" ht="15">
      <c r="B142" s="1006">
        <v>3</v>
      </c>
      <c r="C142" s="1007">
        <v>103</v>
      </c>
      <c r="D142" s="1007"/>
      <c r="E142" s="1008"/>
      <c r="F142" s="1009">
        <v>101</v>
      </c>
      <c r="G142" s="1007"/>
      <c r="H142" s="1010"/>
      <c r="I142" s="2130" t="s">
        <v>2461</v>
      </c>
      <c r="J142" s="280">
        <f>J139</f>
        <v>20</v>
      </c>
      <c r="K142" s="1013">
        <v>95</v>
      </c>
    </row>
    <row r="143" spans="1:17" ht="15">
      <c r="B143" s="1006">
        <v>2</v>
      </c>
      <c r="C143" s="1007">
        <v>100</v>
      </c>
      <c r="D143" s="1007"/>
      <c r="E143" s="1008"/>
      <c r="F143" s="1009">
        <v>100.5</v>
      </c>
      <c r="G143" s="1007"/>
      <c r="H143" s="1010"/>
      <c r="I143" s="2130" t="s">
        <v>2462</v>
      </c>
      <c r="J143" s="1007">
        <v>15</v>
      </c>
      <c r="K143" s="1012">
        <f>ROUND(100+(J143-J140)*K139*100,1)</f>
        <v>102</v>
      </c>
    </row>
    <row r="144" spans="1:17" ht="15">
      <c r="B144" s="1006">
        <v>1</v>
      </c>
      <c r="C144" s="1007">
        <v>98</v>
      </c>
      <c r="D144" s="2131" t="s">
        <v>2463</v>
      </c>
      <c r="E144" s="1008">
        <v>102</v>
      </c>
      <c r="F144" s="1014">
        <v>100</v>
      </c>
      <c r="G144" s="2131" t="s">
        <v>2463</v>
      </c>
      <c r="H144" s="1010">
        <v>105</v>
      </c>
      <c r="I144" s="2130" t="s">
        <v>2462</v>
      </c>
      <c r="J144" s="1007">
        <v>18</v>
      </c>
      <c r="K144" s="1012">
        <f>ROUND(100+(J144-J140)*K139*100,1)</f>
        <v>103.2</v>
      </c>
    </row>
    <row r="145" spans="2:11" ht="15.75" thickBot="1">
      <c r="B145" s="2132" t="s">
        <v>2464</v>
      </c>
      <c r="C145" s="1015">
        <f>ROUND(MAX(C139:C144)/MIN(C139:C144)-1,3)</f>
        <v>7.2999999999999995E-2</v>
      </c>
      <c r="D145" s="1016"/>
      <c r="E145" s="1016"/>
      <c r="F145" s="2133" t="s">
        <v>2465</v>
      </c>
      <c r="G145" s="2134"/>
      <c r="H145" s="2135"/>
      <c r="I145" s="2136" t="s">
        <v>2462</v>
      </c>
      <c r="J145" s="1017">
        <v>8</v>
      </c>
      <c r="K145" s="1018">
        <f>ROUND(100+(J145-J140)*K139*100,1)</f>
        <v>99.2</v>
      </c>
    </row>
    <row r="147" spans="2:11">
      <c r="B147" s="2117" t="s">
        <v>2466</v>
      </c>
    </row>
    <row r="148" spans="2:11">
      <c r="B148" s="2117"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066" t="s">
        <v>2468</v>
      </c>
      <c r="C1" s="1407" t="s">
        <v>2356</v>
      </c>
      <c r="D1" s="1394"/>
      <c r="E1" s="2545"/>
      <c r="F1" s="2067"/>
      <c r="G1" s="1404" t="s">
        <v>2469</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2471</v>
      </c>
      <c r="B4" s="365"/>
      <c r="C4" s="3345" t="s">
        <v>2472</v>
      </c>
      <c r="D4" s="3346"/>
      <c r="E4" s="3347" t="s">
        <v>2473</v>
      </c>
      <c r="F4" s="3348"/>
      <c r="G4" s="3345" t="s">
        <v>2474</v>
      </c>
      <c r="H4" s="3346"/>
      <c r="I4" s="3345" t="s">
        <v>2475</v>
      </c>
      <c r="J4" s="3346"/>
      <c r="K4" s="570" t="s">
        <v>2476</v>
      </c>
      <c r="L4" s="2944"/>
      <c r="M4" s="2945"/>
      <c r="N4" s="2945"/>
      <c r="O4" s="2945"/>
      <c r="P4" s="3349" t="s">
        <v>2477</v>
      </c>
      <c r="Q4" s="3350"/>
      <c r="R4" s="3362" t="s">
        <v>2473</v>
      </c>
      <c r="S4" s="3363"/>
      <c r="T4" s="3362" t="s">
        <v>2474</v>
      </c>
      <c r="U4" s="3363"/>
      <c r="V4" s="3337" t="s">
        <v>2475</v>
      </c>
      <c r="W4" s="3337"/>
      <c r="X4" s="1542"/>
      <c r="Y4" s="3362" t="s">
        <v>2477</v>
      </c>
      <c r="Z4" s="3363"/>
      <c r="AA4" s="3342" t="s">
        <v>2473</v>
      </c>
      <c r="AB4" s="3337" t="s">
        <v>2474</v>
      </c>
      <c r="AC4" s="3342" t="s">
        <v>2475</v>
      </c>
    </row>
    <row r="5" spans="1:29" ht="15">
      <c r="A5" s="367"/>
      <c r="B5" s="368"/>
      <c r="C5" s="3370" t="s">
        <v>2368</v>
      </c>
      <c r="D5" s="3367"/>
      <c r="E5" s="3355" t="s">
        <v>2369</v>
      </c>
      <c r="F5" s="3356"/>
      <c r="G5" s="3370" t="s">
        <v>2370</v>
      </c>
      <c r="H5" s="3367"/>
      <c r="I5" s="3370" t="s">
        <v>2371</v>
      </c>
      <c r="J5" s="3367"/>
      <c r="K5" s="570"/>
      <c r="L5" s="2944"/>
      <c r="M5" s="2945"/>
      <c r="N5" s="2945"/>
      <c r="O5" s="2945"/>
      <c r="P5" s="3351"/>
      <c r="Q5" s="3352"/>
      <c r="R5" s="3364"/>
      <c r="S5" s="3365"/>
      <c r="T5" s="3364"/>
      <c r="U5" s="3365"/>
      <c r="V5" s="3337"/>
      <c r="W5" s="3337"/>
      <c r="X5" s="1542"/>
      <c r="Y5" s="3364"/>
      <c r="Z5" s="3365"/>
      <c r="AA5" s="3343"/>
      <c r="AB5" s="3337"/>
      <c r="AC5" s="3343"/>
    </row>
    <row r="6" spans="1:29" ht="15.75" thickBot="1">
      <c r="A6" s="369"/>
      <c r="B6" s="370"/>
      <c r="C6" s="3404" t="s">
        <v>2372</v>
      </c>
      <c r="D6" s="3405"/>
      <c r="E6" s="3406" t="s">
        <v>2372</v>
      </c>
      <c r="F6" s="3407"/>
      <c r="G6" s="3404" t="s">
        <v>2372</v>
      </c>
      <c r="H6" s="3405"/>
      <c r="I6" s="3404" t="s">
        <v>2372</v>
      </c>
      <c r="J6" s="3405"/>
      <c r="K6" s="570" t="s">
        <v>2373</v>
      </c>
      <c r="L6" s="2944"/>
      <c r="M6" s="2945"/>
      <c r="N6" s="2945"/>
      <c r="O6" s="2945"/>
      <c r="P6" s="3353"/>
      <c r="Q6" s="3354"/>
      <c r="R6" s="3364"/>
      <c r="S6" s="3365"/>
      <c r="T6" s="3374"/>
      <c r="U6" s="3375"/>
      <c r="V6" s="3337"/>
      <c r="W6" s="3337"/>
      <c r="X6" s="1542"/>
      <c r="Y6" s="3374"/>
      <c r="Z6" s="3375"/>
      <c r="AA6" s="3344"/>
      <c r="AB6" s="3337"/>
      <c r="AC6" s="3344"/>
    </row>
    <row r="7" spans="1:29" s="116" customFormat="1" ht="15.75" thickBot="1">
      <c r="A7" s="371" t="s">
        <v>2374</v>
      </c>
      <c r="B7" s="372"/>
      <c r="C7" s="373">
        <f>'数据-取费表'!B2</f>
        <v>44166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57" t="s">
        <v>2375</v>
      </c>
      <c r="Q7" s="3371"/>
      <c r="R7" s="713" t="s">
        <v>17</v>
      </c>
      <c r="S7" s="714">
        <f t="shared" ref="S7:S15" si="0">F7</f>
        <v>0</v>
      </c>
      <c r="T7" s="713" t="s">
        <v>17</v>
      </c>
      <c r="U7" s="714">
        <f t="shared" ref="U7:U15" si="1">H7</f>
        <v>0</v>
      </c>
      <c r="V7" s="713" t="s">
        <v>17</v>
      </c>
      <c r="W7" s="714">
        <f t="shared" ref="W7:W15" si="2">J7</f>
        <v>0</v>
      </c>
      <c r="X7" s="715"/>
      <c r="Y7" s="3357" t="s">
        <v>2375</v>
      </c>
      <c r="Z7" s="3358"/>
      <c r="AA7" s="716" t="e">
        <f>D7/F7</f>
        <v>#DIV/0!</v>
      </c>
      <c r="AB7" s="716" t="e">
        <f>D7/H7</f>
        <v>#DIV/0!</v>
      </c>
      <c r="AC7" s="716" t="e">
        <f>D7/J7</f>
        <v>#DIV/0!</v>
      </c>
    </row>
    <row r="8" spans="1:29" s="116" customFormat="1" ht="15.75" thickBot="1">
      <c r="A8" s="371" t="s">
        <v>2376</v>
      </c>
      <c r="B8" s="372"/>
      <c r="C8" s="377" t="s">
        <v>2478</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57" t="s">
        <v>2378</v>
      </c>
      <c r="Q8" s="3358"/>
      <c r="R8" s="713" t="s">
        <v>17</v>
      </c>
      <c r="S8" s="714">
        <f t="shared" si="0"/>
        <v>0</v>
      </c>
      <c r="T8" s="713" t="s">
        <v>17</v>
      </c>
      <c r="U8" s="714">
        <f t="shared" si="1"/>
        <v>0</v>
      </c>
      <c r="V8" s="713" t="s">
        <v>17</v>
      </c>
      <c r="W8" s="714">
        <f t="shared" si="2"/>
        <v>0</v>
      </c>
      <c r="X8" s="715"/>
      <c r="Y8" s="3357" t="s">
        <v>2378</v>
      </c>
      <c r="Z8" s="3358"/>
      <c r="AA8" s="716" t="e">
        <f t="shared" ref="AA8:AA46" si="3">D8/F8</f>
        <v>#DIV/0!</v>
      </c>
      <c r="AB8" s="716" t="e">
        <f t="shared" ref="AB8:AB46" si="4">D8/H8</f>
        <v>#DIV/0!</v>
      </c>
      <c r="AC8" s="716" t="e">
        <f t="shared" ref="AC8:AC46" si="5">D8/J8</f>
        <v>#DIV/0!</v>
      </c>
    </row>
    <row r="9" spans="1:29" s="116" customFormat="1">
      <c r="A9" s="378" t="s">
        <v>2379</v>
      </c>
      <c r="B9" s="71" t="s">
        <v>2380</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60"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60"/>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716">
        <f t="shared" si="5"/>
        <v>1</v>
      </c>
    </row>
    <row r="11" spans="1:29" ht="15">
      <c r="A11" s="390"/>
      <c r="B11" s="384" t="s">
        <v>2384</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60"/>
      <c r="Q11" s="1530" t="str">
        <f t="shared" si="6"/>
        <v>容积率</v>
      </c>
      <c r="R11" s="713" t="s">
        <v>17</v>
      </c>
      <c r="S11" s="714" t="e">
        <f t="shared" si="0"/>
        <v>#N/A</v>
      </c>
      <c r="T11" s="713" t="s">
        <v>17</v>
      </c>
      <c r="U11" s="714" t="e">
        <f t="shared" si="1"/>
        <v>#N/A</v>
      </c>
      <c r="V11" s="713" t="s">
        <v>17</v>
      </c>
      <c r="W11" s="714" t="e">
        <f t="shared" si="2"/>
        <v>#N/A</v>
      </c>
      <c r="X11" s="715"/>
      <c r="Y11" s="3301"/>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60"/>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60"/>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60"/>
      <c r="Q14" s="1530">
        <f t="shared" si="6"/>
        <v>111</v>
      </c>
      <c r="R14" s="713" t="s">
        <v>17</v>
      </c>
      <c r="S14" s="714">
        <f t="shared" si="0"/>
        <v>100</v>
      </c>
      <c r="T14" s="713" t="s">
        <v>17</v>
      </c>
      <c r="U14" s="714">
        <f t="shared" si="1"/>
        <v>100</v>
      </c>
      <c r="V14" s="713" t="s">
        <v>17</v>
      </c>
      <c r="W14" s="714">
        <f t="shared" si="2"/>
        <v>100</v>
      </c>
      <c r="X14" s="715"/>
      <c r="Y14" s="3301"/>
      <c r="Z14" s="55">
        <f t="shared" si="7"/>
        <v>111</v>
      </c>
      <c r="AA14" s="716">
        <f t="shared" si="3"/>
        <v>1</v>
      </c>
      <c r="AB14" s="716">
        <f t="shared" si="4"/>
        <v>1</v>
      </c>
      <c r="AC14" s="716">
        <f t="shared" si="5"/>
        <v>1</v>
      </c>
    </row>
    <row r="15" spans="1:29" ht="71.25">
      <c r="A15" s="402" t="s">
        <v>2385</v>
      </c>
      <c r="B15" s="69" t="s">
        <v>2479</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14" t="s">
        <v>2386</v>
      </c>
      <c r="Q15" s="1539" t="str">
        <f t="shared" si="6"/>
        <v>商业繁华度</v>
      </c>
      <c r="R15" s="717" t="s">
        <v>17</v>
      </c>
      <c r="S15" s="718">
        <f t="shared" si="0"/>
        <v>100</v>
      </c>
      <c r="T15" s="717" t="s">
        <v>17</v>
      </c>
      <c r="U15" s="718">
        <f t="shared" si="1"/>
        <v>100</v>
      </c>
      <c r="V15" s="717" t="s">
        <v>17</v>
      </c>
      <c r="W15" s="718">
        <f t="shared" si="2"/>
        <v>100</v>
      </c>
      <c r="X15" s="1542"/>
      <c r="Y15" s="3338" t="s">
        <v>2386</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15"/>
      <c r="Q16" s="1539"/>
      <c r="R16" s="717"/>
      <c r="S16" s="718"/>
      <c r="T16" s="717"/>
      <c r="U16" s="718"/>
      <c r="V16" s="717"/>
      <c r="W16" s="718"/>
      <c r="X16" s="1542"/>
      <c r="Y16" s="3339"/>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15"/>
      <c r="Q17" s="1539" t="str">
        <f>B17</f>
        <v>交通便捷度</v>
      </c>
      <c r="R17" s="717" t="s">
        <v>17</v>
      </c>
      <c r="S17" s="718">
        <f>F17</f>
        <v>100</v>
      </c>
      <c r="T17" s="717" t="s">
        <v>17</v>
      </c>
      <c r="U17" s="718">
        <f>H17</f>
        <v>100</v>
      </c>
      <c r="V17" s="717" t="s">
        <v>17</v>
      </c>
      <c r="W17" s="718">
        <f>J17</f>
        <v>100</v>
      </c>
      <c r="X17" s="1542"/>
      <c r="Y17" s="3339"/>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15"/>
      <c r="Q18" s="1539"/>
      <c r="R18" s="717"/>
      <c r="S18" s="718"/>
      <c r="T18" s="717"/>
      <c r="U18" s="718"/>
      <c r="V18" s="717"/>
      <c r="W18" s="718"/>
      <c r="X18" s="1542"/>
      <c r="Y18" s="3339"/>
      <c r="Z18" s="1543"/>
      <c r="AA18" s="1540">
        <v>1</v>
      </c>
      <c r="AB18" s="1540">
        <v>1</v>
      </c>
      <c r="AC18" s="1540">
        <v>1</v>
      </c>
    </row>
    <row r="19" spans="1:29" ht="42.75">
      <c r="A19" s="390"/>
      <c r="B19" s="413" t="s">
        <v>2480</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15"/>
      <c r="Q19" s="1539" t="str">
        <f>B19</f>
        <v>公共配套设施</v>
      </c>
      <c r="R19" s="717" t="s">
        <v>17</v>
      </c>
      <c r="S19" s="718">
        <f>F19</f>
        <v>100</v>
      </c>
      <c r="T19" s="717" t="s">
        <v>17</v>
      </c>
      <c r="U19" s="718">
        <f>H19</f>
        <v>100</v>
      </c>
      <c r="V19" s="717" t="s">
        <v>17</v>
      </c>
      <c r="W19" s="718">
        <f>J19</f>
        <v>100</v>
      </c>
      <c r="X19" s="1542"/>
      <c r="Y19" s="3339"/>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15"/>
      <c r="Q20" s="1539"/>
      <c r="R20" s="717"/>
      <c r="S20" s="718"/>
      <c r="T20" s="717"/>
      <c r="U20" s="718"/>
      <c r="V20" s="717"/>
      <c r="W20" s="718"/>
      <c r="X20" s="1542"/>
      <c r="Y20" s="3339"/>
      <c r="Z20" s="1543"/>
      <c r="AA20" s="1540">
        <v>1</v>
      </c>
      <c r="AB20" s="1540">
        <v>1</v>
      </c>
      <c r="AC20" s="1540">
        <v>1</v>
      </c>
    </row>
    <row r="21" spans="1:29" ht="28.5">
      <c r="A21" s="390"/>
      <c r="B21" s="1295" t="s">
        <v>2481</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15"/>
      <c r="Q21" s="1539" t="str">
        <f>B21</f>
        <v>基础设施水平</v>
      </c>
      <c r="R21" s="717" t="s">
        <v>17</v>
      </c>
      <c r="S21" s="718">
        <f>F21</f>
        <v>100</v>
      </c>
      <c r="T21" s="717" t="s">
        <v>17</v>
      </c>
      <c r="U21" s="718">
        <f>H21</f>
        <v>100</v>
      </c>
      <c r="V21" s="717" t="s">
        <v>17</v>
      </c>
      <c r="W21" s="718">
        <f>J21</f>
        <v>100</v>
      </c>
      <c r="X21" s="1542"/>
      <c r="Y21" s="3339"/>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15"/>
      <c r="Q22" s="1539"/>
      <c r="R22" s="717"/>
      <c r="S22" s="718"/>
      <c r="T22" s="717"/>
      <c r="U22" s="718"/>
      <c r="V22" s="717"/>
      <c r="W22" s="718"/>
      <c r="X22" s="1542"/>
      <c r="Y22" s="3339"/>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15"/>
      <c r="Q23" s="1539" t="str">
        <f>B23</f>
        <v>自然及人文环境</v>
      </c>
      <c r="R23" s="717" t="s">
        <v>17</v>
      </c>
      <c r="S23" s="718">
        <f>F23</f>
        <v>100</v>
      </c>
      <c r="T23" s="717" t="s">
        <v>17</v>
      </c>
      <c r="U23" s="718">
        <f>H23</f>
        <v>100</v>
      </c>
      <c r="V23" s="717" t="s">
        <v>17</v>
      </c>
      <c r="W23" s="718">
        <f>J23</f>
        <v>100</v>
      </c>
      <c r="X23" s="1542"/>
      <c r="Y23" s="3339"/>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15"/>
      <c r="Q24" s="1539"/>
      <c r="R24" s="717"/>
      <c r="S24" s="718"/>
      <c r="T24" s="717"/>
      <c r="U24" s="718"/>
      <c r="V24" s="717"/>
      <c r="W24" s="718"/>
      <c r="X24" s="1542"/>
      <c r="Y24" s="3339"/>
      <c r="Z24" s="1543"/>
      <c r="AA24" s="1540">
        <v>1</v>
      </c>
      <c r="AB24" s="1540">
        <v>1</v>
      </c>
      <c r="AC24" s="1540">
        <v>1</v>
      </c>
    </row>
    <row r="25" spans="1:29" ht="15">
      <c r="A25" s="390"/>
      <c r="B25" s="384" t="s">
        <v>2482</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15"/>
      <c r="Q25" s="1539" t="str">
        <f t="shared" ref="Q25:Q46" si="11">B25</f>
        <v>临街状况</v>
      </c>
      <c r="R25" s="717" t="s">
        <v>17</v>
      </c>
      <c r="S25" s="718">
        <f>F25</f>
        <v>100</v>
      </c>
      <c r="T25" s="717" t="s">
        <v>17</v>
      </c>
      <c r="U25" s="718">
        <f>H25</f>
        <v>100</v>
      </c>
      <c r="V25" s="717" t="s">
        <v>17</v>
      </c>
      <c r="W25" s="718">
        <f>J25</f>
        <v>100</v>
      </c>
      <c r="X25" s="1542"/>
      <c r="Y25" s="3339"/>
      <c r="Z25" s="1543" t="str">
        <f>Q25</f>
        <v>临街状况</v>
      </c>
      <c r="AA25" s="1540">
        <f t="shared" si="3"/>
        <v>1</v>
      </c>
      <c r="AB25" s="1540">
        <f t="shared" si="4"/>
        <v>1</v>
      </c>
      <c r="AC25" s="1540">
        <f t="shared" si="5"/>
        <v>1</v>
      </c>
    </row>
    <row r="26" spans="1:29" ht="15">
      <c r="A26" s="390"/>
      <c r="B26" s="1297" t="s">
        <v>2483</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15"/>
      <c r="Q26" s="1539" t="str">
        <f t="shared" si="11"/>
        <v>平面位置/可视性</v>
      </c>
      <c r="R26" s="717" t="s">
        <v>17</v>
      </c>
      <c r="S26" s="718">
        <f>F26</f>
        <v>100</v>
      </c>
      <c r="T26" s="717" t="s">
        <v>17</v>
      </c>
      <c r="U26" s="718">
        <f>H26</f>
        <v>100</v>
      </c>
      <c r="V26" s="717" t="s">
        <v>17</v>
      </c>
      <c r="W26" s="718">
        <f>J26</f>
        <v>100</v>
      </c>
      <c r="X26" s="1542"/>
      <c r="Y26" s="3339"/>
      <c r="Z26" s="1543" t="str">
        <f>Q26</f>
        <v>平面位置/可视性</v>
      </c>
      <c r="AA26" s="1540">
        <f t="shared" si="3"/>
        <v>1</v>
      </c>
      <c r="AB26" s="1540">
        <f t="shared" si="4"/>
        <v>1</v>
      </c>
      <c r="AC26" s="1540">
        <f t="shared" si="5"/>
        <v>1</v>
      </c>
    </row>
    <row r="27" spans="1:29" s="116" customFormat="1" ht="15">
      <c r="A27" s="393"/>
      <c r="B27" s="413" t="s">
        <v>2484</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15"/>
      <c r="Q27" s="1530" t="str">
        <f t="shared" si="11"/>
        <v>人流量</v>
      </c>
      <c r="R27" s="713" t="s">
        <v>17</v>
      </c>
      <c r="S27" s="714">
        <f>F27</f>
        <v>100</v>
      </c>
      <c r="T27" s="713" t="s">
        <v>17</v>
      </c>
      <c r="U27" s="714">
        <f>H27</f>
        <v>100</v>
      </c>
      <c r="V27" s="713" t="s">
        <v>17</v>
      </c>
      <c r="W27" s="714">
        <f>J27</f>
        <v>100</v>
      </c>
      <c r="X27" s="715"/>
      <c r="Y27" s="3339"/>
      <c r="Z27" s="55" t="str">
        <f>Q27</f>
        <v>人流量</v>
      </c>
      <c r="AA27" s="1540">
        <f>D27/F27</f>
        <v>1</v>
      </c>
      <c r="AB27" s="1540">
        <f>D27/H27</f>
        <v>1</v>
      </c>
      <c r="AC27" s="1540">
        <f>D27/J27</f>
        <v>1</v>
      </c>
    </row>
    <row r="28" spans="1:29" ht="15">
      <c r="A28" s="390"/>
      <c r="B28" s="384" t="s">
        <v>2485</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15"/>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39"/>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15"/>
      <c r="Q29" s="1539">
        <f t="shared" si="11"/>
        <v>111</v>
      </c>
      <c r="R29" s="717" t="s">
        <v>17</v>
      </c>
      <c r="S29" s="718">
        <f t="shared" si="12"/>
        <v>100</v>
      </c>
      <c r="T29" s="717" t="s">
        <v>17</v>
      </c>
      <c r="U29" s="718">
        <f t="shared" si="13"/>
        <v>100</v>
      </c>
      <c r="V29" s="717" t="s">
        <v>17</v>
      </c>
      <c r="W29" s="718">
        <f t="shared" si="14"/>
        <v>100</v>
      </c>
      <c r="X29" s="1542"/>
      <c r="Y29" s="3339"/>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15"/>
      <c r="Q30" s="1539">
        <f t="shared" si="11"/>
        <v>111</v>
      </c>
      <c r="R30" s="717" t="s">
        <v>17</v>
      </c>
      <c r="S30" s="718">
        <f t="shared" si="12"/>
        <v>100</v>
      </c>
      <c r="T30" s="717" t="s">
        <v>17</v>
      </c>
      <c r="U30" s="718">
        <f t="shared" si="13"/>
        <v>100</v>
      </c>
      <c r="V30" s="717" t="s">
        <v>17</v>
      </c>
      <c r="W30" s="718">
        <f t="shared" si="14"/>
        <v>100</v>
      </c>
      <c r="X30" s="1542"/>
      <c r="Y30" s="3339"/>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15"/>
      <c r="Q31" s="1539">
        <f t="shared" si="11"/>
        <v>111</v>
      </c>
      <c r="R31" s="717" t="s">
        <v>17</v>
      </c>
      <c r="S31" s="718">
        <f t="shared" si="12"/>
        <v>100</v>
      </c>
      <c r="T31" s="717" t="s">
        <v>17</v>
      </c>
      <c r="U31" s="718">
        <f t="shared" si="13"/>
        <v>100</v>
      </c>
      <c r="V31" s="717" t="s">
        <v>17</v>
      </c>
      <c r="W31" s="718">
        <f t="shared" si="14"/>
        <v>100</v>
      </c>
      <c r="X31" s="1542"/>
      <c r="Y31" s="3339"/>
      <c r="Z31" s="1543">
        <f t="shared" si="15"/>
        <v>111</v>
      </c>
      <c r="AA31" s="1540">
        <f t="shared" si="3"/>
        <v>1</v>
      </c>
      <c r="AB31" s="1540">
        <f t="shared" si="4"/>
        <v>1</v>
      </c>
      <c r="AC31" s="1540">
        <f t="shared" si="5"/>
        <v>1</v>
      </c>
    </row>
    <row r="32" spans="1:29" ht="15">
      <c r="A32" s="402" t="s">
        <v>2389</v>
      </c>
      <c r="B32" s="71" t="s">
        <v>2486</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10" t="s">
        <v>2391</v>
      </c>
      <c r="Q32" s="1539" t="str">
        <f t="shared" si="11"/>
        <v>商业类型</v>
      </c>
      <c r="R32" s="717" t="s">
        <v>17</v>
      </c>
      <c r="S32" s="718">
        <f t="shared" si="12"/>
        <v>100</v>
      </c>
      <c r="T32" s="717" t="s">
        <v>17</v>
      </c>
      <c r="U32" s="718">
        <f t="shared" si="13"/>
        <v>100</v>
      </c>
      <c r="V32" s="717" t="s">
        <v>17</v>
      </c>
      <c r="W32" s="718">
        <f t="shared" si="14"/>
        <v>100</v>
      </c>
      <c r="X32" s="1542"/>
      <c r="Y32" s="3341" t="s">
        <v>2391</v>
      </c>
      <c r="Z32" s="1543" t="str">
        <f t="shared" si="15"/>
        <v>商业类型</v>
      </c>
      <c r="AA32" s="1540">
        <f t="shared" si="3"/>
        <v>1</v>
      </c>
      <c r="AB32" s="1540">
        <f t="shared" si="4"/>
        <v>1</v>
      </c>
      <c r="AC32" s="1540">
        <f t="shared" si="5"/>
        <v>1</v>
      </c>
    </row>
    <row r="33" spans="1:29" s="433" customFormat="1" ht="15">
      <c r="A33" s="430"/>
      <c r="B33" s="384" t="s">
        <v>2392</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11"/>
      <c r="Q33" s="719" t="str">
        <f t="shared" si="11"/>
        <v>项目建筑规模</v>
      </c>
      <c r="R33" s="720" t="s">
        <v>17</v>
      </c>
      <c r="S33" s="721" t="e">
        <f t="shared" si="12"/>
        <v>#N/A</v>
      </c>
      <c r="T33" s="720" t="s">
        <v>17</v>
      </c>
      <c r="U33" s="721" t="e">
        <f t="shared" si="13"/>
        <v>#N/A</v>
      </c>
      <c r="V33" s="720" t="s">
        <v>17</v>
      </c>
      <c r="W33" s="721" t="e">
        <f t="shared" si="14"/>
        <v>#N/A</v>
      </c>
      <c r="X33" s="722"/>
      <c r="Y33" s="3341"/>
      <c r="Z33" s="723" t="str">
        <f t="shared" si="15"/>
        <v>项目建筑规模</v>
      </c>
      <c r="AA33" s="1540" t="e">
        <f t="shared" si="3"/>
        <v>#N/A</v>
      </c>
      <c r="AB33" s="1540" t="e">
        <f t="shared" si="4"/>
        <v>#N/A</v>
      </c>
      <c r="AC33" s="1540" t="e">
        <f t="shared" si="5"/>
        <v>#N/A</v>
      </c>
    </row>
    <row r="34" spans="1:29" ht="15">
      <c r="A34" s="434"/>
      <c r="B34" s="384" t="s">
        <v>2393</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11"/>
      <c r="Q34" s="1539" t="str">
        <f t="shared" si="11"/>
        <v>建筑结构</v>
      </c>
      <c r="R34" s="717" t="s">
        <v>17</v>
      </c>
      <c r="S34" s="718">
        <f t="shared" si="12"/>
        <v>100</v>
      </c>
      <c r="T34" s="717" t="s">
        <v>17</v>
      </c>
      <c r="U34" s="718">
        <f t="shared" si="13"/>
        <v>100</v>
      </c>
      <c r="V34" s="717" t="s">
        <v>17</v>
      </c>
      <c r="W34" s="718">
        <f t="shared" si="14"/>
        <v>100</v>
      </c>
      <c r="X34" s="1542"/>
      <c r="Y34" s="3341"/>
      <c r="Z34" s="1543" t="str">
        <f t="shared" si="15"/>
        <v>建筑结构</v>
      </c>
      <c r="AA34" s="1540">
        <f t="shared" si="3"/>
        <v>1</v>
      </c>
      <c r="AB34" s="1540">
        <f t="shared" si="4"/>
        <v>1</v>
      </c>
      <c r="AC34" s="1540">
        <f t="shared" si="5"/>
        <v>1</v>
      </c>
    </row>
    <row r="35" spans="1:29" ht="15">
      <c r="A35" s="434"/>
      <c r="B35" s="384" t="s">
        <v>2487</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11"/>
      <c r="Q35" s="1539" t="str">
        <f t="shared" si="11"/>
        <v>公共部分装修</v>
      </c>
      <c r="R35" s="717" t="s">
        <v>17</v>
      </c>
      <c r="S35" s="718">
        <f t="shared" si="12"/>
        <v>100</v>
      </c>
      <c r="T35" s="717" t="s">
        <v>17</v>
      </c>
      <c r="U35" s="718">
        <f t="shared" si="13"/>
        <v>100</v>
      </c>
      <c r="V35" s="717" t="s">
        <v>17</v>
      </c>
      <c r="W35" s="718">
        <f t="shared" si="14"/>
        <v>100</v>
      </c>
      <c r="X35" s="1542"/>
      <c r="Y35" s="3341"/>
      <c r="Z35" s="1543" t="str">
        <f t="shared" si="15"/>
        <v>公共部分装修</v>
      </c>
      <c r="AA35" s="1540">
        <f t="shared" si="3"/>
        <v>1</v>
      </c>
      <c r="AB35" s="1540">
        <f t="shared" si="4"/>
        <v>1</v>
      </c>
      <c r="AC35" s="1540">
        <f t="shared" si="5"/>
        <v>1</v>
      </c>
    </row>
    <row r="36" spans="1:29" ht="15">
      <c r="A36" s="434"/>
      <c r="B36" s="384" t="s">
        <v>2488</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11"/>
      <c r="Q36" s="1539" t="str">
        <f t="shared" si="11"/>
        <v>成新度</v>
      </c>
      <c r="R36" s="717" t="s">
        <v>17</v>
      </c>
      <c r="S36" s="718" t="e">
        <f t="shared" si="12"/>
        <v>#N/A</v>
      </c>
      <c r="T36" s="717" t="s">
        <v>17</v>
      </c>
      <c r="U36" s="718" t="e">
        <f t="shared" si="13"/>
        <v>#N/A</v>
      </c>
      <c r="V36" s="717" t="s">
        <v>17</v>
      </c>
      <c r="W36" s="718" t="e">
        <f t="shared" si="14"/>
        <v>#N/A</v>
      </c>
      <c r="X36" s="1542"/>
      <c r="Y36" s="3341"/>
      <c r="Z36" s="1543" t="str">
        <f t="shared" si="15"/>
        <v>成新度</v>
      </c>
      <c r="AA36" s="1540" t="e">
        <f t="shared" si="3"/>
        <v>#N/A</v>
      </c>
      <c r="AB36" s="1540" t="e">
        <f t="shared" si="4"/>
        <v>#N/A</v>
      </c>
      <c r="AC36" s="1540" t="e">
        <f t="shared" si="5"/>
        <v>#N/A</v>
      </c>
    </row>
    <row r="37" spans="1:29" s="116" customFormat="1" ht="15">
      <c r="A37" s="435"/>
      <c r="B37" s="384" t="s">
        <v>2489</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11"/>
      <c r="Q37" s="1530" t="str">
        <f t="shared" si="11"/>
        <v>市政基础设施</v>
      </c>
      <c r="R37" s="713" t="s">
        <v>17</v>
      </c>
      <c r="S37" s="714">
        <f t="shared" si="12"/>
        <v>100</v>
      </c>
      <c r="T37" s="713" t="s">
        <v>17</v>
      </c>
      <c r="U37" s="714">
        <f t="shared" si="13"/>
        <v>100</v>
      </c>
      <c r="V37" s="713" t="s">
        <v>17</v>
      </c>
      <c r="W37" s="714">
        <f t="shared" si="14"/>
        <v>100</v>
      </c>
      <c r="X37" s="715"/>
      <c r="Y37" s="3341"/>
      <c r="Z37" s="55" t="str">
        <f t="shared" si="15"/>
        <v>市政基础设施</v>
      </c>
      <c r="AA37" s="716">
        <f t="shared" si="3"/>
        <v>1</v>
      </c>
      <c r="AB37" s="716">
        <f t="shared" si="4"/>
        <v>1</v>
      </c>
      <c r="AC37" s="716">
        <f t="shared" si="5"/>
        <v>1</v>
      </c>
    </row>
    <row r="38" spans="1:29" ht="15">
      <c r="A38" s="434"/>
      <c r="B38" s="384" t="s">
        <v>2490</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11" t="s">
        <v>2391</v>
      </c>
      <c r="Q38" s="1539" t="str">
        <f t="shared" si="11"/>
        <v>业态</v>
      </c>
      <c r="R38" s="717" t="s">
        <v>17</v>
      </c>
      <c r="S38" s="718">
        <f t="shared" si="12"/>
        <v>100</v>
      </c>
      <c r="T38" s="717" t="s">
        <v>17</v>
      </c>
      <c r="U38" s="718">
        <f t="shared" si="13"/>
        <v>100</v>
      </c>
      <c r="V38" s="717" t="s">
        <v>17</v>
      </c>
      <c r="W38" s="718">
        <f t="shared" si="14"/>
        <v>100</v>
      </c>
      <c r="X38" s="1542"/>
      <c r="Y38" s="3341" t="s">
        <v>2391</v>
      </c>
      <c r="Z38" s="1543" t="str">
        <f t="shared" si="15"/>
        <v>业态</v>
      </c>
      <c r="AA38" s="1540">
        <f t="shared" si="3"/>
        <v>1</v>
      </c>
      <c r="AB38" s="1540">
        <f t="shared" si="4"/>
        <v>1</v>
      </c>
      <c r="AC38" s="1540">
        <f t="shared" si="5"/>
        <v>1</v>
      </c>
    </row>
    <row r="39" spans="1:29" ht="15">
      <c r="A39" s="434"/>
      <c r="B39" s="384" t="s">
        <v>2491</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11"/>
      <c r="Q39" s="1539" t="str">
        <f t="shared" si="11"/>
        <v>层高</v>
      </c>
      <c r="R39" s="717" t="s">
        <v>17</v>
      </c>
      <c r="S39" s="718">
        <f t="shared" si="12"/>
        <v>100</v>
      </c>
      <c r="T39" s="717" t="s">
        <v>17</v>
      </c>
      <c r="U39" s="718">
        <f t="shared" si="13"/>
        <v>100</v>
      </c>
      <c r="V39" s="717" t="s">
        <v>17</v>
      </c>
      <c r="W39" s="718">
        <f t="shared" si="14"/>
        <v>100</v>
      </c>
      <c r="X39" s="1542"/>
      <c r="Y39" s="3341"/>
      <c r="Z39" s="1543" t="str">
        <f t="shared" si="15"/>
        <v>层高</v>
      </c>
      <c r="AA39" s="1540">
        <f t="shared" si="3"/>
        <v>1</v>
      </c>
      <c r="AB39" s="1540">
        <f t="shared" si="4"/>
        <v>1</v>
      </c>
      <c r="AC39" s="1540">
        <f t="shared" si="5"/>
        <v>1</v>
      </c>
    </row>
    <row r="40" spans="1:29" ht="15">
      <c r="A40" s="434"/>
      <c r="B40" s="384" t="s">
        <v>2492</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11"/>
      <c r="Q40" s="1539" t="str">
        <f t="shared" si="11"/>
        <v>单套建筑面积</v>
      </c>
      <c r="R40" s="717" t="s">
        <v>17</v>
      </c>
      <c r="S40" s="718">
        <f t="shared" si="12"/>
        <v>100</v>
      </c>
      <c r="T40" s="717" t="s">
        <v>17</v>
      </c>
      <c r="U40" s="718">
        <f t="shared" si="13"/>
        <v>100</v>
      </c>
      <c r="V40" s="717" t="s">
        <v>17</v>
      </c>
      <c r="W40" s="718">
        <f t="shared" si="14"/>
        <v>100</v>
      </c>
      <c r="X40" s="1542"/>
      <c r="Y40" s="3341"/>
      <c r="Z40" s="1543" t="str">
        <f t="shared" si="15"/>
        <v>单套建筑面积</v>
      </c>
      <c r="AA40" s="1540">
        <f t="shared" si="3"/>
        <v>1</v>
      </c>
      <c r="AB40" s="1540">
        <f t="shared" si="4"/>
        <v>1</v>
      </c>
      <c r="AC40" s="1540">
        <f t="shared" si="5"/>
        <v>1</v>
      </c>
    </row>
    <row r="41" spans="1:29" s="433" customFormat="1" ht="15">
      <c r="A41" s="430"/>
      <c r="B41" s="1541" t="s">
        <v>2493</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11"/>
      <c r="Q41" s="719" t="str">
        <f t="shared" si="11"/>
        <v>进深比</v>
      </c>
      <c r="R41" s="720" t="s">
        <v>17</v>
      </c>
      <c r="S41" s="721">
        <f t="shared" si="12"/>
        <v>100</v>
      </c>
      <c r="T41" s="720" t="s">
        <v>17</v>
      </c>
      <c r="U41" s="721">
        <f t="shared" si="13"/>
        <v>100</v>
      </c>
      <c r="V41" s="720" t="s">
        <v>17</v>
      </c>
      <c r="W41" s="721">
        <f t="shared" si="14"/>
        <v>100</v>
      </c>
      <c r="X41" s="722"/>
      <c r="Y41" s="3341"/>
      <c r="Z41" s="723" t="str">
        <f t="shared" si="15"/>
        <v>进深比</v>
      </c>
      <c r="AA41" s="1540">
        <f t="shared" si="3"/>
        <v>1</v>
      </c>
      <c r="AB41" s="1540">
        <f t="shared" si="4"/>
        <v>1</v>
      </c>
      <c r="AC41" s="1540">
        <f t="shared" si="5"/>
        <v>1</v>
      </c>
    </row>
    <row r="42" spans="1:29" ht="15">
      <c r="A42" s="434"/>
      <c r="B42" s="384" t="s">
        <v>2494</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11"/>
      <c r="Q42" s="1539" t="str">
        <f t="shared" si="11"/>
        <v>内部装修</v>
      </c>
      <c r="R42" s="717" t="s">
        <v>17</v>
      </c>
      <c r="S42" s="718">
        <f t="shared" si="12"/>
        <v>100</v>
      </c>
      <c r="T42" s="717" t="s">
        <v>17</v>
      </c>
      <c r="U42" s="718">
        <f t="shared" si="13"/>
        <v>100</v>
      </c>
      <c r="V42" s="717" t="s">
        <v>17</v>
      </c>
      <c r="W42" s="718">
        <f t="shared" si="14"/>
        <v>100</v>
      </c>
      <c r="X42" s="1542"/>
      <c r="Y42" s="3341"/>
      <c r="Z42" s="1543" t="str">
        <f t="shared" si="15"/>
        <v>内部装修</v>
      </c>
      <c r="AA42" s="1540">
        <f t="shared" si="3"/>
        <v>1</v>
      </c>
      <c r="AB42" s="1540">
        <f t="shared" si="4"/>
        <v>1</v>
      </c>
      <c r="AC42" s="1540">
        <f t="shared" si="5"/>
        <v>1</v>
      </c>
    </row>
    <row r="43" spans="1:29" ht="15">
      <c r="A43" s="434"/>
      <c r="B43" s="384" t="s">
        <v>2402</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11"/>
      <c r="Q43" s="1539" t="str">
        <f t="shared" si="11"/>
        <v>内部装修维护情况</v>
      </c>
      <c r="R43" s="717" t="s">
        <v>17</v>
      </c>
      <c r="S43" s="718">
        <f t="shared" si="12"/>
        <v>100</v>
      </c>
      <c r="T43" s="717" t="s">
        <v>17</v>
      </c>
      <c r="U43" s="718">
        <f t="shared" si="13"/>
        <v>100</v>
      </c>
      <c r="V43" s="717" t="s">
        <v>17</v>
      </c>
      <c r="W43" s="718">
        <f t="shared" si="14"/>
        <v>100</v>
      </c>
      <c r="X43" s="1542"/>
      <c r="Y43" s="3341"/>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11"/>
      <c r="Q44" s="1530">
        <f t="shared" si="11"/>
        <v>111</v>
      </c>
      <c r="R44" s="713" t="s">
        <v>17</v>
      </c>
      <c r="S44" s="714">
        <f t="shared" si="12"/>
        <v>100</v>
      </c>
      <c r="T44" s="713" t="s">
        <v>17</v>
      </c>
      <c r="U44" s="714">
        <f t="shared" si="13"/>
        <v>100</v>
      </c>
      <c r="V44" s="713" t="s">
        <v>17</v>
      </c>
      <c r="W44" s="714">
        <f t="shared" si="14"/>
        <v>100</v>
      </c>
      <c r="X44" s="715"/>
      <c r="Y44" s="3341"/>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11"/>
      <c r="Q45" s="1539">
        <f t="shared" si="11"/>
        <v>111</v>
      </c>
      <c r="R45" s="717" t="s">
        <v>17</v>
      </c>
      <c r="S45" s="718">
        <f t="shared" si="12"/>
        <v>100</v>
      </c>
      <c r="T45" s="717" t="s">
        <v>17</v>
      </c>
      <c r="U45" s="718">
        <f t="shared" si="13"/>
        <v>100</v>
      </c>
      <c r="V45" s="717" t="s">
        <v>17</v>
      </c>
      <c r="W45" s="718">
        <f t="shared" si="14"/>
        <v>100</v>
      </c>
      <c r="X45" s="1542"/>
      <c r="Y45" s="3341"/>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12"/>
      <c r="Q46" s="1539">
        <f t="shared" si="11"/>
        <v>111</v>
      </c>
      <c r="R46" s="717" t="s">
        <v>17</v>
      </c>
      <c r="S46" s="718">
        <f t="shared" si="12"/>
        <v>100</v>
      </c>
      <c r="T46" s="717" t="s">
        <v>17</v>
      </c>
      <c r="U46" s="718">
        <f t="shared" si="13"/>
        <v>100</v>
      </c>
      <c r="V46" s="717" t="s">
        <v>17</v>
      </c>
      <c r="W46" s="718">
        <f t="shared" si="14"/>
        <v>100</v>
      </c>
      <c r="X46" s="1542"/>
      <c r="Y46" s="3413"/>
      <c r="Z46" s="1543">
        <f t="shared" si="15"/>
        <v>111</v>
      </c>
      <c r="AA46" s="1540">
        <f t="shared" si="3"/>
        <v>1</v>
      </c>
      <c r="AB46" s="1540">
        <f t="shared" si="4"/>
        <v>1</v>
      </c>
      <c r="AC46" s="1540">
        <f t="shared" si="5"/>
        <v>1</v>
      </c>
    </row>
    <row r="47" spans="1:29" ht="15">
      <c r="A47" s="441" t="s">
        <v>2403</v>
      </c>
      <c r="B47" s="442"/>
      <c r="C47" s="1318" t="s">
        <v>1</v>
      </c>
      <c r="D47" s="1319"/>
      <c r="E47" s="1320"/>
      <c r="F47" s="1321"/>
      <c r="G47" s="1322"/>
      <c r="H47" s="1323"/>
      <c r="I47" s="1320"/>
      <c r="J47" s="1323"/>
      <c r="K47" s="726"/>
      <c r="L47" s="2953"/>
      <c r="M47" s="2954"/>
      <c r="N47" s="2945"/>
      <c r="O47" s="2954"/>
      <c r="P47" s="3335" t="str">
        <f>A47</f>
        <v>成交单价（元/平方米）</v>
      </c>
      <c r="Q47" s="3335"/>
      <c r="R47" s="3337">
        <f>E47</f>
        <v>0</v>
      </c>
      <c r="S47" s="3337"/>
      <c r="T47" s="3337">
        <f>G47</f>
        <v>0</v>
      </c>
      <c r="U47" s="3337"/>
      <c r="V47" s="3337">
        <f>I47</f>
        <v>0</v>
      </c>
      <c r="W47" s="3337"/>
      <c r="X47" s="702"/>
      <c r="Y47" s="724"/>
      <c r="Z47" s="702"/>
      <c r="AA47" s="702"/>
      <c r="AB47" s="702"/>
      <c r="AC47" s="702"/>
    </row>
    <row r="48" spans="1:29" ht="15.75" thickBot="1">
      <c r="A48" s="448" t="s">
        <v>2495</v>
      </c>
      <c r="B48" s="449"/>
      <c r="C48" s="1324" t="e">
        <f>R49</f>
        <v>#DIV/0!</v>
      </c>
      <c r="D48" s="2540" t="s">
        <v>2888</v>
      </c>
      <c r="E48" s="1325" t="e">
        <f>R48</f>
        <v>#DIV/0!</v>
      </c>
      <c r="F48" s="2541"/>
      <c r="G48" s="1324" t="e">
        <f>T48</f>
        <v>#DIV/0!</v>
      </c>
      <c r="H48" s="2541"/>
      <c r="I48" s="1325" t="e">
        <f>V48</f>
        <v>#DIV/0!</v>
      </c>
      <c r="J48" s="2541"/>
      <c r="K48" s="2543">
        <f>F48+H48+J48</f>
        <v>0</v>
      </c>
      <c r="L48" s="2953"/>
      <c r="M48" s="2954"/>
      <c r="N48" s="2945"/>
      <c r="O48" s="2954"/>
      <c r="P48" s="3335" t="str">
        <f>A48</f>
        <v>比较价值（元/平方米）</v>
      </c>
      <c r="Q48" s="3335"/>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02"/>
      <c r="Y48" s="702"/>
      <c r="Z48" s="702"/>
      <c r="AA48" s="702"/>
      <c r="AB48" s="702"/>
      <c r="AC48" s="702"/>
    </row>
    <row r="49" spans="1:29" ht="15.75" thickBot="1">
      <c r="A49" s="452" t="s">
        <v>2496</v>
      </c>
      <c r="B49" s="453"/>
      <c r="C49" s="1327" t="e">
        <f>R49</f>
        <v>#DIV/0!</v>
      </c>
      <c r="D49" s="1327"/>
      <c r="E49" s="1327"/>
      <c r="F49" s="1327"/>
      <c r="G49" s="1327"/>
      <c r="H49" s="1327"/>
      <c r="I49" s="1327"/>
      <c r="J49" s="1327"/>
      <c r="K49" s="727"/>
      <c r="L49" s="2953"/>
      <c r="M49" s="2954"/>
      <c r="N49" s="2945"/>
      <c r="O49" s="2954"/>
      <c r="P49" s="3332" t="str">
        <f>A49</f>
        <v>估价对象XX用房的比较价值（楼面单价，元/平方米）</v>
      </c>
      <c r="Q49" s="3333"/>
      <c r="R49" s="3408" t="e">
        <f>IF(F1="售价",ROUND(IF(D48="简单平均",AVERAGE(R48:V48),R48*F48+T48*H48+V48*J48),0),ROUND(IF(D48="简单平均",AVERAGE(R48:V48),R48*F48+T48*H48+V48*J48),1))</f>
        <v>#DIV/0!</v>
      </c>
      <c r="S49" s="3408"/>
      <c r="T49" s="3408"/>
      <c r="U49" s="3408"/>
      <c r="V49" s="3408"/>
      <c r="W49" s="3408"/>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2497</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2498</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2499</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2500</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2374</v>
      </c>
      <c r="B58" s="466"/>
      <c r="C58" s="1347" t="str">
        <f>YEAR(C7)&amp;"-"&amp;MONTH(C7)</f>
        <v>2020-12</v>
      </c>
      <c r="D58" s="1348">
        <f>EDATE(C58,-1)</f>
        <v>44136</v>
      </c>
      <c r="E58" s="1348">
        <f t="shared" ref="E58:N58" si="16">EDATE(D58,-1)</f>
        <v>44105</v>
      </c>
      <c r="F58" s="1348">
        <f t="shared" si="16"/>
        <v>44075</v>
      </c>
      <c r="G58" s="1348">
        <f t="shared" si="16"/>
        <v>44044</v>
      </c>
      <c r="H58" s="1348">
        <f t="shared" si="16"/>
        <v>44013</v>
      </c>
      <c r="I58" s="1348">
        <f t="shared" si="16"/>
        <v>43983</v>
      </c>
      <c r="J58" s="1348">
        <f t="shared" si="16"/>
        <v>43952</v>
      </c>
      <c r="K58" s="1348">
        <f t="shared" si="16"/>
        <v>43922</v>
      </c>
      <c r="L58" s="1348">
        <f t="shared" si="16"/>
        <v>43891</v>
      </c>
      <c r="M58" s="1348">
        <f t="shared" si="16"/>
        <v>43862</v>
      </c>
      <c r="N58" s="1348">
        <f t="shared" si="16"/>
        <v>43831</v>
      </c>
      <c r="O58" s="1348">
        <f>EDATE(N58,-1)</f>
        <v>43800</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2411</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2376</v>
      </c>
      <c r="B61" s="470"/>
      <c r="C61" s="482" t="s">
        <v>2478</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2414</v>
      </c>
      <c r="B63" s="488" t="s">
        <v>2380</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2383</v>
      </c>
      <c r="C65" s="499" t="s">
        <v>2415</v>
      </c>
      <c r="D65" s="499" t="s">
        <v>2416</v>
      </c>
      <c r="E65" s="499" t="s">
        <v>2417</v>
      </c>
      <c r="F65" s="499" t="s">
        <v>2418</v>
      </c>
      <c r="G65" s="499" t="s">
        <v>2419</v>
      </c>
      <c r="H65" s="499" t="s">
        <v>2420</v>
      </c>
      <c r="I65" s="499" t="s">
        <v>2421</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2384</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2385</v>
      </c>
      <c r="B76" s="488" t="s">
        <v>2422</v>
      </c>
      <c r="C76" s="533" t="s">
        <v>2423</v>
      </c>
      <c r="D76" s="533" t="s">
        <v>2424</v>
      </c>
      <c r="E76" s="533" t="s">
        <v>2425</v>
      </c>
      <c r="F76" s="533" t="s">
        <v>2426</v>
      </c>
      <c r="G76" s="533" t="s">
        <v>2427</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2428</v>
      </c>
      <c r="C78" s="538" t="s">
        <v>2423</v>
      </c>
      <c r="D78" s="538" t="s">
        <v>2424</v>
      </c>
      <c r="E78" s="538" t="s">
        <v>2425</v>
      </c>
      <c r="F78" s="538" t="s">
        <v>2426</v>
      </c>
      <c r="G78" s="538" t="s">
        <v>2427</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2429</v>
      </c>
      <c r="C80" s="538" t="s">
        <v>2423</v>
      </c>
      <c r="D80" s="538" t="s">
        <v>2424</v>
      </c>
      <c r="E80" s="538" t="s">
        <v>2425</v>
      </c>
      <c r="F80" s="538" t="s">
        <v>2426</v>
      </c>
      <c r="G80" s="538" t="s">
        <v>2427</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2481</v>
      </c>
      <c r="C82" s="619" t="s">
        <v>2501</v>
      </c>
      <c r="D82" s="619" t="s">
        <v>2502</v>
      </c>
      <c r="E82" s="619" t="s">
        <v>2503</v>
      </c>
      <c r="F82" s="619" t="s">
        <v>2504</v>
      </c>
      <c r="G82" s="619" t="s">
        <v>2505</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2435</v>
      </c>
      <c r="C84" s="538" t="s">
        <v>2423</v>
      </c>
      <c r="D84" s="538" t="s">
        <v>2424</v>
      </c>
      <c r="E84" s="538" t="s">
        <v>2425</v>
      </c>
      <c r="F84" s="538" t="s">
        <v>2426</v>
      </c>
      <c r="G84" s="538" t="s">
        <v>2427</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2506</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2389</v>
      </c>
      <c r="B100" s="488" t="s">
        <v>2507</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2439</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2440</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2442</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2444</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2508</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2509</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2510</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2511</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2446</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2447</v>
      </c>
      <c r="C124" s="538" t="s">
        <v>2423</v>
      </c>
      <c r="D124" s="538" t="s">
        <v>2424</v>
      </c>
      <c r="E124" s="538" t="s">
        <v>2425</v>
      </c>
      <c r="F124" s="538" t="s">
        <v>2426</v>
      </c>
      <c r="G124" s="538" t="s">
        <v>2427</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2512</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2470</v>
      </c>
      <c r="D3" s="362">
        <f>IF(D1="",'数据-汇总表'!E3,SUMIF('数据-汇总表'!$C19:$C33,D1,'数据-汇总表'!$E19:$E33))</f>
        <v>143180.50000000003</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2471</v>
      </c>
      <c r="B4" s="365"/>
      <c r="C4" s="3345" t="s">
        <v>2472</v>
      </c>
      <c r="D4" s="3346"/>
      <c r="E4" s="3347" t="s">
        <v>2473</v>
      </c>
      <c r="F4" s="3348"/>
      <c r="G4" s="3345" t="s">
        <v>2474</v>
      </c>
      <c r="H4" s="3346"/>
      <c r="I4" s="3345" t="s">
        <v>2475</v>
      </c>
      <c r="J4" s="3346"/>
      <c r="K4" s="570" t="s">
        <v>2476</v>
      </c>
      <c r="L4" s="2944"/>
      <c r="M4" s="2945"/>
      <c r="N4" s="2945"/>
      <c r="O4" s="2945"/>
      <c r="P4" s="3422" t="s">
        <v>2477</v>
      </c>
      <c r="Q4" s="3423"/>
      <c r="R4" s="3417" t="s">
        <v>2473</v>
      </c>
      <c r="S4" s="3418"/>
      <c r="T4" s="3417" t="s">
        <v>2474</v>
      </c>
      <c r="U4" s="3418"/>
      <c r="V4" s="3426" t="s">
        <v>2475</v>
      </c>
      <c r="W4" s="3426"/>
      <c r="X4" s="2146"/>
      <c r="Y4" s="3417" t="s">
        <v>2477</v>
      </c>
      <c r="Z4" s="3418"/>
      <c r="AA4" s="3416" t="s">
        <v>2473</v>
      </c>
      <c r="AB4" s="3416" t="s">
        <v>2474</v>
      </c>
      <c r="AC4" s="3419" t="s">
        <v>2475</v>
      </c>
    </row>
    <row r="5" spans="1:29" ht="15">
      <c r="A5" s="367"/>
      <c r="B5" s="368"/>
      <c r="C5" s="3370" t="s">
        <v>2368</v>
      </c>
      <c r="D5" s="3367"/>
      <c r="E5" s="3355" t="s">
        <v>2369</v>
      </c>
      <c r="F5" s="3356"/>
      <c r="G5" s="3370" t="s">
        <v>2370</v>
      </c>
      <c r="H5" s="3367"/>
      <c r="I5" s="3370" t="s">
        <v>2371</v>
      </c>
      <c r="J5" s="3367"/>
      <c r="K5" s="570"/>
      <c r="L5" s="2944"/>
      <c r="M5" s="2945"/>
      <c r="N5" s="2945"/>
      <c r="O5" s="2945"/>
      <c r="P5" s="3424"/>
      <c r="Q5" s="3352"/>
      <c r="R5" s="3364"/>
      <c r="S5" s="3365"/>
      <c r="T5" s="3364"/>
      <c r="U5" s="3365"/>
      <c r="V5" s="3337"/>
      <c r="W5" s="3337"/>
      <c r="X5" s="1542"/>
      <c r="Y5" s="3364"/>
      <c r="Z5" s="3365"/>
      <c r="AA5" s="3343"/>
      <c r="AB5" s="3343"/>
      <c r="AC5" s="3420"/>
    </row>
    <row r="6" spans="1:29" ht="15.75" thickBot="1">
      <c r="A6" s="369"/>
      <c r="B6" s="370"/>
      <c r="C6" s="3404" t="s">
        <v>2372</v>
      </c>
      <c r="D6" s="3405"/>
      <c r="E6" s="3406" t="s">
        <v>2372</v>
      </c>
      <c r="F6" s="3407"/>
      <c r="G6" s="3404" t="s">
        <v>2372</v>
      </c>
      <c r="H6" s="3405"/>
      <c r="I6" s="3404" t="s">
        <v>2372</v>
      </c>
      <c r="J6" s="3405"/>
      <c r="K6" s="570" t="s">
        <v>2373</v>
      </c>
      <c r="L6" s="2944"/>
      <c r="M6" s="2945"/>
      <c r="N6" s="2945"/>
      <c r="O6" s="2945"/>
      <c r="P6" s="3425"/>
      <c r="Q6" s="3354"/>
      <c r="R6" s="3364"/>
      <c r="S6" s="3365"/>
      <c r="T6" s="3374"/>
      <c r="U6" s="3375"/>
      <c r="V6" s="3337"/>
      <c r="W6" s="3337"/>
      <c r="X6" s="1542"/>
      <c r="Y6" s="3374"/>
      <c r="Z6" s="3375"/>
      <c r="AA6" s="3344"/>
      <c r="AB6" s="3344"/>
      <c r="AC6" s="3421"/>
    </row>
    <row r="7" spans="1:29" s="116" customFormat="1" ht="15.75" thickBot="1">
      <c r="A7" s="371" t="s">
        <v>2374</v>
      </c>
      <c r="B7" s="372"/>
      <c r="C7" s="373">
        <f>'数据-取费表'!B2</f>
        <v>44166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7" t="s">
        <v>2375</v>
      </c>
      <c r="Q7" s="3371"/>
      <c r="R7" s="713" t="s">
        <v>17</v>
      </c>
      <c r="S7" s="714">
        <f t="shared" ref="S7:S15" si="0">F7</f>
        <v>0</v>
      </c>
      <c r="T7" s="713" t="s">
        <v>17</v>
      </c>
      <c r="U7" s="714">
        <f t="shared" ref="U7:U15" si="1">H7</f>
        <v>0</v>
      </c>
      <c r="V7" s="713" t="s">
        <v>17</v>
      </c>
      <c r="W7" s="714">
        <f t="shared" ref="W7:W15" si="2">J7</f>
        <v>0</v>
      </c>
      <c r="X7" s="715"/>
      <c r="Y7" s="3357" t="s">
        <v>2375</v>
      </c>
      <c r="Z7" s="3358"/>
      <c r="AA7" s="716" t="e">
        <f>D7/F7</f>
        <v>#DIV/0!</v>
      </c>
      <c r="AB7" s="716" t="e">
        <f>D7/H7</f>
        <v>#DIV/0!</v>
      </c>
      <c r="AC7" s="2147" t="e">
        <f>D7/J7</f>
        <v>#DIV/0!</v>
      </c>
    </row>
    <row r="8" spans="1:29" s="116" customFormat="1" ht="15.75" thickBot="1">
      <c r="A8" s="371" t="s">
        <v>2376</v>
      </c>
      <c r="B8" s="372"/>
      <c r="C8" s="377" t="s">
        <v>2478</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7" t="s">
        <v>2378</v>
      </c>
      <c r="Q8" s="3358"/>
      <c r="R8" s="713" t="s">
        <v>17</v>
      </c>
      <c r="S8" s="714">
        <f t="shared" si="0"/>
        <v>0</v>
      </c>
      <c r="T8" s="713" t="s">
        <v>17</v>
      </c>
      <c r="U8" s="714">
        <f t="shared" si="1"/>
        <v>0</v>
      </c>
      <c r="V8" s="713" t="s">
        <v>17</v>
      </c>
      <c r="W8" s="714">
        <f t="shared" si="2"/>
        <v>0</v>
      </c>
      <c r="X8" s="715"/>
      <c r="Y8" s="3357" t="s">
        <v>2378</v>
      </c>
      <c r="Z8" s="3358"/>
      <c r="AA8" s="716" t="e">
        <f t="shared" ref="AA8:AA47" si="3">D8/F8</f>
        <v>#DIV/0!</v>
      </c>
      <c r="AB8" s="716" t="e">
        <f t="shared" ref="AB8:AB47" si="4">D8/H8</f>
        <v>#DIV/0!</v>
      </c>
      <c r="AC8" s="2147" t="e">
        <f t="shared" ref="AC8:AC47" si="5">D8/J8</f>
        <v>#DIV/0!</v>
      </c>
    </row>
    <row r="9" spans="1:29" s="116" customFormat="1">
      <c r="A9" s="378" t="s">
        <v>2379</v>
      </c>
      <c r="B9" s="71" t="s">
        <v>2380</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60"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2147">
        <f t="shared" si="5"/>
        <v>1</v>
      </c>
    </row>
    <row r="10" spans="1:29" s="389" customFormat="1" ht="27">
      <c r="A10" s="383"/>
      <c r="B10" s="384" t="s">
        <v>2383</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60"/>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2147">
        <f t="shared" si="5"/>
        <v>1</v>
      </c>
    </row>
    <row r="11" spans="1:29" ht="15">
      <c r="A11" s="390"/>
      <c r="B11" s="384" t="s">
        <v>2384</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60"/>
      <c r="Q11" s="1530" t="str">
        <f t="shared" si="6"/>
        <v>容积率</v>
      </c>
      <c r="R11" s="713" t="s">
        <v>17</v>
      </c>
      <c r="S11" s="714" t="e">
        <f t="shared" si="0"/>
        <v>#N/A</v>
      </c>
      <c r="T11" s="713" t="s">
        <v>17</v>
      </c>
      <c r="U11" s="714" t="e">
        <f t="shared" si="1"/>
        <v>#N/A</v>
      </c>
      <c r="V11" s="713" t="s">
        <v>17</v>
      </c>
      <c r="W11" s="714" t="e">
        <f t="shared" si="2"/>
        <v>#N/A</v>
      </c>
      <c r="X11" s="715"/>
      <c r="Y11" s="3301"/>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60"/>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60"/>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60"/>
      <c r="Q14" s="1530">
        <f t="shared" si="6"/>
        <v>111</v>
      </c>
      <c r="R14" s="713" t="s">
        <v>17</v>
      </c>
      <c r="S14" s="714">
        <f t="shared" si="0"/>
        <v>100</v>
      </c>
      <c r="T14" s="713" t="s">
        <v>17</v>
      </c>
      <c r="U14" s="714">
        <f t="shared" si="1"/>
        <v>100</v>
      </c>
      <c r="V14" s="713" t="s">
        <v>17</v>
      </c>
      <c r="W14" s="714">
        <f t="shared" si="2"/>
        <v>100</v>
      </c>
      <c r="X14" s="715"/>
      <c r="Y14" s="3301"/>
      <c r="Z14" s="55">
        <f t="shared" si="7"/>
        <v>111</v>
      </c>
      <c r="AA14" s="716">
        <f t="shared" si="3"/>
        <v>1</v>
      </c>
      <c r="AB14" s="716">
        <f t="shared" si="4"/>
        <v>1</v>
      </c>
      <c r="AC14" s="2147">
        <f t="shared" si="5"/>
        <v>1</v>
      </c>
    </row>
    <row r="15" spans="1:29" ht="71.25">
      <c r="A15" s="402" t="s">
        <v>2385</v>
      </c>
      <c r="B15" s="588" t="s">
        <v>2513</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14" t="s">
        <v>2386</v>
      </c>
      <c r="Q15" s="1539" t="str">
        <f t="shared" si="6"/>
        <v>办公集聚程度</v>
      </c>
      <c r="R15" s="717" t="s">
        <v>17</v>
      </c>
      <c r="S15" s="718">
        <f t="shared" si="0"/>
        <v>100</v>
      </c>
      <c r="T15" s="717" t="s">
        <v>17</v>
      </c>
      <c r="U15" s="718">
        <f t="shared" si="1"/>
        <v>100</v>
      </c>
      <c r="V15" s="717" t="s">
        <v>17</v>
      </c>
      <c r="W15" s="718">
        <f t="shared" si="2"/>
        <v>100</v>
      </c>
      <c r="X15" s="1542"/>
      <c r="Y15" s="3338" t="s">
        <v>2386</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15"/>
      <c r="Q16" s="1539"/>
      <c r="R16" s="717"/>
      <c r="S16" s="718"/>
      <c r="T16" s="717"/>
      <c r="U16" s="718"/>
      <c r="V16" s="717"/>
      <c r="W16" s="718"/>
      <c r="X16" s="1542"/>
      <c r="Y16" s="3339"/>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15"/>
      <c r="Q17" s="1539" t="str">
        <f>B17</f>
        <v>交通便捷度</v>
      </c>
      <c r="R17" s="717" t="s">
        <v>17</v>
      </c>
      <c r="S17" s="718">
        <f>F17</f>
        <v>100</v>
      </c>
      <c r="T17" s="717" t="s">
        <v>17</v>
      </c>
      <c r="U17" s="718">
        <f>H17</f>
        <v>100</v>
      </c>
      <c r="V17" s="717" t="s">
        <v>17</v>
      </c>
      <c r="W17" s="718">
        <f>J17</f>
        <v>100</v>
      </c>
      <c r="X17" s="1542"/>
      <c r="Y17" s="3339"/>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15"/>
      <c r="Q18" s="1539"/>
      <c r="R18" s="717"/>
      <c r="S18" s="718"/>
      <c r="T18" s="717"/>
      <c r="U18" s="718"/>
      <c r="V18" s="717"/>
      <c r="W18" s="718"/>
      <c r="X18" s="1542"/>
      <c r="Y18" s="3339"/>
      <c r="Z18" s="1543"/>
      <c r="AA18" s="1540">
        <v>1</v>
      </c>
      <c r="AB18" s="1540">
        <v>1</v>
      </c>
      <c r="AC18" s="2150">
        <v>1</v>
      </c>
    </row>
    <row r="19" spans="1:29" ht="42.75">
      <c r="A19" s="390"/>
      <c r="B19" s="590" t="s">
        <v>2514</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15"/>
      <c r="Q19" s="1539" t="str">
        <f>B19</f>
        <v>公共配套设施</v>
      </c>
      <c r="R19" s="717" t="s">
        <v>17</v>
      </c>
      <c r="S19" s="718">
        <f>F19</f>
        <v>100</v>
      </c>
      <c r="T19" s="717" t="s">
        <v>17</v>
      </c>
      <c r="U19" s="718">
        <f>H19</f>
        <v>100</v>
      </c>
      <c r="V19" s="717" t="s">
        <v>17</v>
      </c>
      <c r="W19" s="718">
        <f>J19</f>
        <v>100</v>
      </c>
      <c r="X19" s="1542"/>
      <c r="Y19" s="3339"/>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15"/>
      <c r="Q20" s="1539"/>
      <c r="R20" s="717"/>
      <c r="S20" s="718"/>
      <c r="T20" s="717"/>
      <c r="U20" s="718"/>
      <c r="V20" s="717"/>
      <c r="W20" s="718"/>
      <c r="X20" s="1542"/>
      <c r="Y20" s="3339"/>
      <c r="Z20" s="1543"/>
      <c r="AA20" s="1540">
        <v>1</v>
      </c>
      <c r="AB20" s="1540">
        <v>1</v>
      </c>
      <c r="AC20" s="2150">
        <v>1</v>
      </c>
    </row>
    <row r="21" spans="1:29" ht="28.5">
      <c r="A21" s="390"/>
      <c r="B21" s="592" t="s">
        <v>2515</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15"/>
      <c r="Q21" s="1539" t="str">
        <f>B21</f>
        <v>基础设施水平</v>
      </c>
      <c r="R21" s="717" t="s">
        <v>17</v>
      </c>
      <c r="S21" s="718">
        <f>F21</f>
        <v>100</v>
      </c>
      <c r="T21" s="717" t="s">
        <v>17</v>
      </c>
      <c r="U21" s="718">
        <f>H21</f>
        <v>100</v>
      </c>
      <c r="V21" s="717" t="s">
        <v>17</v>
      </c>
      <c r="W21" s="718">
        <f>J21</f>
        <v>100</v>
      </c>
      <c r="X21" s="1542"/>
      <c r="Y21" s="3339"/>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15"/>
      <c r="Q22" s="1539"/>
      <c r="R22" s="717"/>
      <c r="S22" s="718"/>
      <c r="T22" s="717"/>
      <c r="U22" s="718"/>
      <c r="V22" s="717"/>
      <c r="W22" s="718"/>
      <c r="X22" s="1542"/>
      <c r="Y22" s="3339"/>
      <c r="Z22" s="1543"/>
      <c r="AA22" s="1540">
        <v>1</v>
      </c>
      <c r="AB22" s="1540">
        <v>1</v>
      </c>
      <c r="AC22" s="2150">
        <v>1</v>
      </c>
    </row>
    <row r="23" spans="1:29" ht="42.75">
      <c r="A23" s="390"/>
      <c r="B23" s="590" t="s">
        <v>2516</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15"/>
      <c r="Q23" s="1539" t="str">
        <f>B23</f>
        <v>环境质量</v>
      </c>
      <c r="R23" s="717" t="s">
        <v>17</v>
      </c>
      <c r="S23" s="718">
        <f>F23</f>
        <v>100</v>
      </c>
      <c r="T23" s="717" t="s">
        <v>17</v>
      </c>
      <c r="U23" s="718">
        <f>H23</f>
        <v>100</v>
      </c>
      <c r="V23" s="717" t="s">
        <v>17</v>
      </c>
      <c r="W23" s="718">
        <f>J23</f>
        <v>100</v>
      </c>
      <c r="X23" s="1542"/>
      <c r="Y23" s="3339"/>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15"/>
      <c r="Q24" s="1539"/>
      <c r="R24" s="717"/>
      <c r="S24" s="718"/>
      <c r="T24" s="717"/>
      <c r="U24" s="718"/>
      <c r="V24" s="717"/>
      <c r="W24" s="718"/>
      <c r="X24" s="1542"/>
      <c r="Y24" s="3339"/>
      <c r="Z24" s="1543"/>
      <c r="AA24" s="1540">
        <v>1</v>
      </c>
      <c r="AB24" s="1540">
        <v>1</v>
      </c>
      <c r="AC24" s="2150">
        <v>1</v>
      </c>
    </row>
    <row r="25" spans="1:29" ht="27">
      <c r="A25" s="367"/>
      <c r="B25" s="590" t="s">
        <v>2517</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15"/>
      <c r="Q25" s="1539" t="str">
        <f>B25</f>
        <v>毗邻道路的类型与等级</v>
      </c>
      <c r="R25" s="717" t="s">
        <v>17</v>
      </c>
      <c r="S25" s="718">
        <f>F25</f>
        <v>100</v>
      </c>
      <c r="T25" s="717" t="s">
        <v>17</v>
      </c>
      <c r="U25" s="718">
        <f>H25</f>
        <v>100</v>
      </c>
      <c r="V25" s="717" t="s">
        <v>17</v>
      </c>
      <c r="W25" s="718">
        <f>J25</f>
        <v>100</v>
      </c>
      <c r="X25" s="1542"/>
      <c r="Y25" s="3339"/>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15"/>
      <c r="Q26" s="1539"/>
      <c r="R26" s="717"/>
      <c r="S26" s="718"/>
      <c r="T26" s="717"/>
      <c r="U26" s="718"/>
      <c r="V26" s="717"/>
      <c r="W26" s="718"/>
      <c r="X26" s="1542"/>
      <c r="Y26" s="3339"/>
      <c r="Z26" s="1543"/>
      <c r="AA26" s="1540">
        <v>1</v>
      </c>
      <c r="AB26" s="1540">
        <v>1</v>
      </c>
      <c r="AC26" s="2150">
        <v>1</v>
      </c>
    </row>
    <row r="27" spans="1:29" ht="15">
      <c r="A27" s="390"/>
      <c r="B27" s="591" t="s">
        <v>2485</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15"/>
      <c r="Q27" s="1539" t="str">
        <f t="shared" ref="Q27:Q47" si="11">B27</f>
        <v>楼层</v>
      </c>
      <c r="R27" s="717" t="s">
        <v>17</v>
      </c>
      <c r="S27" s="718">
        <f>F27</f>
        <v>100</v>
      </c>
      <c r="T27" s="717" t="s">
        <v>17</v>
      </c>
      <c r="U27" s="718">
        <f>H27</f>
        <v>100</v>
      </c>
      <c r="V27" s="717" t="s">
        <v>17</v>
      </c>
      <c r="W27" s="718">
        <f>J27</f>
        <v>100</v>
      </c>
      <c r="X27" s="1542"/>
      <c r="Y27" s="3339"/>
      <c r="Z27" s="1543" t="str">
        <f>Q27</f>
        <v>楼层</v>
      </c>
      <c r="AA27" s="1540">
        <f t="shared" si="3"/>
        <v>1</v>
      </c>
      <c r="AB27" s="1540">
        <f t="shared" si="4"/>
        <v>1</v>
      </c>
      <c r="AC27" s="2150">
        <f t="shared" si="5"/>
        <v>1</v>
      </c>
    </row>
    <row r="28" spans="1:29" s="116" customFormat="1" ht="15">
      <c r="A28" s="393"/>
      <c r="B28" s="590" t="s">
        <v>2518</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15"/>
      <c r="Q28" s="1530" t="str">
        <f t="shared" si="11"/>
        <v>朝向</v>
      </c>
      <c r="R28" s="713" t="s">
        <v>17</v>
      </c>
      <c r="S28" s="714">
        <f>F28</f>
        <v>100</v>
      </c>
      <c r="T28" s="713" t="s">
        <v>17</v>
      </c>
      <c r="U28" s="714">
        <f>H28</f>
        <v>100</v>
      </c>
      <c r="V28" s="713" t="s">
        <v>17</v>
      </c>
      <c r="W28" s="714">
        <f>J28</f>
        <v>100</v>
      </c>
      <c r="X28" s="715"/>
      <c r="Y28" s="3339"/>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15"/>
      <c r="Q29" s="1539">
        <f t="shared" si="11"/>
        <v>111</v>
      </c>
      <c r="R29" s="717" t="s">
        <v>17</v>
      </c>
      <c r="S29" s="718">
        <f t="shared" ref="S29:S47" si="12">F29</f>
        <v>100</v>
      </c>
      <c r="T29" s="717" t="s">
        <v>17</v>
      </c>
      <c r="U29" s="718">
        <f t="shared" ref="U29:U47" si="13">H29</f>
        <v>100</v>
      </c>
      <c r="V29" s="717" t="s">
        <v>17</v>
      </c>
      <c r="W29" s="718">
        <f t="shared" ref="W29:W47" si="14">J29</f>
        <v>100</v>
      </c>
      <c r="X29" s="1542"/>
      <c r="Y29" s="3339"/>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15"/>
      <c r="Q30" s="1539">
        <f t="shared" si="11"/>
        <v>111</v>
      </c>
      <c r="R30" s="717" t="s">
        <v>17</v>
      </c>
      <c r="S30" s="718">
        <f t="shared" si="12"/>
        <v>100</v>
      </c>
      <c r="T30" s="717" t="s">
        <v>17</v>
      </c>
      <c r="U30" s="718">
        <f t="shared" si="13"/>
        <v>100</v>
      </c>
      <c r="V30" s="717" t="s">
        <v>17</v>
      </c>
      <c r="W30" s="718">
        <f t="shared" si="14"/>
        <v>100</v>
      </c>
      <c r="X30" s="1542"/>
      <c r="Y30" s="3339"/>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15"/>
      <c r="Q31" s="1539">
        <f t="shared" si="11"/>
        <v>111</v>
      </c>
      <c r="R31" s="717" t="s">
        <v>17</v>
      </c>
      <c r="S31" s="718">
        <f t="shared" si="12"/>
        <v>100</v>
      </c>
      <c r="T31" s="717" t="s">
        <v>17</v>
      </c>
      <c r="U31" s="718">
        <f t="shared" si="13"/>
        <v>100</v>
      </c>
      <c r="V31" s="717" t="s">
        <v>17</v>
      </c>
      <c r="W31" s="718">
        <f t="shared" si="14"/>
        <v>100</v>
      </c>
      <c r="X31" s="1542"/>
      <c r="Y31" s="3339"/>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15"/>
      <c r="Q32" s="1539">
        <f t="shared" si="11"/>
        <v>111</v>
      </c>
      <c r="R32" s="717" t="s">
        <v>17</v>
      </c>
      <c r="S32" s="718">
        <f t="shared" si="12"/>
        <v>100</v>
      </c>
      <c r="T32" s="717" t="s">
        <v>17</v>
      </c>
      <c r="U32" s="718">
        <f t="shared" si="13"/>
        <v>100</v>
      </c>
      <c r="V32" s="717" t="s">
        <v>17</v>
      </c>
      <c r="W32" s="718">
        <f t="shared" si="14"/>
        <v>100</v>
      </c>
      <c r="X32" s="1542"/>
      <c r="Y32" s="3339"/>
      <c r="Z32" s="1543">
        <f t="shared" si="15"/>
        <v>111</v>
      </c>
      <c r="AA32" s="1540">
        <f t="shared" si="3"/>
        <v>1</v>
      </c>
      <c r="AB32" s="1540">
        <f t="shared" si="4"/>
        <v>1</v>
      </c>
      <c r="AC32" s="2150">
        <f t="shared" si="5"/>
        <v>1</v>
      </c>
    </row>
    <row r="33" spans="1:29" ht="15">
      <c r="A33" s="402" t="s">
        <v>2389</v>
      </c>
      <c r="B33" s="71" t="s">
        <v>2519</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10" t="s">
        <v>2391</v>
      </c>
      <c r="Q33" s="1539" t="str">
        <f t="shared" si="11"/>
        <v>建筑类型</v>
      </c>
      <c r="R33" s="717" t="s">
        <v>17</v>
      </c>
      <c r="S33" s="718">
        <f t="shared" si="12"/>
        <v>100</v>
      </c>
      <c r="T33" s="717" t="s">
        <v>17</v>
      </c>
      <c r="U33" s="718">
        <f t="shared" si="13"/>
        <v>100</v>
      </c>
      <c r="V33" s="717" t="s">
        <v>17</v>
      </c>
      <c r="W33" s="718">
        <f t="shared" si="14"/>
        <v>100</v>
      </c>
      <c r="X33" s="1542"/>
      <c r="Y33" s="3341" t="s">
        <v>2391</v>
      </c>
      <c r="Z33" s="1543" t="str">
        <f t="shared" si="15"/>
        <v>建筑类型</v>
      </c>
      <c r="AA33" s="1540">
        <f t="shared" si="3"/>
        <v>1</v>
      </c>
      <c r="AB33" s="1540">
        <f t="shared" si="4"/>
        <v>1</v>
      </c>
      <c r="AC33" s="2150">
        <f t="shared" si="5"/>
        <v>1</v>
      </c>
    </row>
    <row r="34" spans="1:29" s="433" customFormat="1" ht="15">
      <c r="A34" s="430"/>
      <c r="B34" s="384" t="s">
        <v>2392</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11"/>
      <c r="Q34" s="719" t="str">
        <f t="shared" si="11"/>
        <v>项目建筑规模</v>
      </c>
      <c r="R34" s="720" t="s">
        <v>17</v>
      </c>
      <c r="S34" s="721" t="e">
        <f t="shared" si="12"/>
        <v>#N/A</v>
      </c>
      <c r="T34" s="720" t="s">
        <v>17</v>
      </c>
      <c r="U34" s="721" t="e">
        <f t="shared" si="13"/>
        <v>#N/A</v>
      </c>
      <c r="V34" s="720" t="s">
        <v>17</v>
      </c>
      <c r="W34" s="721" t="e">
        <f t="shared" si="14"/>
        <v>#N/A</v>
      </c>
      <c r="X34" s="722"/>
      <c r="Y34" s="3341"/>
      <c r="Z34" s="723" t="str">
        <f t="shared" si="15"/>
        <v>项目建筑规模</v>
      </c>
      <c r="AA34" s="1540" t="e">
        <f t="shared" si="3"/>
        <v>#N/A</v>
      </c>
      <c r="AB34" s="1540" t="e">
        <f t="shared" si="4"/>
        <v>#N/A</v>
      </c>
      <c r="AC34" s="2150" t="e">
        <f t="shared" si="5"/>
        <v>#N/A</v>
      </c>
    </row>
    <row r="35" spans="1:29" ht="15">
      <c r="A35" s="434"/>
      <c r="B35" s="384" t="s">
        <v>2393</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11"/>
      <c r="Q35" s="1539" t="str">
        <f t="shared" si="11"/>
        <v>建筑结构</v>
      </c>
      <c r="R35" s="717" t="s">
        <v>17</v>
      </c>
      <c r="S35" s="718">
        <f t="shared" si="12"/>
        <v>100</v>
      </c>
      <c r="T35" s="717" t="s">
        <v>17</v>
      </c>
      <c r="U35" s="718">
        <f t="shared" si="13"/>
        <v>100</v>
      </c>
      <c r="V35" s="717" t="s">
        <v>17</v>
      </c>
      <c r="W35" s="718">
        <f t="shared" si="14"/>
        <v>100</v>
      </c>
      <c r="X35" s="1542"/>
      <c r="Y35" s="3341"/>
      <c r="Z35" s="1543" t="str">
        <f t="shared" si="15"/>
        <v>建筑结构</v>
      </c>
      <c r="AA35" s="1540">
        <f t="shared" si="3"/>
        <v>1</v>
      </c>
      <c r="AB35" s="1540">
        <f t="shared" si="4"/>
        <v>1</v>
      </c>
      <c r="AC35" s="2150">
        <f t="shared" si="5"/>
        <v>1</v>
      </c>
    </row>
    <row r="36" spans="1:29" ht="15">
      <c r="A36" s="434"/>
      <c r="B36" s="384" t="s">
        <v>2487</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11"/>
      <c r="Q36" s="1539" t="str">
        <f t="shared" si="11"/>
        <v>公共部分装修</v>
      </c>
      <c r="R36" s="717" t="s">
        <v>17</v>
      </c>
      <c r="S36" s="718">
        <f t="shared" si="12"/>
        <v>100</v>
      </c>
      <c r="T36" s="717" t="s">
        <v>17</v>
      </c>
      <c r="U36" s="718">
        <f t="shared" si="13"/>
        <v>100</v>
      </c>
      <c r="V36" s="717" t="s">
        <v>17</v>
      </c>
      <c r="W36" s="718">
        <f t="shared" si="14"/>
        <v>100</v>
      </c>
      <c r="X36" s="1542"/>
      <c r="Y36" s="3341"/>
      <c r="Z36" s="1543" t="str">
        <f t="shared" si="15"/>
        <v>公共部分装修</v>
      </c>
      <c r="AA36" s="1540">
        <f t="shared" si="3"/>
        <v>1</v>
      </c>
      <c r="AB36" s="1540">
        <f t="shared" si="4"/>
        <v>1</v>
      </c>
      <c r="AC36" s="2150">
        <f t="shared" si="5"/>
        <v>1</v>
      </c>
    </row>
    <row r="37" spans="1:29" ht="15">
      <c r="A37" s="434"/>
      <c r="B37" s="384" t="s">
        <v>2488</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11"/>
      <c r="Q37" s="1539" t="str">
        <f t="shared" si="11"/>
        <v>成新度</v>
      </c>
      <c r="R37" s="717" t="s">
        <v>17</v>
      </c>
      <c r="S37" s="718" t="e">
        <f t="shared" si="12"/>
        <v>#N/A</v>
      </c>
      <c r="T37" s="717" t="s">
        <v>17</v>
      </c>
      <c r="U37" s="718" t="e">
        <f t="shared" si="13"/>
        <v>#N/A</v>
      </c>
      <c r="V37" s="717" t="s">
        <v>17</v>
      </c>
      <c r="W37" s="718" t="e">
        <f t="shared" si="14"/>
        <v>#N/A</v>
      </c>
      <c r="X37" s="1542"/>
      <c r="Y37" s="3341"/>
      <c r="Z37" s="1543" t="str">
        <f t="shared" si="15"/>
        <v>成新度</v>
      </c>
      <c r="AA37" s="1540" t="e">
        <f t="shared" si="3"/>
        <v>#N/A</v>
      </c>
      <c r="AB37" s="1540" t="e">
        <f t="shared" si="4"/>
        <v>#N/A</v>
      </c>
      <c r="AC37" s="2150" t="e">
        <f t="shared" si="5"/>
        <v>#N/A</v>
      </c>
    </row>
    <row r="38" spans="1:29" s="116" customFormat="1" ht="15">
      <c r="A38" s="435"/>
      <c r="B38" s="384" t="s">
        <v>2520</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11"/>
      <c r="Q38" s="1530" t="str">
        <f t="shared" si="11"/>
        <v>写字楼等级</v>
      </c>
      <c r="R38" s="713" t="s">
        <v>17</v>
      </c>
      <c r="S38" s="714">
        <f t="shared" si="12"/>
        <v>100</v>
      </c>
      <c r="T38" s="713" t="s">
        <v>17</v>
      </c>
      <c r="U38" s="714">
        <f t="shared" si="13"/>
        <v>100</v>
      </c>
      <c r="V38" s="713" t="s">
        <v>17</v>
      </c>
      <c r="W38" s="714">
        <f t="shared" si="14"/>
        <v>100</v>
      </c>
      <c r="X38" s="715"/>
      <c r="Y38" s="3341"/>
      <c r="Z38" s="55" t="str">
        <f t="shared" si="15"/>
        <v>写字楼等级</v>
      </c>
      <c r="AA38" s="716">
        <f t="shared" si="3"/>
        <v>1</v>
      </c>
      <c r="AB38" s="716">
        <f t="shared" si="4"/>
        <v>1</v>
      </c>
      <c r="AC38" s="2147">
        <f t="shared" si="5"/>
        <v>1</v>
      </c>
    </row>
    <row r="39" spans="1:29" ht="15">
      <c r="A39" s="434"/>
      <c r="B39" s="384" t="s">
        <v>2521</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11" t="s">
        <v>2391</v>
      </c>
      <c r="Q39" s="1539" t="str">
        <f t="shared" si="11"/>
        <v>物业管理</v>
      </c>
      <c r="R39" s="717" t="s">
        <v>17</v>
      </c>
      <c r="S39" s="718">
        <f t="shared" si="12"/>
        <v>100</v>
      </c>
      <c r="T39" s="717" t="s">
        <v>17</v>
      </c>
      <c r="U39" s="718">
        <f t="shared" si="13"/>
        <v>100</v>
      </c>
      <c r="V39" s="717" t="s">
        <v>17</v>
      </c>
      <c r="W39" s="718">
        <f t="shared" si="14"/>
        <v>100</v>
      </c>
      <c r="X39" s="1542"/>
      <c r="Y39" s="3341" t="s">
        <v>2391</v>
      </c>
      <c r="Z39" s="1543" t="str">
        <f t="shared" si="15"/>
        <v>物业管理</v>
      </c>
      <c r="AA39" s="1540">
        <f t="shared" si="3"/>
        <v>1</v>
      </c>
      <c r="AB39" s="1540">
        <f t="shared" si="4"/>
        <v>1</v>
      </c>
      <c r="AC39" s="2150">
        <f t="shared" si="5"/>
        <v>1</v>
      </c>
    </row>
    <row r="40" spans="1:29" ht="15">
      <c r="A40" s="434"/>
      <c r="B40" s="384" t="s">
        <v>2489</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11"/>
      <c r="Q40" s="1539" t="str">
        <f t="shared" si="11"/>
        <v>市政基础设施</v>
      </c>
      <c r="R40" s="717" t="s">
        <v>17</v>
      </c>
      <c r="S40" s="718">
        <f t="shared" si="12"/>
        <v>100</v>
      </c>
      <c r="T40" s="717" t="s">
        <v>17</v>
      </c>
      <c r="U40" s="718">
        <f t="shared" si="13"/>
        <v>100</v>
      </c>
      <c r="V40" s="717" t="s">
        <v>17</v>
      </c>
      <c r="W40" s="718">
        <f t="shared" si="14"/>
        <v>100</v>
      </c>
      <c r="X40" s="1542"/>
      <c r="Y40" s="3341"/>
      <c r="Z40" s="1543" t="str">
        <f t="shared" si="15"/>
        <v>市政基础设施</v>
      </c>
      <c r="AA40" s="1540">
        <f t="shared" si="3"/>
        <v>1</v>
      </c>
      <c r="AB40" s="1540">
        <f t="shared" si="4"/>
        <v>1</v>
      </c>
      <c r="AC40" s="2150">
        <f t="shared" si="5"/>
        <v>1</v>
      </c>
    </row>
    <row r="41" spans="1:29" ht="15">
      <c r="A41" s="434"/>
      <c r="B41" s="384" t="s">
        <v>2491</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11"/>
      <c r="Q41" s="1539" t="str">
        <f t="shared" si="11"/>
        <v>层高</v>
      </c>
      <c r="R41" s="717" t="s">
        <v>17</v>
      </c>
      <c r="S41" s="718">
        <f t="shared" si="12"/>
        <v>100</v>
      </c>
      <c r="T41" s="717" t="s">
        <v>17</v>
      </c>
      <c r="U41" s="718">
        <f t="shared" si="13"/>
        <v>100</v>
      </c>
      <c r="V41" s="717" t="s">
        <v>17</v>
      </c>
      <c r="W41" s="718">
        <f t="shared" si="14"/>
        <v>100</v>
      </c>
      <c r="X41" s="1542"/>
      <c r="Y41" s="3341"/>
      <c r="Z41" s="1543" t="str">
        <f t="shared" si="15"/>
        <v>层高</v>
      </c>
      <c r="AA41" s="1540">
        <f t="shared" si="3"/>
        <v>1</v>
      </c>
      <c r="AB41" s="1540">
        <f t="shared" si="4"/>
        <v>1</v>
      </c>
      <c r="AC41" s="2150">
        <f t="shared" si="5"/>
        <v>1</v>
      </c>
    </row>
    <row r="42" spans="1:29" s="433" customFormat="1" ht="15">
      <c r="A42" s="430"/>
      <c r="B42" s="1541" t="s">
        <v>2522</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11"/>
      <c r="Q42" s="719" t="str">
        <f t="shared" si="11"/>
        <v>单套建筑面积</v>
      </c>
      <c r="R42" s="720" t="s">
        <v>17</v>
      </c>
      <c r="S42" s="721">
        <f t="shared" si="12"/>
        <v>100</v>
      </c>
      <c r="T42" s="720" t="s">
        <v>17</v>
      </c>
      <c r="U42" s="721">
        <f t="shared" si="13"/>
        <v>100</v>
      </c>
      <c r="V42" s="720" t="s">
        <v>17</v>
      </c>
      <c r="W42" s="721">
        <f t="shared" si="14"/>
        <v>100</v>
      </c>
      <c r="X42" s="722"/>
      <c r="Y42" s="3341"/>
      <c r="Z42" s="723" t="str">
        <f t="shared" si="15"/>
        <v>单套建筑面积</v>
      </c>
      <c r="AA42" s="1540">
        <f t="shared" si="3"/>
        <v>1</v>
      </c>
      <c r="AB42" s="1540">
        <f t="shared" si="4"/>
        <v>1</v>
      </c>
      <c r="AC42" s="2150">
        <f t="shared" si="5"/>
        <v>1</v>
      </c>
    </row>
    <row r="43" spans="1:29" ht="15">
      <c r="A43" s="434"/>
      <c r="B43" s="384" t="s">
        <v>2494</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11"/>
      <c r="Q43" s="1539" t="str">
        <f t="shared" si="11"/>
        <v>内部装修</v>
      </c>
      <c r="R43" s="717" t="s">
        <v>17</v>
      </c>
      <c r="S43" s="718">
        <f t="shared" si="12"/>
        <v>100</v>
      </c>
      <c r="T43" s="717" t="s">
        <v>17</v>
      </c>
      <c r="U43" s="718">
        <f t="shared" si="13"/>
        <v>100</v>
      </c>
      <c r="V43" s="717" t="s">
        <v>17</v>
      </c>
      <c r="W43" s="718">
        <f t="shared" si="14"/>
        <v>100</v>
      </c>
      <c r="X43" s="1542"/>
      <c r="Y43" s="3341"/>
      <c r="Z43" s="1543" t="str">
        <f t="shared" si="15"/>
        <v>内部装修</v>
      </c>
      <c r="AA43" s="1540">
        <f t="shared" si="3"/>
        <v>1</v>
      </c>
      <c r="AB43" s="1540">
        <f t="shared" si="4"/>
        <v>1</v>
      </c>
      <c r="AC43" s="2150">
        <f t="shared" si="5"/>
        <v>1</v>
      </c>
    </row>
    <row r="44" spans="1:29" ht="15">
      <c r="A44" s="434"/>
      <c r="B44" s="384" t="s">
        <v>2402</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11"/>
      <c r="Q44" s="1539" t="str">
        <f t="shared" si="11"/>
        <v>内部装修维护情况</v>
      </c>
      <c r="R44" s="717" t="s">
        <v>17</v>
      </c>
      <c r="S44" s="718">
        <f t="shared" si="12"/>
        <v>100</v>
      </c>
      <c r="T44" s="717" t="s">
        <v>17</v>
      </c>
      <c r="U44" s="718">
        <f t="shared" si="13"/>
        <v>100</v>
      </c>
      <c r="V44" s="717" t="s">
        <v>17</v>
      </c>
      <c r="W44" s="718">
        <f t="shared" si="14"/>
        <v>100</v>
      </c>
      <c r="X44" s="1542"/>
      <c r="Y44" s="3341"/>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11"/>
      <c r="Q45" s="1530">
        <f t="shared" si="11"/>
        <v>111</v>
      </c>
      <c r="R45" s="713" t="s">
        <v>17</v>
      </c>
      <c r="S45" s="714">
        <f t="shared" si="12"/>
        <v>100</v>
      </c>
      <c r="T45" s="713" t="s">
        <v>17</v>
      </c>
      <c r="U45" s="714">
        <f t="shared" si="13"/>
        <v>100</v>
      </c>
      <c r="V45" s="713" t="s">
        <v>17</v>
      </c>
      <c r="W45" s="714">
        <f t="shared" si="14"/>
        <v>100</v>
      </c>
      <c r="X45" s="715"/>
      <c r="Y45" s="3341"/>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11"/>
      <c r="Q46" s="1539">
        <f t="shared" si="11"/>
        <v>111</v>
      </c>
      <c r="R46" s="717" t="s">
        <v>17</v>
      </c>
      <c r="S46" s="718">
        <f t="shared" si="12"/>
        <v>100</v>
      </c>
      <c r="T46" s="717" t="s">
        <v>17</v>
      </c>
      <c r="U46" s="718">
        <f t="shared" si="13"/>
        <v>100</v>
      </c>
      <c r="V46" s="717" t="s">
        <v>17</v>
      </c>
      <c r="W46" s="718">
        <f t="shared" si="14"/>
        <v>100</v>
      </c>
      <c r="X46" s="1542"/>
      <c r="Y46" s="3341"/>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12"/>
      <c r="Q47" s="1539">
        <f t="shared" si="11"/>
        <v>111</v>
      </c>
      <c r="R47" s="717" t="s">
        <v>17</v>
      </c>
      <c r="S47" s="718">
        <f t="shared" si="12"/>
        <v>100</v>
      </c>
      <c r="T47" s="717" t="s">
        <v>17</v>
      </c>
      <c r="U47" s="718">
        <f t="shared" si="13"/>
        <v>100</v>
      </c>
      <c r="V47" s="717" t="s">
        <v>17</v>
      </c>
      <c r="W47" s="718">
        <f t="shared" si="14"/>
        <v>100</v>
      </c>
      <c r="X47" s="1542"/>
      <c r="Y47" s="3413"/>
      <c r="Z47" s="1543">
        <f t="shared" si="15"/>
        <v>111</v>
      </c>
      <c r="AA47" s="1540">
        <f t="shared" si="3"/>
        <v>1</v>
      </c>
      <c r="AB47" s="1540">
        <f t="shared" si="4"/>
        <v>1</v>
      </c>
      <c r="AC47" s="2150">
        <f t="shared" si="5"/>
        <v>1</v>
      </c>
    </row>
    <row r="48" spans="1:29" ht="15">
      <c r="A48" s="441" t="s">
        <v>2403</v>
      </c>
      <c r="B48" s="442"/>
      <c r="C48" s="1318" t="s">
        <v>1</v>
      </c>
      <c r="D48" s="1319"/>
      <c r="E48" s="1320"/>
      <c r="F48" s="1321"/>
      <c r="G48" s="1322"/>
      <c r="H48" s="1323"/>
      <c r="I48" s="1320"/>
      <c r="J48" s="447"/>
      <c r="K48" s="726"/>
      <c r="L48" s="2953"/>
      <c r="M48" s="2945"/>
      <c r="N48" s="2945"/>
      <c r="O48" s="2945"/>
      <c r="P48" s="3360" t="str">
        <f>A48</f>
        <v>成交单价（元/平方米）</v>
      </c>
      <c r="Q48" s="3335"/>
      <c r="R48" s="3409">
        <f>E48</f>
        <v>0</v>
      </c>
      <c r="S48" s="3409"/>
      <c r="T48" s="3409">
        <f>G48</f>
        <v>0</v>
      </c>
      <c r="U48" s="3409"/>
      <c r="V48" s="3409">
        <f>I48</f>
        <v>0</v>
      </c>
      <c r="W48" s="3409"/>
      <c r="X48" s="408"/>
      <c r="Y48" s="724"/>
      <c r="Z48" s="408"/>
      <c r="AA48" s="408"/>
      <c r="AB48" s="408"/>
      <c r="AC48" s="589"/>
    </row>
    <row r="49" spans="1:29" ht="15.75" thickBot="1">
      <c r="A49" s="448" t="s">
        <v>2495</v>
      </c>
      <c r="B49" s="449"/>
      <c r="C49" s="1324" t="e">
        <f>R50</f>
        <v>#DIV/0!</v>
      </c>
      <c r="D49" s="2540" t="s">
        <v>2888</v>
      </c>
      <c r="E49" s="1325" t="e">
        <f>R49</f>
        <v>#DIV/0!</v>
      </c>
      <c r="F49" s="2541"/>
      <c r="G49" s="1324" t="e">
        <f>T49</f>
        <v>#DIV/0!</v>
      </c>
      <c r="H49" s="2541"/>
      <c r="I49" s="1325" t="e">
        <f>V49</f>
        <v>#DIV/0!</v>
      </c>
      <c r="J49" s="2541"/>
      <c r="K49" s="2543">
        <f>F49+H49+J49</f>
        <v>0</v>
      </c>
      <c r="L49" s="2953"/>
      <c r="M49" s="2945"/>
      <c r="N49" s="2945"/>
      <c r="O49" s="2945"/>
      <c r="P49" s="3360" t="str">
        <f>A49</f>
        <v>比较价值（元/平方米）</v>
      </c>
      <c r="Q49" s="3335"/>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408"/>
      <c r="Y49" s="408"/>
      <c r="Z49" s="408"/>
      <c r="AA49" s="408"/>
      <c r="AB49" s="408"/>
      <c r="AC49" s="589"/>
    </row>
    <row r="50" spans="1:29" ht="15.75" thickBot="1">
      <c r="A50" s="452" t="s">
        <v>2496</v>
      </c>
      <c r="B50" s="453"/>
      <c r="C50" s="1327" t="e">
        <f>R50</f>
        <v>#DIV/0!</v>
      </c>
      <c r="D50" s="1327"/>
      <c r="E50" s="1327"/>
      <c r="F50" s="1327"/>
      <c r="G50" s="1327"/>
      <c r="H50" s="1327"/>
      <c r="I50" s="1327"/>
      <c r="J50" s="454"/>
      <c r="K50" s="727"/>
      <c r="L50" s="2953"/>
      <c r="M50" s="2945"/>
      <c r="N50" s="2945"/>
      <c r="O50" s="2945"/>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2497</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2498</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2499</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2500</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2374</v>
      </c>
      <c r="B59" s="466"/>
      <c r="C59" s="1347" t="str">
        <f>YEAR(C7)&amp;"-"&amp;MONTH(C7)</f>
        <v>2020-12</v>
      </c>
      <c r="D59" s="1348">
        <f>EDATE(C59,-1)</f>
        <v>44136</v>
      </c>
      <c r="E59" s="1348">
        <f>EDATE(D59,-1)</f>
        <v>44105</v>
      </c>
      <c r="F59" s="1348">
        <f t="shared" ref="F59:O59" si="16">EDATE(E59,-1)</f>
        <v>44075</v>
      </c>
      <c r="G59" s="1348">
        <f t="shared" si="16"/>
        <v>44044</v>
      </c>
      <c r="H59" s="1348">
        <f t="shared" si="16"/>
        <v>44013</v>
      </c>
      <c r="I59" s="1348">
        <f t="shared" si="16"/>
        <v>43983</v>
      </c>
      <c r="J59" s="1348">
        <f t="shared" si="16"/>
        <v>43952</v>
      </c>
      <c r="K59" s="1348">
        <f t="shared" si="16"/>
        <v>43922</v>
      </c>
      <c r="L59" s="1348">
        <f t="shared" si="16"/>
        <v>43891</v>
      </c>
      <c r="M59" s="1348">
        <f t="shared" si="16"/>
        <v>43862</v>
      </c>
      <c r="N59" s="1348">
        <f t="shared" si="16"/>
        <v>43831</v>
      </c>
      <c r="O59" s="1348">
        <f t="shared" si="16"/>
        <v>43800</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2411</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2376</v>
      </c>
      <c r="B62" s="470"/>
      <c r="C62" s="482" t="s">
        <v>2478</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2414</v>
      </c>
      <c r="B64" s="488" t="s">
        <v>2380</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2383</v>
      </c>
      <c r="C66" s="499" t="s">
        <v>2415</v>
      </c>
      <c r="D66" s="499" t="s">
        <v>2416</v>
      </c>
      <c r="E66" s="499" t="s">
        <v>2417</v>
      </c>
      <c r="F66" s="499" t="s">
        <v>2418</v>
      </c>
      <c r="G66" s="499" t="s">
        <v>2419</v>
      </c>
      <c r="H66" s="499" t="s">
        <v>2420</v>
      </c>
      <c r="I66" s="499" t="s">
        <v>2421</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2384</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2385</v>
      </c>
      <c r="B77" s="488" t="s">
        <v>2523</v>
      </c>
      <c r="C77" s="533" t="s">
        <v>2423</v>
      </c>
      <c r="D77" s="533" t="s">
        <v>2424</v>
      </c>
      <c r="E77" s="533" t="s">
        <v>2425</v>
      </c>
      <c r="F77" s="533" t="s">
        <v>2426</v>
      </c>
      <c r="G77" s="533" t="s">
        <v>2427</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2428</v>
      </c>
      <c r="C79" s="538" t="s">
        <v>2423</v>
      </c>
      <c r="D79" s="538" t="s">
        <v>2424</v>
      </c>
      <c r="E79" s="538" t="s">
        <v>2425</v>
      </c>
      <c r="F79" s="538" t="s">
        <v>2426</v>
      </c>
      <c r="G79" s="538" t="s">
        <v>2427</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2429</v>
      </c>
      <c r="C81" s="538" t="s">
        <v>2423</v>
      </c>
      <c r="D81" s="538" t="s">
        <v>2424</v>
      </c>
      <c r="E81" s="538" t="s">
        <v>2425</v>
      </c>
      <c r="F81" s="538" t="s">
        <v>2426</v>
      </c>
      <c r="G81" s="538" t="s">
        <v>2427</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2515</v>
      </c>
      <c r="C83" s="619" t="s">
        <v>2501</v>
      </c>
      <c r="D83" s="619" t="s">
        <v>2502</v>
      </c>
      <c r="E83" s="619" t="s">
        <v>2503</v>
      </c>
      <c r="F83" s="619" t="s">
        <v>2504</v>
      </c>
      <c r="G83" s="619" t="s">
        <v>2505</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2524</v>
      </c>
      <c r="C85" s="538" t="s">
        <v>2423</v>
      </c>
      <c r="D85" s="538" t="s">
        <v>2424</v>
      </c>
      <c r="E85" s="538" t="s">
        <v>2425</v>
      </c>
      <c r="F85" s="538" t="s">
        <v>2426</v>
      </c>
      <c r="G85" s="538" t="s">
        <v>2427</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2525</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2389</v>
      </c>
      <c r="B101" s="488" t="s">
        <v>2438</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2439</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2440</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2442</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2526</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2443</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2444</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2527</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2510</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2446</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2447</v>
      </c>
      <c r="C125" s="538" t="s">
        <v>2423</v>
      </c>
      <c r="D125" s="538" t="s">
        <v>2424</v>
      </c>
      <c r="E125" s="538" t="s">
        <v>2425</v>
      </c>
      <c r="F125" s="538" t="s">
        <v>2426</v>
      </c>
      <c r="G125" s="538" t="s">
        <v>2427</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2354</v>
      </c>
      <c r="B1" s="2145" t="s">
        <v>2528</v>
      </c>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2470</v>
      </c>
      <c r="D3" s="362">
        <f>IF(D1="",'数据-汇总表'!E3,SUMIF('数据-汇总表'!$C19:$C33,D1,'数据-汇总表'!$E19:$E33))</f>
        <v>143180.50000000003</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2471</v>
      </c>
      <c r="B4" s="365"/>
      <c r="C4" s="3345" t="s">
        <v>2472</v>
      </c>
      <c r="D4" s="3346"/>
      <c r="E4" s="3347" t="s">
        <v>2473</v>
      </c>
      <c r="F4" s="3348"/>
      <c r="G4" s="3345" t="s">
        <v>2474</v>
      </c>
      <c r="H4" s="3346"/>
      <c r="I4" s="3345" t="s">
        <v>2475</v>
      </c>
      <c r="J4" s="3346"/>
      <c r="K4" s="570" t="s">
        <v>2476</v>
      </c>
      <c r="L4" s="1046"/>
      <c r="M4" s="1047"/>
      <c r="N4" s="1047"/>
      <c r="O4" s="1047"/>
      <c r="P4" s="3349" t="s">
        <v>2477</v>
      </c>
      <c r="Q4" s="3350"/>
      <c r="R4" s="3362" t="s">
        <v>2473</v>
      </c>
      <c r="S4" s="3363"/>
      <c r="T4" s="3362" t="s">
        <v>2474</v>
      </c>
      <c r="U4" s="3363"/>
      <c r="V4" s="3337" t="s">
        <v>2475</v>
      </c>
      <c r="W4" s="3337"/>
      <c r="X4" s="1542"/>
      <c r="Y4" s="3362" t="s">
        <v>2477</v>
      </c>
      <c r="Z4" s="3363"/>
      <c r="AA4" s="3342" t="s">
        <v>2473</v>
      </c>
      <c r="AB4" s="3343" t="s">
        <v>2474</v>
      </c>
      <c r="AC4" s="3342" t="s">
        <v>2475</v>
      </c>
    </row>
    <row r="5" spans="1:29" ht="15">
      <c r="A5" s="367"/>
      <c r="B5" s="368"/>
      <c r="C5" s="3370" t="s">
        <v>2368</v>
      </c>
      <c r="D5" s="3367"/>
      <c r="E5" s="3355" t="s">
        <v>2369</v>
      </c>
      <c r="F5" s="3356"/>
      <c r="G5" s="3370" t="s">
        <v>2370</v>
      </c>
      <c r="H5" s="3367"/>
      <c r="I5" s="3370" t="s">
        <v>2371</v>
      </c>
      <c r="J5" s="3367"/>
      <c r="K5" s="570"/>
      <c r="L5" s="1046"/>
      <c r="M5" s="1047"/>
      <c r="N5" s="1047"/>
      <c r="O5" s="1047"/>
      <c r="P5" s="3351"/>
      <c r="Q5" s="3352"/>
      <c r="R5" s="3364"/>
      <c r="S5" s="3365"/>
      <c r="T5" s="3364"/>
      <c r="U5" s="3365"/>
      <c r="V5" s="3337"/>
      <c r="W5" s="3337"/>
      <c r="X5" s="1542"/>
      <c r="Y5" s="3364"/>
      <c r="Z5" s="3365"/>
      <c r="AA5" s="3343"/>
      <c r="AB5" s="3343"/>
      <c r="AC5" s="3343"/>
    </row>
    <row r="6" spans="1:29" ht="15.75" thickBot="1">
      <c r="A6" s="369"/>
      <c r="B6" s="370"/>
      <c r="C6" s="3404" t="s">
        <v>2372</v>
      </c>
      <c r="D6" s="3405"/>
      <c r="E6" s="3406" t="s">
        <v>2372</v>
      </c>
      <c r="F6" s="3407"/>
      <c r="G6" s="3404" t="s">
        <v>2372</v>
      </c>
      <c r="H6" s="3405"/>
      <c r="I6" s="3404" t="s">
        <v>2372</v>
      </c>
      <c r="J6" s="3405"/>
      <c r="K6" s="570" t="s">
        <v>2373</v>
      </c>
      <c r="L6" s="1046"/>
      <c r="M6" s="1047"/>
      <c r="N6" s="1047"/>
      <c r="O6" s="1047"/>
      <c r="P6" s="3353"/>
      <c r="Q6" s="3354"/>
      <c r="R6" s="3364"/>
      <c r="S6" s="3365"/>
      <c r="T6" s="3374"/>
      <c r="U6" s="3375"/>
      <c r="V6" s="3337"/>
      <c r="W6" s="3337"/>
      <c r="X6" s="1542"/>
      <c r="Y6" s="3374"/>
      <c r="Z6" s="3375"/>
      <c r="AA6" s="3344"/>
      <c r="AB6" s="3344"/>
      <c r="AC6" s="3344"/>
    </row>
    <row r="7" spans="1:29" s="116" customFormat="1" ht="15.75" thickBot="1">
      <c r="A7" s="371" t="s">
        <v>2374</v>
      </c>
      <c r="B7" s="372"/>
      <c r="C7" s="373">
        <f>'数据-取费表'!B2</f>
        <v>44166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57" t="s">
        <v>2375</v>
      </c>
      <c r="Q7" s="3371"/>
      <c r="R7" s="713" t="s">
        <v>17</v>
      </c>
      <c r="S7" s="714">
        <f t="shared" ref="S7:S15" si="0">F7</f>
        <v>0</v>
      </c>
      <c r="T7" s="713" t="s">
        <v>17</v>
      </c>
      <c r="U7" s="714">
        <f t="shared" ref="U7:U15" si="1">H7</f>
        <v>0</v>
      </c>
      <c r="V7" s="713" t="s">
        <v>17</v>
      </c>
      <c r="W7" s="714">
        <f t="shared" ref="W7:W15" si="2">J7</f>
        <v>0</v>
      </c>
      <c r="X7" s="715"/>
      <c r="Y7" s="3357" t="s">
        <v>2375</v>
      </c>
      <c r="Z7" s="3358"/>
      <c r="AA7" s="716" t="e">
        <f>D7/F7</f>
        <v>#DIV/0!</v>
      </c>
      <c r="AB7" s="716" t="e">
        <f>D7/H7</f>
        <v>#DIV/0!</v>
      </c>
      <c r="AC7" s="716" t="e">
        <f>D7/J7</f>
        <v>#DIV/0!</v>
      </c>
    </row>
    <row r="8" spans="1:29" s="116" customFormat="1" ht="15.75" thickBot="1">
      <c r="A8" s="371" t="s">
        <v>2376</v>
      </c>
      <c r="B8" s="372"/>
      <c r="C8" s="377" t="s">
        <v>2377</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57" t="s">
        <v>2378</v>
      </c>
      <c r="Q8" s="3358"/>
      <c r="R8" s="713" t="s">
        <v>17</v>
      </c>
      <c r="S8" s="714">
        <f t="shared" si="0"/>
        <v>0</v>
      </c>
      <c r="T8" s="713" t="s">
        <v>17</v>
      </c>
      <c r="U8" s="714">
        <f t="shared" si="1"/>
        <v>0</v>
      </c>
      <c r="V8" s="713" t="s">
        <v>17</v>
      </c>
      <c r="W8" s="714">
        <f t="shared" si="2"/>
        <v>0</v>
      </c>
      <c r="X8" s="715"/>
      <c r="Y8" s="3357" t="s">
        <v>2378</v>
      </c>
      <c r="Z8" s="3358"/>
      <c r="AA8" s="716" t="e">
        <f t="shared" ref="AA8:AA40" si="3">D8/F8</f>
        <v>#DIV/0!</v>
      </c>
      <c r="AB8" s="716" t="e">
        <f t="shared" ref="AB8:AB40" si="4">D8/H8</f>
        <v>#DIV/0!</v>
      </c>
      <c r="AC8" s="716" t="e">
        <f t="shared" ref="AC8:AC40" si="5">D8/J8</f>
        <v>#DIV/0!</v>
      </c>
    </row>
    <row r="9" spans="1:29" s="116" customFormat="1">
      <c r="A9" s="378" t="s">
        <v>2379</v>
      </c>
      <c r="B9" s="71" t="s">
        <v>2380</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5"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716">
        <f t="shared" si="5"/>
        <v>1</v>
      </c>
    </row>
    <row r="10" spans="1:29" s="389" customFormat="1" ht="27">
      <c r="A10" s="383"/>
      <c r="B10" s="384" t="s">
        <v>2383</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5"/>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716">
        <f t="shared" si="5"/>
        <v>1</v>
      </c>
    </row>
    <row r="11" spans="1:29" ht="15">
      <c r="A11" s="390"/>
      <c r="B11" s="384" t="s">
        <v>2384</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5"/>
      <c r="Q11" s="1530" t="str">
        <f t="shared" si="6"/>
        <v>容积率</v>
      </c>
      <c r="R11" s="713" t="s">
        <v>17</v>
      </c>
      <c r="S11" s="714" t="e">
        <f t="shared" si="0"/>
        <v>#N/A</v>
      </c>
      <c r="T11" s="713" t="s">
        <v>17</v>
      </c>
      <c r="U11" s="714" t="e">
        <f t="shared" si="1"/>
        <v>#N/A</v>
      </c>
      <c r="V11" s="713" t="s">
        <v>17</v>
      </c>
      <c r="W11" s="714" t="e">
        <f t="shared" si="2"/>
        <v>#N/A</v>
      </c>
      <c r="X11" s="715"/>
      <c r="Y11" s="3301"/>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5"/>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5"/>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5"/>
      <c r="Q14" s="1530">
        <f t="shared" si="6"/>
        <v>111</v>
      </c>
      <c r="R14" s="713" t="s">
        <v>17</v>
      </c>
      <c r="S14" s="714">
        <f t="shared" si="0"/>
        <v>100</v>
      </c>
      <c r="T14" s="713" t="s">
        <v>17</v>
      </c>
      <c r="U14" s="714">
        <f t="shared" si="1"/>
        <v>100</v>
      </c>
      <c r="V14" s="713" t="s">
        <v>17</v>
      </c>
      <c r="W14" s="714">
        <f t="shared" si="2"/>
        <v>100</v>
      </c>
      <c r="X14" s="715"/>
      <c r="Y14" s="3301"/>
      <c r="Z14" s="55">
        <f t="shared" si="7"/>
        <v>111</v>
      </c>
      <c r="AA14" s="716">
        <f t="shared" si="3"/>
        <v>1</v>
      </c>
      <c r="AB14" s="716">
        <f t="shared" si="4"/>
        <v>1</v>
      </c>
      <c r="AC14" s="716">
        <f t="shared" si="5"/>
        <v>1</v>
      </c>
    </row>
    <row r="15" spans="1:29" ht="57">
      <c r="A15" s="402" t="s">
        <v>2385</v>
      </c>
      <c r="B15" s="69" t="s">
        <v>2529</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38" t="s">
        <v>2386</v>
      </c>
      <c r="Q15" s="1539" t="str">
        <f t="shared" si="6"/>
        <v>产业集聚程度</v>
      </c>
      <c r="R15" s="717" t="s">
        <v>17</v>
      </c>
      <c r="S15" s="718">
        <f t="shared" si="0"/>
        <v>100</v>
      </c>
      <c r="T15" s="717" t="s">
        <v>17</v>
      </c>
      <c r="U15" s="718">
        <f t="shared" si="1"/>
        <v>100</v>
      </c>
      <c r="V15" s="717" t="s">
        <v>17</v>
      </c>
      <c r="W15" s="718">
        <f t="shared" si="2"/>
        <v>100</v>
      </c>
      <c r="X15" s="1542"/>
      <c r="Y15" s="3338" t="s">
        <v>2386</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39"/>
      <c r="Q16" s="1539"/>
      <c r="R16" s="717"/>
      <c r="S16" s="718"/>
      <c r="T16" s="717"/>
      <c r="U16" s="718"/>
      <c r="V16" s="717"/>
      <c r="W16" s="718"/>
      <c r="X16" s="1542"/>
      <c r="Y16" s="3339"/>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39"/>
      <c r="Q17" s="1539" t="str">
        <f>B17</f>
        <v>交通便捷度</v>
      </c>
      <c r="R17" s="717" t="s">
        <v>17</v>
      </c>
      <c r="S17" s="718">
        <f>F17</f>
        <v>100</v>
      </c>
      <c r="T17" s="717" t="s">
        <v>17</v>
      </c>
      <c r="U17" s="718">
        <f>H17</f>
        <v>100</v>
      </c>
      <c r="V17" s="717" t="s">
        <v>17</v>
      </c>
      <c r="W17" s="718">
        <f>J17</f>
        <v>100</v>
      </c>
      <c r="X17" s="1542"/>
      <c r="Y17" s="3339"/>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39"/>
      <c r="Q18" s="1539"/>
      <c r="R18" s="717"/>
      <c r="S18" s="718"/>
      <c r="T18" s="717"/>
      <c r="U18" s="718"/>
      <c r="V18" s="717"/>
      <c r="W18" s="718"/>
      <c r="X18" s="1542"/>
      <c r="Y18" s="3339"/>
      <c r="Z18" s="1543"/>
      <c r="AA18" s="1540">
        <v>1</v>
      </c>
      <c r="AB18" s="1540">
        <v>1</v>
      </c>
      <c r="AC18" s="1540">
        <v>1</v>
      </c>
    </row>
    <row r="19" spans="1:29" ht="42.75">
      <c r="A19" s="390"/>
      <c r="B19" s="413" t="s">
        <v>2514</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39"/>
      <c r="Q19" s="1539" t="str">
        <f>B19</f>
        <v>公共配套设施</v>
      </c>
      <c r="R19" s="717" t="s">
        <v>17</v>
      </c>
      <c r="S19" s="718">
        <f>F19</f>
        <v>100</v>
      </c>
      <c r="T19" s="717" t="s">
        <v>17</v>
      </c>
      <c r="U19" s="718">
        <f>H19</f>
        <v>100</v>
      </c>
      <c r="V19" s="717" t="s">
        <v>17</v>
      </c>
      <c r="W19" s="718">
        <f>J19</f>
        <v>100</v>
      </c>
      <c r="X19" s="1542"/>
      <c r="Y19" s="3339"/>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39"/>
      <c r="Q20" s="1539"/>
      <c r="R20" s="717"/>
      <c r="S20" s="718"/>
      <c r="T20" s="717"/>
      <c r="U20" s="718"/>
      <c r="V20" s="717"/>
      <c r="W20" s="718"/>
      <c r="X20" s="1542"/>
      <c r="Y20" s="3339"/>
      <c r="Z20" s="1543"/>
      <c r="AA20" s="1540">
        <v>1</v>
      </c>
      <c r="AB20" s="1540">
        <v>1</v>
      </c>
      <c r="AC20" s="1540">
        <v>1</v>
      </c>
    </row>
    <row r="21" spans="1:29" ht="28.5">
      <c r="A21" s="390"/>
      <c r="B21" s="1295" t="s">
        <v>2515</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39"/>
      <c r="Q21" s="1539" t="str">
        <f>B21</f>
        <v>基础设施水平</v>
      </c>
      <c r="R21" s="717" t="s">
        <v>17</v>
      </c>
      <c r="S21" s="718">
        <f>F21</f>
        <v>100</v>
      </c>
      <c r="T21" s="717" t="s">
        <v>17</v>
      </c>
      <c r="U21" s="718">
        <f>H21</f>
        <v>100</v>
      </c>
      <c r="V21" s="717" t="s">
        <v>17</v>
      </c>
      <c r="W21" s="718">
        <f>J21</f>
        <v>100</v>
      </c>
      <c r="X21" s="1542"/>
      <c r="Y21" s="3339"/>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39"/>
      <c r="Q22" s="1539"/>
      <c r="R22" s="717"/>
      <c r="S22" s="718"/>
      <c r="T22" s="717"/>
      <c r="U22" s="718"/>
      <c r="V22" s="717"/>
      <c r="W22" s="718"/>
      <c r="X22" s="1542"/>
      <c r="Y22" s="3339"/>
      <c r="Z22" s="1543"/>
      <c r="AA22" s="1540">
        <v>1</v>
      </c>
      <c r="AB22" s="1540">
        <v>1</v>
      </c>
      <c r="AC22" s="1540">
        <v>1</v>
      </c>
    </row>
    <row r="23" spans="1:29" ht="71.25">
      <c r="A23" s="390"/>
      <c r="B23" s="413" t="s">
        <v>2516</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39"/>
      <c r="Q23" s="1539" t="str">
        <f>B23</f>
        <v>环境质量</v>
      </c>
      <c r="R23" s="717" t="s">
        <v>17</v>
      </c>
      <c r="S23" s="718">
        <f>F23</f>
        <v>100</v>
      </c>
      <c r="T23" s="717" t="s">
        <v>17</v>
      </c>
      <c r="U23" s="718">
        <f>H23</f>
        <v>100</v>
      </c>
      <c r="V23" s="717" t="s">
        <v>17</v>
      </c>
      <c r="W23" s="718">
        <f>J23</f>
        <v>100</v>
      </c>
      <c r="X23" s="1542"/>
      <c r="Y23" s="3339"/>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39"/>
      <c r="Q24" s="1539"/>
      <c r="R24" s="717"/>
      <c r="S24" s="718"/>
      <c r="T24" s="717"/>
      <c r="U24" s="718"/>
      <c r="V24" s="717"/>
      <c r="W24" s="718"/>
      <c r="X24" s="1542"/>
      <c r="Y24" s="3339"/>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39"/>
      <c r="Q25" s="1539">
        <f>B25</f>
        <v>111</v>
      </c>
      <c r="R25" s="717" t="s">
        <v>17</v>
      </c>
      <c r="S25" s="718">
        <f>F25</f>
        <v>100</v>
      </c>
      <c r="T25" s="717" t="s">
        <v>17</v>
      </c>
      <c r="U25" s="718">
        <f>H25</f>
        <v>100</v>
      </c>
      <c r="V25" s="717" t="s">
        <v>17</v>
      </c>
      <c r="W25" s="718">
        <f>J25</f>
        <v>100</v>
      </c>
      <c r="X25" s="1542"/>
      <c r="Y25" s="3339"/>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39"/>
      <c r="Q26" s="1539">
        <f t="shared" ref="Q26:Q40" si="11">B26</f>
        <v>111</v>
      </c>
      <c r="R26" s="717" t="s">
        <v>17</v>
      </c>
      <c r="S26" s="718">
        <f>F26</f>
        <v>100</v>
      </c>
      <c r="T26" s="717" t="s">
        <v>17</v>
      </c>
      <c r="U26" s="718">
        <f>H26</f>
        <v>100</v>
      </c>
      <c r="V26" s="717" t="s">
        <v>17</v>
      </c>
      <c r="W26" s="718">
        <f>J26</f>
        <v>100</v>
      </c>
      <c r="X26" s="1542"/>
      <c r="Y26" s="3339"/>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39"/>
      <c r="Q27" s="1530">
        <f t="shared" si="11"/>
        <v>111</v>
      </c>
      <c r="R27" s="713" t="s">
        <v>17</v>
      </c>
      <c r="S27" s="714">
        <f>F27</f>
        <v>100</v>
      </c>
      <c r="T27" s="713" t="s">
        <v>17</v>
      </c>
      <c r="U27" s="714">
        <f>H27</f>
        <v>100</v>
      </c>
      <c r="V27" s="713" t="s">
        <v>17</v>
      </c>
      <c r="W27" s="714">
        <f>J27</f>
        <v>100</v>
      </c>
      <c r="X27" s="715"/>
      <c r="Y27" s="3339"/>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39"/>
      <c r="Q28" s="1539">
        <f t="shared" si="11"/>
        <v>111</v>
      </c>
      <c r="R28" s="717" t="s">
        <v>17</v>
      </c>
      <c r="S28" s="718">
        <f t="shared" ref="S28:S40" si="12">F28</f>
        <v>100</v>
      </c>
      <c r="T28" s="717" t="s">
        <v>17</v>
      </c>
      <c r="U28" s="718">
        <f t="shared" ref="U28:U40" si="13">H28</f>
        <v>100</v>
      </c>
      <c r="V28" s="717" t="s">
        <v>17</v>
      </c>
      <c r="W28" s="718">
        <f t="shared" ref="W28:W40" si="14">J28</f>
        <v>100</v>
      </c>
      <c r="X28" s="1542"/>
      <c r="Y28" s="3339"/>
      <c r="Z28" s="1543">
        <f t="shared" ref="Z28:Z40" si="15">Q28</f>
        <v>111</v>
      </c>
      <c r="AA28" s="1540">
        <f t="shared" si="3"/>
        <v>1</v>
      </c>
      <c r="AB28" s="1540">
        <f t="shared" si="4"/>
        <v>1</v>
      </c>
      <c r="AC28" s="1540">
        <f t="shared" si="5"/>
        <v>1</v>
      </c>
    </row>
    <row r="29" spans="1:29" ht="28.5">
      <c r="A29" s="428" t="s">
        <v>2389</v>
      </c>
      <c r="B29" s="71" t="s">
        <v>2519</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40" t="s">
        <v>2391</v>
      </c>
      <c r="Q29" s="1539" t="str">
        <f t="shared" si="11"/>
        <v>建筑类型</v>
      </c>
      <c r="R29" s="717" t="s">
        <v>17</v>
      </c>
      <c r="S29" s="718">
        <f t="shared" si="12"/>
        <v>100</v>
      </c>
      <c r="T29" s="717" t="s">
        <v>17</v>
      </c>
      <c r="U29" s="718">
        <f t="shared" si="13"/>
        <v>100</v>
      </c>
      <c r="V29" s="717" t="s">
        <v>17</v>
      </c>
      <c r="W29" s="718">
        <f t="shared" si="14"/>
        <v>100</v>
      </c>
      <c r="X29" s="1542"/>
      <c r="Y29" s="3341" t="s">
        <v>2391</v>
      </c>
      <c r="Z29" s="1543" t="str">
        <f t="shared" si="15"/>
        <v>建筑类型</v>
      </c>
      <c r="AA29" s="1540">
        <f t="shared" si="3"/>
        <v>1</v>
      </c>
      <c r="AB29" s="1540">
        <f t="shared" si="4"/>
        <v>1</v>
      </c>
      <c r="AC29" s="1540">
        <f t="shared" si="5"/>
        <v>1</v>
      </c>
    </row>
    <row r="30" spans="1:29" s="433" customFormat="1" ht="15">
      <c r="A30" s="430"/>
      <c r="B30" s="384" t="s">
        <v>2392</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41"/>
      <c r="Q30" s="719" t="str">
        <f t="shared" si="11"/>
        <v>项目建筑规模</v>
      </c>
      <c r="R30" s="720" t="s">
        <v>17</v>
      </c>
      <c r="S30" s="721" t="e">
        <f t="shared" si="12"/>
        <v>#N/A</v>
      </c>
      <c r="T30" s="720" t="s">
        <v>17</v>
      </c>
      <c r="U30" s="721" t="e">
        <f t="shared" si="13"/>
        <v>#N/A</v>
      </c>
      <c r="V30" s="720" t="s">
        <v>17</v>
      </c>
      <c r="W30" s="721" t="e">
        <f t="shared" si="14"/>
        <v>#N/A</v>
      </c>
      <c r="X30" s="722"/>
      <c r="Y30" s="3341"/>
      <c r="Z30" s="723" t="str">
        <f t="shared" si="15"/>
        <v>项目建筑规模</v>
      </c>
      <c r="AA30" s="1540" t="e">
        <f t="shared" si="3"/>
        <v>#N/A</v>
      </c>
      <c r="AB30" s="1540" t="e">
        <f t="shared" si="4"/>
        <v>#N/A</v>
      </c>
      <c r="AC30" s="1540" t="e">
        <f t="shared" si="5"/>
        <v>#N/A</v>
      </c>
    </row>
    <row r="31" spans="1:29" ht="15">
      <c r="A31" s="434"/>
      <c r="B31" s="384" t="s">
        <v>2393</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41"/>
      <c r="Q31" s="1539" t="str">
        <f t="shared" si="11"/>
        <v>建筑结构</v>
      </c>
      <c r="R31" s="717" t="s">
        <v>17</v>
      </c>
      <c r="S31" s="718">
        <f t="shared" si="12"/>
        <v>100</v>
      </c>
      <c r="T31" s="717" t="s">
        <v>17</v>
      </c>
      <c r="U31" s="718">
        <f t="shared" si="13"/>
        <v>100</v>
      </c>
      <c r="V31" s="717" t="s">
        <v>17</v>
      </c>
      <c r="W31" s="718">
        <f t="shared" si="14"/>
        <v>100</v>
      </c>
      <c r="X31" s="1542"/>
      <c r="Y31" s="3341"/>
      <c r="Z31" s="1543" t="str">
        <f t="shared" si="15"/>
        <v>建筑结构</v>
      </c>
      <c r="AA31" s="1540">
        <f t="shared" si="3"/>
        <v>1</v>
      </c>
      <c r="AB31" s="1540">
        <f t="shared" si="4"/>
        <v>1</v>
      </c>
      <c r="AC31" s="1540">
        <f t="shared" si="5"/>
        <v>1</v>
      </c>
    </row>
    <row r="32" spans="1:29" ht="15">
      <c r="A32" s="434"/>
      <c r="B32" s="384" t="s">
        <v>2487</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41"/>
      <c r="Q32" s="1539" t="str">
        <f t="shared" si="11"/>
        <v>公共部分装修</v>
      </c>
      <c r="R32" s="717" t="s">
        <v>17</v>
      </c>
      <c r="S32" s="718">
        <f t="shared" si="12"/>
        <v>100</v>
      </c>
      <c r="T32" s="717" t="s">
        <v>17</v>
      </c>
      <c r="U32" s="718">
        <f t="shared" si="13"/>
        <v>100</v>
      </c>
      <c r="V32" s="717" t="s">
        <v>17</v>
      </c>
      <c r="W32" s="718">
        <f t="shared" si="14"/>
        <v>100</v>
      </c>
      <c r="X32" s="1542"/>
      <c r="Y32" s="3341"/>
      <c r="Z32" s="1543" t="str">
        <f t="shared" si="15"/>
        <v>公共部分装修</v>
      </c>
      <c r="AA32" s="1540">
        <f t="shared" si="3"/>
        <v>1</v>
      </c>
      <c r="AB32" s="1540">
        <f t="shared" si="4"/>
        <v>1</v>
      </c>
      <c r="AC32" s="1540">
        <f t="shared" si="5"/>
        <v>1</v>
      </c>
    </row>
    <row r="33" spans="1:29" ht="15">
      <c r="A33" s="434"/>
      <c r="B33" s="384" t="s">
        <v>2488</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41"/>
      <c r="Q33" s="1539" t="str">
        <f t="shared" si="11"/>
        <v>成新度</v>
      </c>
      <c r="R33" s="717" t="s">
        <v>17</v>
      </c>
      <c r="S33" s="718" t="e">
        <f t="shared" si="12"/>
        <v>#N/A</v>
      </c>
      <c r="T33" s="717" t="s">
        <v>17</v>
      </c>
      <c r="U33" s="718" t="e">
        <f t="shared" si="13"/>
        <v>#N/A</v>
      </c>
      <c r="V33" s="717" t="s">
        <v>17</v>
      </c>
      <c r="W33" s="718" t="e">
        <f t="shared" si="14"/>
        <v>#N/A</v>
      </c>
      <c r="X33" s="1542"/>
      <c r="Y33" s="3341"/>
      <c r="Z33" s="1543" t="str">
        <f t="shared" si="15"/>
        <v>成新度</v>
      </c>
      <c r="AA33" s="1540" t="e">
        <f t="shared" si="3"/>
        <v>#N/A</v>
      </c>
      <c r="AB33" s="1540" t="e">
        <f t="shared" si="4"/>
        <v>#N/A</v>
      </c>
      <c r="AC33" s="1540" t="e">
        <f t="shared" si="5"/>
        <v>#N/A</v>
      </c>
    </row>
    <row r="34" spans="1:29" s="116" customFormat="1" ht="15">
      <c r="A34" s="435"/>
      <c r="B34" s="384" t="s">
        <v>2521</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41"/>
      <c r="Q34" s="1530" t="str">
        <f t="shared" si="11"/>
        <v>物业管理</v>
      </c>
      <c r="R34" s="713" t="s">
        <v>17</v>
      </c>
      <c r="S34" s="714">
        <f t="shared" si="12"/>
        <v>100</v>
      </c>
      <c r="T34" s="713" t="s">
        <v>17</v>
      </c>
      <c r="U34" s="714">
        <f t="shared" si="13"/>
        <v>100</v>
      </c>
      <c r="V34" s="713" t="s">
        <v>17</v>
      </c>
      <c r="W34" s="714">
        <f t="shared" si="14"/>
        <v>100</v>
      </c>
      <c r="X34" s="715"/>
      <c r="Y34" s="3341"/>
      <c r="Z34" s="55" t="str">
        <f t="shared" si="15"/>
        <v>物业管理</v>
      </c>
      <c r="AA34" s="716">
        <f t="shared" si="3"/>
        <v>1</v>
      </c>
      <c r="AB34" s="716">
        <f t="shared" si="4"/>
        <v>1</v>
      </c>
      <c r="AC34" s="716">
        <f t="shared" si="5"/>
        <v>1</v>
      </c>
    </row>
    <row r="35" spans="1:29" ht="15">
      <c r="A35" s="434"/>
      <c r="B35" s="384" t="s">
        <v>2489</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41" t="s">
        <v>2391</v>
      </c>
      <c r="Q35" s="1539" t="str">
        <f t="shared" si="11"/>
        <v>市政基础设施</v>
      </c>
      <c r="R35" s="717" t="s">
        <v>17</v>
      </c>
      <c r="S35" s="718">
        <f t="shared" si="12"/>
        <v>100</v>
      </c>
      <c r="T35" s="717" t="s">
        <v>17</v>
      </c>
      <c r="U35" s="718">
        <f t="shared" si="13"/>
        <v>100</v>
      </c>
      <c r="V35" s="717" t="s">
        <v>17</v>
      </c>
      <c r="W35" s="718">
        <f t="shared" si="14"/>
        <v>100</v>
      </c>
      <c r="X35" s="1542"/>
      <c r="Y35" s="3341" t="s">
        <v>2391</v>
      </c>
      <c r="Z35" s="1543" t="str">
        <f t="shared" si="15"/>
        <v>市政基础设施</v>
      </c>
      <c r="AA35" s="1540">
        <f t="shared" si="3"/>
        <v>1</v>
      </c>
      <c r="AB35" s="1540">
        <f t="shared" si="4"/>
        <v>1</v>
      </c>
      <c r="AC35" s="1540">
        <f t="shared" si="5"/>
        <v>1</v>
      </c>
    </row>
    <row r="36" spans="1:29" ht="15">
      <c r="A36" s="434"/>
      <c r="B36" s="384" t="s">
        <v>2494</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41"/>
      <c r="Q36" s="1539" t="str">
        <f t="shared" si="11"/>
        <v>内部装修</v>
      </c>
      <c r="R36" s="717" t="s">
        <v>17</v>
      </c>
      <c r="S36" s="718">
        <f t="shared" si="12"/>
        <v>100</v>
      </c>
      <c r="T36" s="717" t="s">
        <v>17</v>
      </c>
      <c r="U36" s="718">
        <f t="shared" si="13"/>
        <v>100</v>
      </c>
      <c r="V36" s="717" t="s">
        <v>17</v>
      </c>
      <c r="W36" s="718">
        <f t="shared" si="14"/>
        <v>100</v>
      </c>
      <c r="X36" s="1542"/>
      <c r="Y36" s="3341"/>
      <c r="Z36" s="1543" t="str">
        <f t="shared" si="15"/>
        <v>内部装修</v>
      </c>
      <c r="AA36" s="1540">
        <f t="shared" si="3"/>
        <v>1</v>
      </c>
      <c r="AB36" s="1540">
        <f t="shared" si="4"/>
        <v>1</v>
      </c>
      <c r="AC36" s="1540">
        <f t="shared" si="5"/>
        <v>1</v>
      </c>
    </row>
    <row r="37" spans="1:29" ht="15">
      <c r="A37" s="434"/>
      <c r="B37" s="384" t="s">
        <v>2530</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41"/>
      <c r="Q37" s="1539" t="str">
        <f t="shared" si="11"/>
        <v>内部装修状况</v>
      </c>
      <c r="R37" s="717" t="s">
        <v>17</v>
      </c>
      <c r="S37" s="718">
        <f t="shared" si="12"/>
        <v>100</v>
      </c>
      <c r="T37" s="717" t="s">
        <v>17</v>
      </c>
      <c r="U37" s="718">
        <f t="shared" si="13"/>
        <v>100</v>
      </c>
      <c r="V37" s="717" t="s">
        <v>17</v>
      </c>
      <c r="W37" s="718">
        <f t="shared" si="14"/>
        <v>100</v>
      </c>
      <c r="X37" s="1542"/>
      <c r="Y37" s="3341"/>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41"/>
      <c r="Q38" s="719">
        <f t="shared" si="11"/>
        <v>111</v>
      </c>
      <c r="R38" s="720" t="s">
        <v>17</v>
      </c>
      <c r="S38" s="721">
        <f t="shared" si="12"/>
        <v>100</v>
      </c>
      <c r="T38" s="720" t="s">
        <v>17</v>
      </c>
      <c r="U38" s="721">
        <f t="shared" si="13"/>
        <v>100</v>
      </c>
      <c r="V38" s="720" t="s">
        <v>17</v>
      </c>
      <c r="W38" s="721">
        <f t="shared" si="14"/>
        <v>100</v>
      </c>
      <c r="X38" s="722"/>
      <c r="Y38" s="3341"/>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41"/>
      <c r="Q39" s="1539">
        <f t="shared" si="11"/>
        <v>111</v>
      </c>
      <c r="R39" s="717" t="s">
        <v>17</v>
      </c>
      <c r="S39" s="718">
        <f t="shared" si="12"/>
        <v>100</v>
      </c>
      <c r="T39" s="717" t="s">
        <v>17</v>
      </c>
      <c r="U39" s="718">
        <f t="shared" si="13"/>
        <v>100</v>
      </c>
      <c r="V39" s="717" t="s">
        <v>17</v>
      </c>
      <c r="W39" s="718">
        <f t="shared" si="14"/>
        <v>100</v>
      </c>
      <c r="X39" s="1542"/>
      <c r="Y39" s="3341"/>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13"/>
      <c r="Q40" s="1539">
        <f t="shared" si="11"/>
        <v>111</v>
      </c>
      <c r="R40" s="717" t="s">
        <v>17</v>
      </c>
      <c r="S40" s="718">
        <f t="shared" si="12"/>
        <v>100</v>
      </c>
      <c r="T40" s="717" t="s">
        <v>17</v>
      </c>
      <c r="U40" s="718">
        <f t="shared" si="13"/>
        <v>100</v>
      </c>
      <c r="V40" s="717" t="s">
        <v>17</v>
      </c>
      <c r="W40" s="718">
        <f t="shared" si="14"/>
        <v>100</v>
      </c>
      <c r="X40" s="1542"/>
      <c r="Y40" s="3413"/>
      <c r="Z40" s="1543">
        <f t="shared" si="15"/>
        <v>111</v>
      </c>
      <c r="AA40" s="1540">
        <f t="shared" si="3"/>
        <v>1</v>
      </c>
      <c r="AB40" s="1540">
        <f t="shared" si="4"/>
        <v>1</v>
      </c>
      <c r="AC40" s="1540">
        <f t="shared" si="5"/>
        <v>1</v>
      </c>
    </row>
    <row r="41" spans="1:29" ht="15">
      <c r="A41" s="441" t="s">
        <v>2403</v>
      </c>
      <c r="B41" s="442"/>
      <c r="C41" s="1318" t="s">
        <v>1</v>
      </c>
      <c r="D41" s="1319"/>
      <c r="E41" s="1320"/>
      <c r="F41" s="1321"/>
      <c r="G41" s="1322"/>
      <c r="H41" s="1323"/>
      <c r="I41" s="1320"/>
      <c r="J41" s="1323"/>
      <c r="K41" s="726"/>
      <c r="L41" s="1059"/>
      <c r="M41" s="1060"/>
      <c r="N41" s="1047"/>
      <c r="O41" s="1060"/>
      <c r="P41" s="3335" t="str">
        <f>A41</f>
        <v>成交单价（元/平方米）</v>
      </c>
      <c r="Q41" s="3335"/>
      <c r="R41" s="3409">
        <f>E41</f>
        <v>0</v>
      </c>
      <c r="S41" s="3409"/>
      <c r="T41" s="3409">
        <f>G41</f>
        <v>0</v>
      </c>
      <c r="U41" s="3409"/>
      <c r="V41" s="3409">
        <f>I41</f>
        <v>0</v>
      </c>
      <c r="W41" s="3409"/>
      <c r="X41" s="702"/>
      <c r="Y41" s="724"/>
      <c r="Z41" s="702"/>
      <c r="AA41" s="702"/>
      <c r="AB41" s="702"/>
      <c r="AC41" s="702"/>
    </row>
    <row r="42" spans="1:29" ht="15.75" thickBot="1">
      <c r="A42" s="448" t="s">
        <v>2495</v>
      </c>
      <c r="B42" s="449"/>
      <c r="C42" s="1324" t="e">
        <f>R43</f>
        <v>#DIV/0!</v>
      </c>
      <c r="D42" s="2540" t="s">
        <v>2888</v>
      </c>
      <c r="E42" s="1325" t="e">
        <f>R42</f>
        <v>#DIV/0!</v>
      </c>
      <c r="F42" s="2541"/>
      <c r="G42" s="1324" t="e">
        <f>T42</f>
        <v>#DIV/0!</v>
      </c>
      <c r="H42" s="2541"/>
      <c r="I42" s="1325" t="e">
        <f>V42</f>
        <v>#DIV/0!</v>
      </c>
      <c r="J42" s="2541"/>
      <c r="K42" s="2543">
        <f>F42+H42+J42</f>
        <v>0</v>
      </c>
      <c r="L42" s="1059"/>
      <c r="M42" s="1060"/>
      <c r="N42" s="1047"/>
      <c r="O42" s="1060"/>
      <c r="P42" s="3335" t="str">
        <f>A42</f>
        <v>比较价值（元/平方米）</v>
      </c>
      <c r="Q42" s="3335"/>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702"/>
      <c r="Y42" s="702"/>
      <c r="Z42" s="702"/>
      <c r="AA42" s="702"/>
      <c r="AB42" s="702"/>
      <c r="AC42" s="702"/>
    </row>
    <row r="43" spans="1:29" ht="15.75" thickBot="1">
      <c r="A43" s="452" t="s">
        <v>2496</v>
      </c>
      <c r="B43" s="453"/>
      <c r="C43" s="1327" t="e">
        <f>R43</f>
        <v>#DIV/0!</v>
      </c>
      <c r="D43" s="1327"/>
      <c r="E43" s="1327"/>
      <c r="F43" s="1327"/>
      <c r="G43" s="1327"/>
      <c r="H43" s="1327"/>
      <c r="I43" s="1327"/>
      <c r="J43" s="1327"/>
      <c r="K43" s="727"/>
      <c r="L43" s="1059"/>
      <c r="M43" s="1060"/>
      <c r="N43" s="1060"/>
      <c r="O43" s="1060"/>
      <c r="P43" s="3332" t="str">
        <f>A43</f>
        <v>估价对象XX用房的比较价值（楼面单价，元/平方米）</v>
      </c>
      <c r="Q43" s="3333"/>
      <c r="R43" s="3408" t="e">
        <f>IF(F1="售价",ROUND(IF(D42="简单平均",AVERAGE(R42:V42),R42*F42+T42*H42+V42*J42),0),ROUND(IF(D42="简单平均",AVERAGE(R42:V42),R42*F42+T42*H42+V42*J42),1))</f>
        <v>#DIV/0!</v>
      </c>
      <c r="S43" s="3408"/>
      <c r="T43" s="3408"/>
      <c r="U43" s="3408"/>
      <c r="V43" s="3408"/>
      <c r="W43" s="3408"/>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2497</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2498</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2499</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2500</v>
      </c>
      <c r="B51" s="702"/>
      <c r="C51" s="707"/>
      <c r="D51" s="707"/>
      <c r="E51" s="707"/>
      <c r="F51" s="708"/>
      <c r="G51" s="708"/>
      <c r="H51" s="707"/>
      <c r="I51" s="707"/>
      <c r="J51" s="707"/>
      <c r="K51" s="1074"/>
      <c r="L51" s="1075"/>
      <c r="M51" s="1073"/>
      <c r="N51" s="1073"/>
      <c r="O51" s="1073"/>
      <c r="P51" s="463"/>
      <c r="Q51" s="464"/>
    </row>
    <row r="52" spans="1:17" s="468" customFormat="1" ht="15">
      <c r="A52" s="465" t="s">
        <v>2374</v>
      </c>
      <c r="B52" s="466"/>
      <c r="C52" s="1347" t="str">
        <f>YEAR(C7)&amp;"-"&amp;MONTH(C7)</f>
        <v>2020-12</v>
      </c>
      <c r="D52" s="1348">
        <f>EDATE(C52,-1)</f>
        <v>44136</v>
      </c>
      <c r="E52" s="1348">
        <f t="shared" ref="E52:O52" si="16">EDATE(D52,-1)</f>
        <v>44105</v>
      </c>
      <c r="F52" s="1348">
        <f t="shared" si="16"/>
        <v>44075</v>
      </c>
      <c r="G52" s="1348">
        <f t="shared" si="16"/>
        <v>44044</v>
      </c>
      <c r="H52" s="1348">
        <f t="shared" si="16"/>
        <v>44013</v>
      </c>
      <c r="I52" s="1348">
        <f t="shared" si="16"/>
        <v>43983</v>
      </c>
      <c r="J52" s="1348">
        <f t="shared" si="16"/>
        <v>43952</v>
      </c>
      <c r="K52" s="1348">
        <f t="shared" si="16"/>
        <v>43922</v>
      </c>
      <c r="L52" s="1348">
        <f t="shared" si="16"/>
        <v>43891</v>
      </c>
      <c r="M52" s="1348">
        <f t="shared" si="16"/>
        <v>43862</v>
      </c>
      <c r="N52" s="1348">
        <f t="shared" si="16"/>
        <v>43831</v>
      </c>
      <c r="O52" s="1348">
        <f t="shared" si="16"/>
        <v>43800</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2411</v>
      </c>
      <c r="B54" s="476"/>
      <c r="C54" s="477"/>
      <c r="D54" s="478"/>
      <c r="E54" s="478"/>
      <c r="F54" s="478"/>
      <c r="G54" s="478"/>
      <c r="H54" s="478"/>
      <c r="I54" s="478"/>
      <c r="J54" s="478"/>
      <c r="K54" s="478"/>
      <c r="L54" s="478"/>
      <c r="M54" s="479"/>
      <c r="N54" s="2999"/>
      <c r="O54" s="3000"/>
      <c r="P54" s="464"/>
      <c r="Q54" s="464"/>
    </row>
    <row r="55" spans="1:17" s="116" customFormat="1" ht="15">
      <c r="A55" s="481" t="s">
        <v>2376</v>
      </c>
      <c r="B55" s="470"/>
      <c r="C55" s="482" t="s">
        <v>2478</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2414</v>
      </c>
      <c r="B57" s="488" t="s">
        <v>2380</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2383</v>
      </c>
      <c r="C59" s="499" t="s">
        <v>2415</v>
      </c>
      <c r="D59" s="499" t="s">
        <v>2416</v>
      </c>
      <c r="E59" s="499" t="s">
        <v>2417</v>
      </c>
      <c r="F59" s="499" t="s">
        <v>2418</v>
      </c>
      <c r="G59" s="499" t="s">
        <v>2419</v>
      </c>
      <c r="H59" s="499" t="s">
        <v>2420</v>
      </c>
      <c r="I59" s="499" t="s">
        <v>2421</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2384</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2385</v>
      </c>
      <c r="B70" s="488" t="s">
        <v>2531</v>
      </c>
      <c r="C70" s="533" t="s">
        <v>2423</v>
      </c>
      <c r="D70" s="533" t="s">
        <v>2424</v>
      </c>
      <c r="E70" s="533" t="s">
        <v>2425</v>
      </c>
      <c r="F70" s="533" t="s">
        <v>2426</v>
      </c>
      <c r="G70" s="533" t="s">
        <v>2427</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2428</v>
      </c>
      <c r="C72" s="538" t="s">
        <v>2423</v>
      </c>
      <c r="D72" s="538" t="s">
        <v>2424</v>
      </c>
      <c r="E72" s="538" t="s">
        <v>2425</v>
      </c>
      <c r="F72" s="538" t="s">
        <v>2426</v>
      </c>
      <c r="G72" s="538" t="s">
        <v>2427</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2429</v>
      </c>
      <c r="C74" s="538" t="s">
        <v>2423</v>
      </c>
      <c r="D74" s="538" t="s">
        <v>2424</v>
      </c>
      <c r="E74" s="538" t="s">
        <v>2425</v>
      </c>
      <c r="F74" s="538" t="s">
        <v>2426</v>
      </c>
      <c r="G74" s="538" t="s">
        <v>2427</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2515</v>
      </c>
      <c r="C76" s="619" t="s">
        <v>2501</v>
      </c>
      <c r="D76" s="619" t="s">
        <v>2502</v>
      </c>
      <c r="E76" s="619" t="s">
        <v>2503</v>
      </c>
      <c r="F76" s="619" t="s">
        <v>2504</v>
      </c>
      <c r="G76" s="619" t="s">
        <v>2505</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2524</v>
      </c>
      <c r="C78" s="538" t="s">
        <v>2423</v>
      </c>
      <c r="D78" s="538" t="s">
        <v>2424</v>
      </c>
      <c r="E78" s="538" t="s">
        <v>2425</v>
      </c>
      <c r="F78" s="538" t="s">
        <v>2426</v>
      </c>
      <c r="G78" s="538" t="s">
        <v>2427</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2389</v>
      </c>
      <c r="B88" s="488" t="s">
        <v>2438</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2439</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2440</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2442</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2443</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2444</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2446</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2532</v>
      </c>
      <c r="C106" s="538" t="s">
        <v>2423</v>
      </c>
      <c r="D106" s="538" t="s">
        <v>2424</v>
      </c>
      <c r="E106" s="538" t="s">
        <v>2425</v>
      </c>
      <c r="F106" s="538" t="s">
        <v>2426</v>
      </c>
      <c r="G106" s="538" t="s">
        <v>2427</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395"/>
      <c r="F1" s="2067"/>
      <c r="G1" s="1396" t="s">
        <v>2469</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2470</v>
      </c>
      <c r="D3" s="362">
        <f>SUMIF('数据-汇总表'!$C19:$C33,D1,'数据-汇总表'!$E19:$E33)</f>
        <v>0</v>
      </c>
      <c r="E3" s="363" t="s">
        <v>2534</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2471</v>
      </c>
      <c r="B4" s="365"/>
      <c r="C4" s="3345" t="s">
        <v>2472</v>
      </c>
      <c r="D4" s="3346"/>
      <c r="E4" s="3347" t="s">
        <v>2473</v>
      </c>
      <c r="F4" s="3348"/>
      <c r="G4" s="3345" t="s">
        <v>2474</v>
      </c>
      <c r="H4" s="3346"/>
      <c r="I4" s="3345" t="s">
        <v>2475</v>
      </c>
      <c r="J4" s="3346"/>
      <c r="K4" s="570" t="s">
        <v>2476</v>
      </c>
      <c r="L4" s="2944"/>
      <c r="M4" s="2945"/>
      <c r="N4" s="2945"/>
      <c r="O4" s="2945"/>
      <c r="P4" s="3349" t="s">
        <v>2477</v>
      </c>
      <c r="Q4" s="3350"/>
      <c r="R4" s="3362" t="s">
        <v>2473</v>
      </c>
      <c r="S4" s="3363"/>
      <c r="T4" s="3362" t="s">
        <v>2474</v>
      </c>
      <c r="U4" s="3363"/>
      <c r="V4" s="3337" t="s">
        <v>2475</v>
      </c>
      <c r="W4" s="3337"/>
      <c r="X4" s="1542"/>
      <c r="Y4" s="3362" t="s">
        <v>2477</v>
      </c>
      <c r="Z4" s="3363"/>
      <c r="AA4" s="3342" t="s">
        <v>2473</v>
      </c>
      <c r="AB4" s="3343" t="s">
        <v>2474</v>
      </c>
      <c r="AC4" s="3342" t="s">
        <v>2475</v>
      </c>
    </row>
    <row r="5" spans="1:29" ht="15">
      <c r="A5" s="367"/>
      <c r="B5" s="368"/>
      <c r="C5" s="3370" t="s">
        <v>2368</v>
      </c>
      <c r="D5" s="3367"/>
      <c r="E5" s="3355" t="s">
        <v>2369</v>
      </c>
      <c r="F5" s="3356"/>
      <c r="G5" s="3370" t="s">
        <v>2370</v>
      </c>
      <c r="H5" s="3367"/>
      <c r="I5" s="3370" t="s">
        <v>2371</v>
      </c>
      <c r="J5" s="3367"/>
      <c r="K5" s="570"/>
      <c r="L5" s="2944"/>
      <c r="M5" s="2945"/>
      <c r="N5" s="2945"/>
      <c r="O5" s="2945"/>
      <c r="P5" s="3351"/>
      <c r="Q5" s="3352"/>
      <c r="R5" s="3364"/>
      <c r="S5" s="3365"/>
      <c r="T5" s="3364"/>
      <c r="U5" s="3365"/>
      <c r="V5" s="3337"/>
      <c r="W5" s="3337"/>
      <c r="X5" s="1542"/>
      <c r="Y5" s="3364"/>
      <c r="Z5" s="3365"/>
      <c r="AA5" s="3343"/>
      <c r="AB5" s="3343"/>
      <c r="AC5" s="3343"/>
    </row>
    <row r="6" spans="1:29" ht="15.75" thickBot="1">
      <c r="A6" s="369"/>
      <c r="B6" s="370"/>
      <c r="C6" s="3404" t="s">
        <v>2372</v>
      </c>
      <c r="D6" s="3405"/>
      <c r="E6" s="3406" t="s">
        <v>2372</v>
      </c>
      <c r="F6" s="3407"/>
      <c r="G6" s="3404" t="s">
        <v>2372</v>
      </c>
      <c r="H6" s="3405"/>
      <c r="I6" s="3404" t="s">
        <v>2372</v>
      </c>
      <c r="J6" s="3405"/>
      <c r="K6" s="570" t="s">
        <v>2373</v>
      </c>
      <c r="L6" s="2944"/>
      <c r="M6" s="2945"/>
      <c r="N6" s="2945"/>
      <c r="O6" s="2945"/>
      <c r="P6" s="3353"/>
      <c r="Q6" s="3354"/>
      <c r="R6" s="3364"/>
      <c r="S6" s="3365"/>
      <c r="T6" s="3374"/>
      <c r="U6" s="3375"/>
      <c r="V6" s="3337"/>
      <c r="W6" s="3337"/>
      <c r="X6" s="1542"/>
      <c r="Y6" s="3374"/>
      <c r="Z6" s="3375"/>
      <c r="AA6" s="3344"/>
      <c r="AB6" s="3344"/>
      <c r="AC6" s="3344"/>
    </row>
    <row r="7" spans="1:29" s="116" customFormat="1" ht="15.75" thickBot="1">
      <c r="A7" s="371" t="s">
        <v>2374</v>
      </c>
      <c r="B7" s="372"/>
      <c r="C7" s="373">
        <f>'数据-取费表'!B2</f>
        <v>44166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57" t="s">
        <v>2375</v>
      </c>
      <c r="Q7" s="3371"/>
      <c r="R7" s="713" t="s">
        <v>17</v>
      </c>
      <c r="S7" s="714">
        <f t="shared" ref="S7:S14" si="0">F7</f>
        <v>0</v>
      </c>
      <c r="T7" s="713" t="s">
        <v>17</v>
      </c>
      <c r="U7" s="714">
        <f t="shared" ref="U7:U14" si="1">H7</f>
        <v>0</v>
      </c>
      <c r="V7" s="713" t="s">
        <v>17</v>
      </c>
      <c r="W7" s="714">
        <f t="shared" ref="W7:W14" si="2">J7</f>
        <v>0</v>
      </c>
      <c r="X7" s="715"/>
      <c r="Y7" s="3357" t="s">
        <v>2375</v>
      </c>
      <c r="Z7" s="3358"/>
      <c r="AA7" s="716" t="e">
        <f>D7/F7</f>
        <v>#DIV/0!</v>
      </c>
      <c r="AB7" s="716" t="e">
        <f>D7/H7</f>
        <v>#DIV/0!</v>
      </c>
      <c r="AC7" s="716" t="e">
        <f>D7/J7</f>
        <v>#DIV/0!</v>
      </c>
    </row>
    <row r="8" spans="1:29" s="116" customFormat="1" ht="15.75" thickBot="1">
      <c r="A8" s="371" t="s">
        <v>2376</v>
      </c>
      <c r="B8" s="372"/>
      <c r="C8" s="377" t="s">
        <v>2478</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57" t="s">
        <v>2378</v>
      </c>
      <c r="Q8" s="3358"/>
      <c r="R8" s="713" t="s">
        <v>17</v>
      </c>
      <c r="S8" s="714">
        <f t="shared" si="0"/>
        <v>0</v>
      </c>
      <c r="T8" s="713" t="s">
        <v>17</v>
      </c>
      <c r="U8" s="714">
        <f t="shared" si="1"/>
        <v>0</v>
      </c>
      <c r="V8" s="713" t="s">
        <v>17</v>
      </c>
      <c r="W8" s="714">
        <f t="shared" si="2"/>
        <v>0</v>
      </c>
      <c r="X8" s="715"/>
      <c r="Y8" s="3357" t="s">
        <v>2378</v>
      </c>
      <c r="Z8" s="3358"/>
      <c r="AA8" s="716" t="e">
        <f t="shared" ref="AA8:AA36" si="3">D8/F8</f>
        <v>#DIV/0!</v>
      </c>
      <c r="AB8" s="716" t="e">
        <f t="shared" ref="AB8:AB36" si="4">D8/H8</f>
        <v>#DIV/0!</v>
      </c>
      <c r="AC8" s="716" t="e">
        <f t="shared" ref="AC8:AC36" si="5">D8/J8</f>
        <v>#DIV/0!</v>
      </c>
    </row>
    <row r="9" spans="1:29" s="116" customFormat="1">
      <c r="A9" s="68" t="s">
        <v>2379</v>
      </c>
      <c r="B9" s="599" t="s">
        <v>2380</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5" t="s">
        <v>2381</v>
      </c>
      <c r="Q9" s="1530" t="str">
        <f t="shared" ref="Q9:Q14" si="6">B9</f>
        <v>用途</v>
      </c>
      <c r="R9" s="713" t="s">
        <v>17</v>
      </c>
      <c r="S9" s="714">
        <f t="shared" si="0"/>
        <v>100</v>
      </c>
      <c r="T9" s="713" t="s">
        <v>17</v>
      </c>
      <c r="U9" s="714">
        <f t="shared" si="1"/>
        <v>100</v>
      </c>
      <c r="V9" s="713" t="s">
        <v>17</v>
      </c>
      <c r="W9" s="714">
        <f t="shared" si="2"/>
        <v>100</v>
      </c>
      <c r="X9" s="715"/>
      <c r="Y9" s="3301" t="s">
        <v>2382</v>
      </c>
      <c r="Z9" s="55" t="str">
        <f t="shared" ref="Z9:Z14" si="7">Q9</f>
        <v>用途</v>
      </c>
      <c r="AA9" s="716">
        <f t="shared" si="3"/>
        <v>1</v>
      </c>
      <c r="AB9" s="716">
        <f t="shared" si="4"/>
        <v>1</v>
      </c>
      <c r="AC9" s="716">
        <f t="shared" si="5"/>
        <v>1</v>
      </c>
    </row>
    <row r="10" spans="1:29" s="389" customFormat="1" ht="27">
      <c r="A10" s="600"/>
      <c r="B10" s="601" t="s">
        <v>2383</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5"/>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5"/>
      <c r="Q11" s="1530">
        <f t="shared" si="6"/>
        <v>111</v>
      </c>
      <c r="R11" s="713" t="s">
        <v>17</v>
      </c>
      <c r="S11" s="714">
        <f t="shared" si="0"/>
        <v>100</v>
      </c>
      <c r="T11" s="713" t="s">
        <v>17</v>
      </c>
      <c r="U11" s="714">
        <f t="shared" si="1"/>
        <v>100</v>
      </c>
      <c r="V11" s="713" t="s">
        <v>17</v>
      </c>
      <c r="W11" s="714">
        <f t="shared" si="2"/>
        <v>100</v>
      </c>
      <c r="X11" s="715"/>
      <c r="Y11" s="3301"/>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5"/>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5"/>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716">
        <f t="shared" si="5"/>
        <v>1</v>
      </c>
    </row>
    <row r="14" spans="1:29" ht="85.5">
      <c r="A14" s="364" t="s">
        <v>2385</v>
      </c>
      <c r="B14" s="588" t="s">
        <v>2535</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38" t="s">
        <v>2386</v>
      </c>
      <c r="Q14" s="1539" t="str">
        <f t="shared" si="6"/>
        <v>交通便捷度</v>
      </c>
      <c r="R14" s="717" t="s">
        <v>17</v>
      </c>
      <c r="S14" s="718">
        <f t="shared" si="0"/>
        <v>100</v>
      </c>
      <c r="T14" s="717" t="s">
        <v>17</v>
      </c>
      <c r="U14" s="718">
        <f t="shared" si="1"/>
        <v>100</v>
      </c>
      <c r="V14" s="717" t="s">
        <v>17</v>
      </c>
      <c r="W14" s="718">
        <f t="shared" si="2"/>
        <v>100</v>
      </c>
      <c r="X14" s="1542"/>
      <c r="Y14" s="3338" t="s">
        <v>2386</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39"/>
      <c r="Q15" s="1539"/>
      <c r="R15" s="717"/>
      <c r="S15" s="718"/>
      <c r="T15" s="717"/>
      <c r="U15" s="718"/>
      <c r="V15" s="717"/>
      <c r="W15" s="718"/>
      <c r="X15" s="1542"/>
      <c r="Y15" s="3339"/>
      <c r="Z15" s="1543"/>
      <c r="AA15" s="1540">
        <v>1</v>
      </c>
      <c r="AB15" s="1540">
        <v>1</v>
      </c>
      <c r="AC15" s="1540">
        <v>1</v>
      </c>
    </row>
    <row r="16" spans="1:29" ht="42.75">
      <c r="A16" s="367"/>
      <c r="B16" s="590" t="s">
        <v>2514</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39"/>
      <c r="Q16" s="1539" t="str">
        <f>B16</f>
        <v>公共配套设施</v>
      </c>
      <c r="R16" s="717" t="s">
        <v>17</v>
      </c>
      <c r="S16" s="718">
        <f>F16</f>
        <v>100</v>
      </c>
      <c r="T16" s="717" t="s">
        <v>17</v>
      </c>
      <c r="U16" s="718">
        <f>H16</f>
        <v>100</v>
      </c>
      <c r="V16" s="717" t="s">
        <v>17</v>
      </c>
      <c r="W16" s="718">
        <f>J16</f>
        <v>100</v>
      </c>
      <c r="X16" s="1542"/>
      <c r="Y16" s="3339"/>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39"/>
      <c r="Q17" s="1539"/>
      <c r="R17" s="717"/>
      <c r="S17" s="718"/>
      <c r="T17" s="717"/>
      <c r="U17" s="718"/>
      <c r="V17" s="717"/>
      <c r="W17" s="718"/>
      <c r="X17" s="1542"/>
      <c r="Y17" s="3339"/>
      <c r="Z17" s="1543"/>
      <c r="AA17" s="1540">
        <v>1</v>
      </c>
      <c r="AB17" s="1540">
        <v>1</v>
      </c>
      <c r="AC17" s="1540">
        <v>1</v>
      </c>
    </row>
    <row r="18" spans="1:29" ht="28.5">
      <c r="A18" s="367"/>
      <c r="B18" s="592" t="s">
        <v>2515</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39"/>
      <c r="Q18" s="1539" t="str">
        <f>B18</f>
        <v>基础设施水平</v>
      </c>
      <c r="R18" s="717" t="s">
        <v>17</v>
      </c>
      <c r="S18" s="718">
        <f>F18</f>
        <v>100</v>
      </c>
      <c r="T18" s="717" t="s">
        <v>17</v>
      </c>
      <c r="U18" s="718">
        <f>H18</f>
        <v>100</v>
      </c>
      <c r="V18" s="717" t="s">
        <v>17</v>
      </c>
      <c r="W18" s="718">
        <f>J18</f>
        <v>100</v>
      </c>
      <c r="X18" s="1542"/>
      <c r="Y18" s="3339"/>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39"/>
      <c r="Q19" s="1539"/>
      <c r="R19" s="717"/>
      <c r="S19" s="718"/>
      <c r="T19" s="717"/>
      <c r="U19" s="718"/>
      <c r="V19" s="717"/>
      <c r="W19" s="718"/>
      <c r="X19" s="1542"/>
      <c r="Y19" s="3339"/>
      <c r="Z19" s="1543"/>
      <c r="AA19" s="1540">
        <v>1</v>
      </c>
      <c r="AB19" s="1540">
        <v>1</v>
      </c>
      <c r="AC19" s="1540">
        <v>1</v>
      </c>
    </row>
    <row r="20" spans="1:29" ht="57">
      <c r="A20" s="367"/>
      <c r="B20" s="590" t="s">
        <v>2536</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39"/>
      <c r="Q20" s="1539" t="str">
        <f>B20</f>
        <v>自然及人文环境</v>
      </c>
      <c r="R20" s="717" t="s">
        <v>17</v>
      </c>
      <c r="S20" s="718">
        <f>F20</f>
        <v>100</v>
      </c>
      <c r="T20" s="717" t="s">
        <v>17</v>
      </c>
      <c r="U20" s="718">
        <f>H20</f>
        <v>100</v>
      </c>
      <c r="V20" s="717" t="s">
        <v>17</v>
      </c>
      <c r="W20" s="718">
        <f>J20</f>
        <v>100</v>
      </c>
      <c r="X20" s="1542"/>
      <c r="Y20" s="3339"/>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39"/>
      <c r="Q21" s="1539"/>
      <c r="R21" s="717"/>
      <c r="S21" s="718"/>
      <c r="T21" s="717"/>
      <c r="U21" s="718"/>
      <c r="V21" s="717"/>
      <c r="W21" s="718"/>
      <c r="X21" s="1542"/>
      <c r="Y21" s="3339"/>
      <c r="Z21" s="1543"/>
      <c r="AA21" s="1540">
        <v>1</v>
      </c>
      <c r="AB21" s="1540">
        <v>1</v>
      </c>
      <c r="AC21" s="1540">
        <v>1</v>
      </c>
    </row>
    <row r="22" spans="1:29" ht="15">
      <c r="A22" s="367"/>
      <c r="B22" s="590" t="s">
        <v>2537</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39"/>
      <c r="Q22" s="1539" t="str">
        <f>B22</f>
        <v>楼层</v>
      </c>
      <c r="R22" s="717" t="s">
        <v>17</v>
      </c>
      <c r="S22" s="718">
        <f>F22</f>
        <v>100</v>
      </c>
      <c r="T22" s="717" t="s">
        <v>17</v>
      </c>
      <c r="U22" s="718">
        <f>H22</f>
        <v>100</v>
      </c>
      <c r="V22" s="717" t="s">
        <v>17</v>
      </c>
      <c r="W22" s="718">
        <f>J22</f>
        <v>100</v>
      </c>
      <c r="X22" s="1542"/>
      <c r="Y22" s="3339"/>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39"/>
      <c r="Q23" s="1539">
        <f>B23</f>
        <v>111</v>
      </c>
      <c r="R23" s="717" t="s">
        <v>17</v>
      </c>
      <c r="S23" s="718">
        <f>F23</f>
        <v>100</v>
      </c>
      <c r="T23" s="717" t="s">
        <v>17</v>
      </c>
      <c r="U23" s="718">
        <f>H23</f>
        <v>100</v>
      </c>
      <c r="V23" s="717" t="s">
        <v>17</v>
      </c>
      <c r="W23" s="718">
        <f>J23</f>
        <v>100</v>
      </c>
      <c r="X23" s="1542"/>
      <c r="Y23" s="3339"/>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39"/>
      <c r="Q24" s="1539">
        <f t="shared" ref="Q24:Q36" si="11">B24</f>
        <v>111</v>
      </c>
      <c r="R24" s="717" t="s">
        <v>17</v>
      </c>
      <c r="S24" s="718">
        <f>F24</f>
        <v>100</v>
      </c>
      <c r="T24" s="717" t="s">
        <v>17</v>
      </c>
      <c r="U24" s="718">
        <f>H24</f>
        <v>100</v>
      </c>
      <c r="V24" s="717" t="s">
        <v>17</v>
      </c>
      <c r="W24" s="718">
        <f>J24</f>
        <v>100</v>
      </c>
      <c r="X24" s="1542"/>
      <c r="Y24" s="3339"/>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39"/>
      <c r="Q25" s="1530">
        <f t="shared" si="11"/>
        <v>111</v>
      </c>
      <c r="R25" s="713" t="s">
        <v>17</v>
      </c>
      <c r="S25" s="714">
        <f>F25</f>
        <v>100</v>
      </c>
      <c r="T25" s="713" t="s">
        <v>17</v>
      </c>
      <c r="U25" s="714">
        <f>H25</f>
        <v>100</v>
      </c>
      <c r="V25" s="713" t="s">
        <v>17</v>
      </c>
      <c r="W25" s="714">
        <f>J25</f>
        <v>100</v>
      </c>
      <c r="X25" s="715"/>
      <c r="Y25" s="3339"/>
      <c r="Z25" s="55">
        <f>Q25</f>
        <v>111</v>
      </c>
      <c r="AA25" s="1540">
        <f>D25/F25</f>
        <v>1</v>
      </c>
      <c r="AB25" s="1540">
        <f>D25/H25</f>
        <v>1</v>
      </c>
      <c r="AC25" s="1540">
        <f>D25/J25</f>
        <v>1</v>
      </c>
    </row>
    <row r="26" spans="1:29" ht="28.5">
      <c r="A26" s="611" t="s">
        <v>2389</v>
      </c>
      <c r="B26" s="70" t="s">
        <v>2538</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40" t="s">
        <v>2391</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41" t="s">
        <v>2391</v>
      </c>
      <c r="Z26" s="1543" t="str">
        <f t="shared" ref="Z26:Z36" si="15">Q26</f>
        <v>配套类型</v>
      </c>
      <c r="AA26" s="1540">
        <f t="shared" si="3"/>
        <v>1</v>
      </c>
      <c r="AB26" s="1540">
        <f t="shared" si="4"/>
        <v>1</v>
      </c>
      <c r="AC26" s="1540">
        <f t="shared" si="5"/>
        <v>1</v>
      </c>
    </row>
    <row r="27" spans="1:29" s="433" customFormat="1" ht="15">
      <c r="A27" s="612"/>
      <c r="B27" s="613" t="s">
        <v>2539</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41"/>
      <c r="Q27" s="719" t="str">
        <f t="shared" si="11"/>
        <v>项目停车位配比</v>
      </c>
      <c r="R27" s="720" t="s">
        <v>17</v>
      </c>
      <c r="S27" s="721">
        <f t="shared" si="12"/>
        <v>100</v>
      </c>
      <c r="T27" s="720" t="s">
        <v>17</v>
      </c>
      <c r="U27" s="721">
        <f t="shared" si="13"/>
        <v>100</v>
      </c>
      <c r="V27" s="720" t="s">
        <v>17</v>
      </c>
      <c r="W27" s="721">
        <f t="shared" si="14"/>
        <v>100</v>
      </c>
      <c r="X27" s="722"/>
      <c r="Y27" s="3341"/>
      <c r="Z27" s="723" t="str">
        <f t="shared" si="15"/>
        <v>项目停车位配比</v>
      </c>
      <c r="AA27" s="1540">
        <f t="shared" si="3"/>
        <v>1</v>
      </c>
      <c r="AB27" s="1540">
        <f t="shared" si="4"/>
        <v>1</v>
      </c>
      <c r="AC27" s="1540">
        <f t="shared" si="5"/>
        <v>1</v>
      </c>
    </row>
    <row r="28" spans="1:29" ht="15">
      <c r="A28" s="615"/>
      <c r="B28" s="613" t="s">
        <v>2540</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41"/>
      <c r="Q28" s="1539" t="str">
        <f t="shared" si="11"/>
        <v>公共部分装修</v>
      </c>
      <c r="R28" s="717" t="s">
        <v>17</v>
      </c>
      <c r="S28" s="718">
        <f t="shared" si="12"/>
        <v>100</v>
      </c>
      <c r="T28" s="717" t="s">
        <v>17</v>
      </c>
      <c r="U28" s="718">
        <f t="shared" si="13"/>
        <v>100</v>
      </c>
      <c r="V28" s="717" t="s">
        <v>17</v>
      </c>
      <c r="W28" s="718">
        <f t="shared" si="14"/>
        <v>100</v>
      </c>
      <c r="X28" s="1542"/>
      <c r="Y28" s="3341"/>
      <c r="Z28" s="1543" t="str">
        <f t="shared" si="15"/>
        <v>公共部分装修</v>
      </c>
      <c r="AA28" s="1540">
        <f t="shared" si="3"/>
        <v>1</v>
      </c>
      <c r="AB28" s="1540">
        <f t="shared" si="4"/>
        <v>1</v>
      </c>
      <c r="AC28" s="1540">
        <f t="shared" si="5"/>
        <v>1</v>
      </c>
    </row>
    <row r="29" spans="1:29" ht="15">
      <c r="A29" s="615"/>
      <c r="B29" s="613" t="s">
        <v>2541</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41"/>
      <c r="Q29" s="1539" t="str">
        <f t="shared" si="11"/>
        <v>成新率</v>
      </c>
      <c r="R29" s="717" t="s">
        <v>17</v>
      </c>
      <c r="S29" s="718" t="e">
        <f t="shared" si="12"/>
        <v>#N/A</v>
      </c>
      <c r="T29" s="717" t="s">
        <v>17</v>
      </c>
      <c r="U29" s="718" t="e">
        <f t="shared" si="13"/>
        <v>#N/A</v>
      </c>
      <c r="V29" s="717" t="s">
        <v>17</v>
      </c>
      <c r="W29" s="718" t="e">
        <f t="shared" si="14"/>
        <v>#N/A</v>
      </c>
      <c r="X29" s="1542"/>
      <c r="Y29" s="3341"/>
      <c r="Z29" s="1543" t="str">
        <f t="shared" si="15"/>
        <v>成新率</v>
      </c>
      <c r="AA29" s="1540" t="e">
        <f t="shared" si="3"/>
        <v>#N/A</v>
      </c>
      <c r="AB29" s="1540" t="e">
        <f t="shared" si="4"/>
        <v>#N/A</v>
      </c>
      <c r="AC29" s="1540" t="e">
        <f t="shared" si="5"/>
        <v>#N/A</v>
      </c>
    </row>
    <row r="30" spans="1:29" ht="15">
      <c r="A30" s="615"/>
      <c r="B30" s="613" t="s">
        <v>2542</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41"/>
      <c r="Q30" s="1539" t="str">
        <f t="shared" si="11"/>
        <v>物业等级</v>
      </c>
      <c r="R30" s="717" t="s">
        <v>17</v>
      </c>
      <c r="S30" s="718">
        <f t="shared" si="12"/>
        <v>100</v>
      </c>
      <c r="T30" s="717" t="s">
        <v>17</v>
      </c>
      <c r="U30" s="718">
        <f t="shared" si="13"/>
        <v>100</v>
      </c>
      <c r="V30" s="717" t="s">
        <v>17</v>
      </c>
      <c r="W30" s="718">
        <f t="shared" si="14"/>
        <v>100</v>
      </c>
      <c r="X30" s="1542"/>
      <c r="Y30" s="3341"/>
      <c r="Z30" s="1543" t="str">
        <f t="shared" si="15"/>
        <v>物业等级</v>
      </c>
      <c r="AA30" s="1540">
        <f t="shared" si="3"/>
        <v>1</v>
      </c>
      <c r="AB30" s="1540">
        <f t="shared" si="4"/>
        <v>1</v>
      </c>
      <c r="AC30" s="1540">
        <f t="shared" si="5"/>
        <v>1</v>
      </c>
    </row>
    <row r="31" spans="1:29" s="116" customFormat="1" ht="15">
      <c r="A31" s="617"/>
      <c r="B31" s="613" t="s">
        <v>2543</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41"/>
      <c r="Q31" s="1530" t="str">
        <f t="shared" si="11"/>
        <v>停车位面积</v>
      </c>
      <c r="R31" s="713" t="s">
        <v>17</v>
      </c>
      <c r="S31" s="714" t="e">
        <f t="shared" si="12"/>
        <v>#N/A</v>
      </c>
      <c r="T31" s="713" t="s">
        <v>17</v>
      </c>
      <c r="U31" s="714" t="e">
        <f t="shared" si="13"/>
        <v>#N/A</v>
      </c>
      <c r="V31" s="713" t="s">
        <v>17</v>
      </c>
      <c r="W31" s="714" t="e">
        <f t="shared" si="14"/>
        <v>#N/A</v>
      </c>
      <c r="X31" s="715"/>
      <c r="Y31" s="3341"/>
      <c r="Z31" s="55" t="str">
        <f t="shared" si="15"/>
        <v>停车位面积</v>
      </c>
      <c r="AA31" s="716" t="e">
        <f t="shared" si="3"/>
        <v>#N/A</v>
      </c>
      <c r="AB31" s="716" t="e">
        <f t="shared" si="4"/>
        <v>#N/A</v>
      </c>
      <c r="AC31" s="716" t="e">
        <f t="shared" si="5"/>
        <v>#N/A</v>
      </c>
    </row>
    <row r="32" spans="1:29" ht="15">
      <c r="A32" s="615"/>
      <c r="B32" s="613" t="s">
        <v>2544</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41" t="s">
        <v>2391</v>
      </c>
      <c r="Q32" s="1539" t="str">
        <f t="shared" si="11"/>
        <v>车位类型</v>
      </c>
      <c r="R32" s="717" t="s">
        <v>17</v>
      </c>
      <c r="S32" s="718">
        <f t="shared" si="12"/>
        <v>100</v>
      </c>
      <c r="T32" s="717" t="s">
        <v>17</v>
      </c>
      <c r="U32" s="718">
        <f t="shared" si="13"/>
        <v>100</v>
      </c>
      <c r="V32" s="717" t="s">
        <v>17</v>
      </c>
      <c r="W32" s="718">
        <f t="shared" si="14"/>
        <v>100</v>
      </c>
      <c r="X32" s="1542"/>
      <c r="Y32" s="3341" t="s">
        <v>2391</v>
      </c>
      <c r="Z32" s="1543" t="str">
        <f t="shared" si="15"/>
        <v>车位类型</v>
      </c>
      <c r="AA32" s="1540">
        <f t="shared" si="3"/>
        <v>1</v>
      </c>
      <c r="AB32" s="1540">
        <f t="shared" si="4"/>
        <v>1</v>
      </c>
      <c r="AC32" s="1540">
        <f t="shared" si="5"/>
        <v>1</v>
      </c>
    </row>
    <row r="33" spans="1:29" ht="15">
      <c r="A33" s="615"/>
      <c r="B33" s="613" t="s">
        <v>2545</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41"/>
      <c r="Q33" s="1539" t="str">
        <f t="shared" si="11"/>
        <v>是否直接入户</v>
      </c>
      <c r="R33" s="717" t="s">
        <v>17</v>
      </c>
      <c r="S33" s="718">
        <f t="shared" si="12"/>
        <v>100</v>
      </c>
      <c r="T33" s="717" t="s">
        <v>17</v>
      </c>
      <c r="U33" s="718">
        <f t="shared" si="13"/>
        <v>100</v>
      </c>
      <c r="V33" s="717" t="s">
        <v>17</v>
      </c>
      <c r="W33" s="718">
        <f t="shared" si="14"/>
        <v>100</v>
      </c>
      <c r="X33" s="1542"/>
      <c r="Y33" s="3341"/>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41"/>
      <c r="Q34" s="1539">
        <f t="shared" si="11"/>
        <v>111</v>
      </c>
      <c r="R34" s="717" t="s">
        <v>17</v>
      </c>
      <c r="S34" s="718">
        <f t="shared" si="12"/>
        <v>100</v>
      </c>
      <c r="T34" s="717" t="s">
        <v>17</v>
      </c>
      <c r="U34" s="718">
        <f t="shared" si="13"/>
        <v>100</v>
      </c>
      <c r="V34" s="717" t="s">
        <v>17</v>
      </c>
      <c r="W34" s="718">
        <f t="shared" si="14"/>
        <v>100</v>
      </c>
      <c r="X34" s="1542"/>
      <c r="Y34" s="3341"/>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41"/>
      <c r="Q35" s="719">
        <f t="shared" si="11"/>
        <v>111</v>
      </c>
      <c r="R35" s="720" t="s">
        <v>17</v>
      </c>
      <c r="S35" s="721">
        <f t="shared" si="12"/>
        <v>100</v>
      </c>
      <c r="T35" s="720" t="s">
        <v>17</v>
      </c>
      <c r="U35" s="721">
        <f t="shared" si="13"/>
        <v>100</v>
      </c>
      <c r="V35" s="720" t="s">
        <v>17</v>
      </c>
      <c r="W35" s="721">
        <f t="shared" si="14"/>
        <v>100</v>
      </c>
      <c r="X35" s="722"/>
      <c r="Y35" s="3341"/>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41"/>
      <c r="Q36" s="1539">
        <f t="shared" si="11"/>
        <v>111</v>
      </c>
      <c r="R36" s="717" t="s">
        <v>17</v>
      </c>
      <c r="S36" s="718">
        <f t="shared" si="12"/>
        <v>100</v>
      </c>
      <c r="T36" s="717" t="s">
        <v>17</v>
      </c>
      <c r="U36" s="718">
        <f t="shared" si="13"/>
        <v>100</v>
      </c>
      <c r="V36" s="717" t="s">
        <v>17</v>
      </c>
      <c r="W36" s="718">
        <f t="shared" si="14"/>
        <v>100</v>
      </c>
      <c r="X36" s="1542"/>
      <c r="Y36" s="3341"/>
      <c r="Z36" s="1543">
        <f t="shared" si="15"/>
        <v>111</v>
      </c>
      <c r="AA36" s="1540">
        <f t="shared" si="3"/>
        <v>1</v>
      </c>
      <c r="AB36" s="1540">
        <f t="shared" si="4"/>
        <v>1</v>
      </c>
      <c r="AC36" s="1540">
        <f t="shared" si="5"/>
        <v>1</v>
      </c>
    </row>
    <row r="37" spans="1:29" ht="15">
      <c r="A37" s="441" t="s">
        <v>2546</v>
      </c>
      <c r="B37" s="2161" t="s">
        <v>2547</v>
      </c>
      <c r="C37" s="1318" t="s">
        <v>1</v>
      </c>
      <c r="D37" s="1319"/>
      <c r="E37" s="1320"/>
      <c r="F37" s="1321"/>
      <c r="G37" s="1322"/>
      <c r="H37" s="1323"/>
      <c r="I37" s="1320"/>
      <c r="J37" s="1323"/>
      <c r="K37" s="579"/>
      <c r="L37" s="2953"/>
      <c r="M37" s="2954"/>
      <c r="N37" s="2945"/>
      <c r="O37" s="2954"/>
      <c r="P37" s="3335" t="str">
        <f>A37</f>
        <v>成交单价</v>
      </c>
      <c r="Q37" s="3335"/>
      <c r="R37" s="3409">
        <f>E37</f>
        <v>0</v>
      </c>
      <c r="S37" s="3409"/>
      <c r="T37" s="3409">
        <f>G37</f>
        <v>0</v>
      </c>
      <c r="U37" s="3409"/>
      <c r="V37" s="3409">
        <f>I37</f>
        <v>0</v>
      </c>
      <c r="W37" s="3409"/>
      <c r="X37" s="702"/>
      <c r="Y37" s="724"/>
      <c r="Z37" s="702"/>
      <c r="AA37" s="702"/>
      <c r="AB37" s="702"/>
      <c r="AC37" s="702"/>
    </row>
    <row r="38" spans="1:29" ht="15.75" thickBot="1">
      <c r="A38" s="448" t="s">
        <v>2548</v>
      </c>
      <c r="B38" s="449" t="str">
        <f>B37</f>
        <v>元/车位</v>
      </c>
      <c r="C38" s="1324" t="e">
        <f>R39</f>
        <v>#DIV/0!</v>
      </c>
      <c r="D38" s="2540" t="s">
        <v>2888</v>
      </c>
      <c r="E38" s="1325" t="e">
        <f>R38</f>
        <v>#DIV/0!</v>
      </c>
      <c r="F38" s="2541"/>
      <c r="G38" s="1324" t="e">
        <f>T38</f>
        <v>#DIV/0!</v>
      </c>
      <c r="H38" s="2541"/>
      <c r="I38" s="1325" t="e">
        <f>V38</f>
        <v>#DIV/0!</v>
      </c>
      <c r="J38" s="2541"/>
      <c r="K38" s="2543">
        <f>F38+H38+J38</f>
        <v>0</v>
      </c>
      <c r="L38" s="2953"/>
      <c r="M38" s="2954"/>
      <c r="N38" s="2954"/>
      <c r="O38" s="2954"/>
      <c r="P38" s="3335" t="str">
        <f>A38</f>
        <v>比较价值（元/平方米）</v>
      </c>
      <c r="Q38" s="3335"/>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702"/>
      <c r="Y38" s="702"/>
      <c r="Z38" s="702"/>
      <c r="AA38" s="702"/>
      <c r="AB38" s="702"/>
      <c r="AC38" s="702"/>
    </row>
    <row r="39" spans="1:29" ht="15.75" thickBot="1">
      <c r="A39" s="452" t="s">
        <v>2549</v>
      </c>
      <c r="B39" s="453"/>
      <c r="C39" s="1327" t="e">
        <f>R39</f>
        <v>#DIV/0!</v>
      </c>
      <c r="D39" s="1327"/>
      <c r="E39" s="1327"/>
      <c r="F39" s="1327"/>
      <c r="G39" s="1327"/>
      <c r="H39" s="1327"/>
      <c r="I39" s="1327"/>
      <c r="J39" s="1327"/>
      <c r="K39" s="580"/>
      <c r="L39" s="2953"/>
      <c r="M39" s="2954"/>
      <c r="N39" s="2954"/>
      <c r="O39" s="2954"/>
      <c r="P39" s="3332" t="str">
        <f>A39</f>
        <v>估价对象XX用房的比较价值（楼面单价，元/平方米）</v>
      </c>
      <c r="Q39" s="3333"/>
      <c r="R39" s="3431" t="e">
        <f>IF(F1="售价",ROUND(IF(D38="简单平均",AVERAGE(R38:W38),R38*F38+T38*H38+V38*J38),0),ROUND(IF(D38="简单平均",AVERAGE(R38:V38),R38*F38+T38*H38+V38*J38),1))</f>
        <v>#DIV/0!</v>
      </c>
      <c r="S39" s="3431"/>
      <c r="T39" s="3431"/>
      <c r="U39" s="3431"/>
      <c r="V39" s="3431"/>
      <c r="W39" s="3431"/>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2550</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2551</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2552</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2553</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2554</v>
      </c>
      <c r="B48" s="466"/>
      <c r="C48" s="1347" t="str">
        <f>YEAR(C7)&amp;"-"&amp;MONTH(C7)</f>
        <v>2020-12</v>
      </c>
      <c r="D48" s="1348">
        <f>EDATE(C48,-1)</f>
        <v>44136</v>
      </c>
      <c r="E48" s="1348">
        <f t="shared" ref="E48:O48" si="16">EDATE(D48,-1)</f>
        <v>44105</v>
      </c>
      <c r="F48" s="1348">
        <f t="shared" si="16"/>
        <v>44075</v>
      </c>
      <c r="G48" s="1348">
        <f t="shared" si="16"/>
        <v>44044</v>
      </c>
      <c r="H48" s="1348">
        <f t="shared" si="16"/>
        <v>44013</v>
      </c>
      <c r="I48" s="1348">
        <f t="shared" si="16"/>
        <v>43983</v>
      </c>
      <c r="J48" s="1348">
        <f t="shared" si="16"/>
        <v>43952</v>
      </c>
      <c r="K48" s="1348">
        <f t="shared" si="16"/>
        <v>43922</v>
      </c>
      <c r="L48" s="1348">
        <f t="shared" si="16"/>
        <v>43891</v>
      </c>
      <c r="M48" s="1348">
        <f t="shared" si="16"/>
        <v>43862</v>
      </c>
      <c r="N48" s="1348">
        <f t="shared" si="16"/>
        <v>43831</v>
      </c>
      <c r="O48" s="1348">
        <f t="shared" si="16"/>
        <v>43800</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2411</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2376</v>
      </c>
      <c r="B51" s="470"/>
      <c r="C51" s="482" t="s">
        <v>2478</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2414</v>
      </c>
      <c r="B53" s="488" t="s">
        <v>2380</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2383</v>
      </c>
      <c r="C55" s="499" t="s">
        <v>2415</v>
      </c>
      <c r="D55" s="499" t="s">
        <v>2416</v>
      </c>
      <c r="E55" s="499" t="s">
        <v>2417</v>
      </c>
      <c r="F55" s="499" t="s">
        <v>2418</v>
      </c>
      <c r="G55" s="499" t="s">
        <v>2419</v>
      </c>
      <c r="H55" s="499" t="s">
        <v>2420</v>
      </c>
      <c r="I55" s="499" t="s">
        <v>2421</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2385</v>
      </c>
      <c r="B63" s="488" t="s">
        <v>2428</v>
      </c>
      <c r="C63" s="533" t="s">
        <v>2423</v>
      </c>
      <c r="D63" s="533" t="s">
        <v>2424</v>
      </c>
      <c r="E63" s="533" t="s">
        <v>2425</v>
      </c>
      <c r="F63" s="533" t="s">
        <v>2426</v>
      </c>
      <c r="G63" s="533" t="s">
        <v>2427</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2429</v>
      </c>
      <c r="C65" s="538" t="s">
        <v>2423</v>
      </c>
      <c r="D65" s="538" t="s">
        <v>2424</v>
      </c>
      <c r="E65" s="538" t="s">
        <v>2425</v>
      </c>
      <c r="F65" s="538" t="s">
        <v>2426</v>
      </c>
      <c r="G65" s="538" t="s">
        <v>2427</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2515</v>
      </c>
      <c r="C67" s="619" t="s">
        <v>2501</v>
      </c>
      <c r="D67" s="619" t="s">
        <v>2502</v>
      </c>
      <c r="E67" s="619" t="s">
        <v>2503</v>
      </c>
      <c r="F67" s="619" t="s">
        <v>2504</v>
      </c>
      <c r="G67" s="619" t="s">
        <v>2505</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2435</v>
      </c>
      <c r="C69" s="538" t="s">
        <v>2423</v>
      </c>
      <c r="D69" s="538" t="s">
        <v>2424</v>
      </c>
      <c r="E69" s="538" t="s">
        <v>2425</v>
      </c>
      <c r="F69" s="538" t="s">
        <v>2426</v>
      </c>
      <c r="G69" s="538" t="s">
        <v>2427</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2555</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2389</v>
      </c>
      <c r="B79" s="488" t="s">
        <v>2556</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2557</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2442</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2558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2559</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2561</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2562</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2533</v>
      </c>
      <c r="B1" s="1392"/>
      <c r="C1" s="1393" t="s">
        <v>2356</v>
      </c>
      <c r="D1" s="1394"/>
      <c r="E1" s="1403"/>
      <c r="F1" s="2067"/>
      <c r="G1" s="1404" t="s">
        <v>2469</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2470</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2471</v>
      </c>
      <c r="B4" s="365"/>
      <c r="C4" s="3345" t="s">
        <v>2472</v>
      </c>
      <c r="D4" s="3346"/>
      <c r="E4" s="3347" t="s">
        <v>2473</v>
      </c>
      <c r="F4" s="3348"/>
      <c r="G4" s="3345" t="s">
        <v>2474</v>
      </c>
      <c r="H4" s="3346"/>
      <c r="I4" s="3345" t="s">
        <v>2475</v>
      </c>
      <c r="J4" s="3346"/>
      <c r="K4" s="570" t="s">
        <v>2476</v>
      </c>
      <c r="L4" s="2944"/>
      <c r="M4" s="2945"/>
      <c r="N4" s="2945"/>
      <c r="O4" s="2945"/>
      <c r="P4" s="3349" t="s">
        <v>2477</v>
      </c>
      <c r="Q4" s="3350"/>
      <c r="R4" s="3362" t="s">
        <v>2473</v>
      </c>
      <c r="S4" s="3363"/>
      <c r="T4" s="3362" t="s">
        <v>2474</v>
      </c>
      <c r="U4" s="3363"/>
      <c r="V4" s="3337" t="s">
        <v>2475</v>
      </c>
      <c r="W4" s="3337"/>
      <c r="X4" s="1542"/>
      <c r="Y4" s="3362" t="s">
        <v>2477</v>
      </c>
      <c r="Z4" s="3363"/>
      <c r="AA4" s="3342" t="s">
        <v>2473</v>
      </c>
      <c r="AB4" s="3343" t="s">
        <v>2474</v>
      </c>
      <c r="AC4" s="3342" t="s">
        <v>2475</v>
      </c>
    </row>
    <row r="5" spans="1:29" ht="15">
      <c r="A5" s="367"/>
      <c r="B5" s="368"/>
      <c r="C5" s="3370" t="s">
        <v>2368</v>
      </c>
      <c r="D5" s="3367"/>
      <c r="E5" s="3355" t="s">
        <v>2369</v>
      </c>
      <c r="F5" s="3356"/>
      <c r="G5" s="3370" t="s">
        <v>2370</v>
      </c>
      <c r="H5" s="3367"/>
      <c r="I5" s="3370" t="s">
        <v>2371</v>
      </c>
      <c r="J5" s="3367"/>
      <c r="K5" s="570"/>
      <c r="L5" s="2944"/>
      <c r="M5" s="2945"/>
      <c r="N5" s="2945"/>
      <c r="O5" s="2945"/>
      <c r="P5" s="3351"/>
      <c r="Q5" s="3352"/>
      <c r="R5" s="3364"/>
      <c r="S5" s="3365"/>
      <c r="T5" s="3364"/>
      <c r="U5" s="3365"/>
      <c r="V5" s="3337"/>
      <c r="W5" s="3337"/>
      <c r="X5" s="1542"/>
      <c r="Y5" s="3364"/>
      <c r="Z5" s="3365"/>
      <c r="AA5" s="3343"/>
      <c r="AB5" s="3343"/>
      <c r="AC5" s="3343"/>
    </row>
    <row r="6" spans="1:29" ht="15.75" thickBot="1">
      <c r="A6" s="369"/>
      <c r="B6" s="370"/>
      <c r="C6" s="3404" t="s">
        <v>2372</v>
      </c>
      <c r="D6" s="3405"/>
      <c r="E6" s="3406" t="s">
        <v>2372</v>
      </c>
      <c r="F6" s="3407"/>
      <c r="G6" s="3404" t="s">
        <v>2372</v>
      </c>
      <c r="H6" s="3405"/>
      <c r="I6" s="3404" t="s">
        <v>2372</v>
      </c>
      <c r="J6" s="3405"/>
      <c r="K6" s="570" t="s">
        <v>2373</v>
      </c>
      <c r="L6" s="2944"/>
      <c r="M6" s="2945"/>
      <c r="N6" s="2945"/>
      <c r="O6" s="2945"/>
      <c r="P6" s="3353"/>
      <c r="Q6" s="3354"/>
      <c r="R6" s="3364"/>
      <c r="S6" s="3365"/>
      <c r="T6" s="3374"/>
      <c r="U6" s="3375"/>
      <c r="V6" s="3337"/>
      <c r="W6" s="3337"/>
      <c r="X6" s="1542"/>
      <c r="Y6" s="3374"/>
      <c r="Z6" s="3375"/>
      <c r="AA6" s="3344"/>
      <c r="AB6" s="3344"/>
      <c r="AC6" s="3344"/>
    </row>
    <row r="7" spans="1:29" s="116" customFormat="1" ht="15.75" thickBot="1">
      <c r="A7" s="371" t="s">
        <v>2374</v>
      </c>
      <c r="B7" s="372"/>
      <c r="C7" s="373">
        <f>'数据-取费表'!B2</f>
        <v>44166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57" t="s">
        <v>2375</v>
      </c>
      <c r="Q7" s="3371"/>
      <c r="R7" s="713" t="s">
        <v>17</v>
      </c>
      <c r="S7" s="714">
        <f t="shared" ref="S7:S14" si="0">F7</f>
        <v>0</v>
      </c>
      <c r="T7" s="713" t="s">
        <v>17</v>
      </c>
      <c r="U7" s="714">
        <f t="shared" ref="U7:U14" si="1">H7</f>
        <v>0</v>
      </c>
      <c r="V7" s="713" t="s">
        <v>17</v>
      </c>
      <c r="W7" s="714">
        <f t="shared" ref="W7:W14" si="2">J7</f>
        <v>0</v>
      </c>
      <c r="X7" s="715"/>
      <c r="Y7" s="3357" t="s">
        <v>2375</v>
      </c>
      <c r="Z7" s="3358"/>
      <c r="AA7" s="716" t="e">
        <f>D7/F7</f>
        <v>#DIV/0!</v>
      </c>
      <c r="AB7" s="716" t="e">
        <f>D7/H7</f>
        <v>#DIV/0!</v>
      </c>
      <c r="AC7" s="716" t="e">
        <f>D7/J7</f>
        <v>#DIV/0!</v>
      </c>
    </row>
    <row r="8" spans="1:29" s="116" customFormat="1" ht="15.75" thickBot="1">
      <c r="A8" s="371" t="s">
        <v>2376</v>
      </c>
      <c r="B8" s="372"/>
      <c r="C8" s="377" t="s">
        <v>2478</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57" t="s">
        <v>2378</v>
      </c>
      <c r="Q8" s="3358"/>
      <c r="R8" s="713" t="s">
        <v>17</v>
      </c>
      <c r="S8" s="714">
        <f t="shared" si="0"/>
        <v>0</v>
      </c>
      <c r="T8" s="713" t="s">
        <v>17</v>
      </c>
      <c r="U8" s="714">
        <f t="shared" si="1"/>
        <v>0</v>
      </c>
      <c r="V8" s="713" t="s">
        <v>17</v>
      </c>
      <c r="W8" s="714">
        <f t="shared" si="2"/>
        <v>0</v>
      </c>
      <c r="X8" s="715"/>
      <c r="Y8" s="3357" t="s">
        <v>2378</v>
      </c>
      <c r="Z8" s="3358"/>
      <c r="AA8" s="716" t="e">
        <f t="shared" ref="AA8:AA34" si="3">D8/F8</f>
        <v>#DIV/0!</v>
      </c>
      <c r="AB8" s="716" t="e">
        <f t="shared" ref="AB8:AB34" si="4">D8/H8</f>
        <v>#DIV/0!</v>
      </c>
      <c r="AC8" s="716" t="e">
        <f t="shared" ref="AC8:AC34" si="5">D8/J8</f>
        <v>#DIV/0!</v>
      </c>
    </row>
    <row r="9" spans="1:29" s="116" customFormat="1">
      <c r="A9" s="378" t="s">
        <v>2379</v>
      </c>
      <c r="B9" s="71" t="s">
        <v>2380</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5" t="s">
        <v>2381</v>
      </c>
      <c r="Q9" s="1530" t="str">
        <f t="shared" ref="Q9:Q14" si="6">B9</f>
        <v>用途</v>
      </c>
      <c r="R9" s="713" t="s">
        <v>17</v>
      </c>
      <c r="S9" s="714">
        <f t="shared" si="0"/>
        <v>100</v>
      </c>
      <c r="T9" s="713" t="s">
        <v>17</v>
      </c>
      <c r="U9" s="714">
        <f t="shared" si="1"/>
        <v>100</v>
      </c>
      <c r="V9" s="713" t="s">
        <v>17</v>
      </c>
      <c r="W9" s="714">
        <f t="shared" si="2"/>
        <v>100</v>
      </c>
      <c r="X9" s="715"/>
      <c r="Y9" s="3301" t="s">
        <v>2382</v>
      </c>
      <c r="Z9" s="55" t="str">
        <f t="shared" ref="Z9:Z14" si="7">Q9</f>
        <v>用途</v>
      </c>
      <c r="AA9" s="716">
        <f t="shared" si="3"/>
        <v>1</v>
      </c>
      <c r="AB9" s="716">
        <f t="shared" si="4"/>
        <v>1</v>
      </c>
      <c r="AC9" s="716">
        <f t="shared" si="5"/>
        <v>1</v>
      </c>
    </row>
    <row r="10" spans="1:29" s="389" customFormat="1" ht="27">
      <c r="A10" s="383"/>
      <c r="B10" s="384" t="s">
        <v>2383</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5"/>
      <c r="Q10" s="1530" t="str">
        <f t="shared" si="6"/>
        <v>土地使用年限（年）</v>
      </c>
      <c r="R10" s="713" t="s">
        <v>17</v>
      </c>
      <c r="S10" s="714">
        <f t="shared" si="0"/>
        <v>100</v>
      </c>
      <c r="T10" s="713" t="s">
        <v>17</v>
      </c>
      <c r="U10" s="714">
        <f t="shared" si="1"/>
        <v>100</v>
      </c>
      <c r="V10" s="713" t="s">
        <v>17</v>
      </c>
      <c r="W10" s="714">
        <f t="shared" si="2"/>
        <v>100</v>
      </c>
      <c r="X10" s="715"/>
      <c r="Y10" s="3301"/>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5"/>
      <c r="Q11" s="1530">
        <f t="shared" si="6"/>
        <v>111</v>
      </c>
      <c r="R11" s="713" t="s">
        <v>17</v>
      </c>
      <c r="S11" s="714">
        <f t="shared" si="0"/>
        <v>100</v>
      </c>
      <c r="T11" s="713" t="s">
        <v>17</v>
      </c>
      <c r="U11" s="714">
        <f t="shared" si="1"/>
        <v>100</v>
      </c>
      <c r="V11" s="713" t="s">
        <v>17</v>
      </c>
      <c r="W11" s="714">
        <f t="shared" si="2"/>
        <v>100</v>
      </c>
      <c r="X11" s="715"/>
      <c r="Y11" s="3301"/>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5"/>
      <c r="Q12" s="1530">
        <f t="shared" si="6"/>
        <v>111</v>
      </c>
      <c r="R12" s="713" t="s">
        <v>17</v>
      </c>
      <c r="S12" s="714">
        <f t="shared" si="0"/>
        <v>100</v>
      </c>
      <c r="T12" s="713" t="s">
        <v>17</v>
      </c>
      <c r="U12" s="714">
        <f t="shared" si="1"/>
        <v>100</v>
      </c>
      <c r="V12" s="713" t="s">
        <v>17</v>
      </c>
      <c r="W12" s="714">
        <f t="shared" si="2"/>
        <v>100</v>
      </c>
      <c r="X12" s="715"/>
      <c r="Y12" s="3301"/>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5"/>
      <c r="Q13" s="1530">
        <f t="shared" si="6"/>
        <v>111</v>
      </c>
      <c r="R13" s="713" t="s">
        <v>17</v>
      </c>
      <c r="S13" s="714">
        <f t="shared" si="0"/>
        <v>100</v>
      </c>
      <c r="T13" s="713" t="s">
        <v>17</v>
      </c>
      <c r="U13" s="714">
        <f t="shared" si="1"/>
        <v>100</v>
      </c>
      <c r="V13" s="713" t="s">
        <v>17</v>
      </c>
      <c r="W13" s="714">
        <f t="shared" si="2"/>
        <v>100</v>
      </c>
      <c r="X13" s="715"/>
      <c r="Y13" s="3301"/>
      <c r="Z13" s="55">
        <f t="shared" si="7"/>
        <v>111</v>
      </c>
      <c r="AA13" s="716">
        <f t="shared" si="3"/>
        <v>1</v>
      </c>
      <c r="AB13" s="716">
        <f t="shared" si="4"/>
        <v>1</v>
      </c>
      <c r="AC13" s="716">
        <f t="shared" si="5"/>
        <v>1</v>
      </c>
    </row>
    <row r="14" spans="1:29" ht="85.5">
      <c r="A14" s="402" t="s">
        <v>2385</v>
      </c>
      <c r="B14" s="69" t="s">
        <v>2535</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38" t="s">
        <v>2386</v>
      </c>
      <c r="Q14" s="1539" t="str">
        <f t="shared" si="6"/>
        <v>交通便捷度</v>
      </c>
      <c r="R14" s="717" t="s">
        <v>17</v>
      </c>
      <c r="S14" s="718">
        <f t="shared" si="0"/>
        <v>100</v>
      </c>
      <c r="T14" s="717" t="s">
        <v>17</v>
      </c>
      <c r="U14" s="718">
        <f t="shared" si="1"/>
        <v>100</v>
      </c>
      <c r="V14" s="717" t="s">
        <v>17</v>
      </c>
      <c r="W14" s="718">
        <f t="shared" si="2"/>
        <v>100</v>
      </c>
      <c r="X14" s="1542"/>
      <c r="Y14" s="3338" t="s">
        <v>2386</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39"/>
      <c r="Q15" s="1539"/>
      <c r="R15" s="717"/>
      <c r="S15" s="718"/>
      <c r="T15" s="717"/>
      <c r="U15" s="718"/>
      <c r="V15" s="717"/>
      <c r="W15" s="718"/>
      <c r="X15" s="1542"/>
      <c r="Y15" s="3339"/>
      <c r="Z15" s="1543"/>
      <c r="AA15" s="1540">
        <v>1</v>
      </c>
      <c r="AB15" s="1540">
        <v>1</v>
      </c>
      <c r="AC15" s="1540">
        <v>1</v>
      </c>
    </row>
    <row r="16" spans="1:29" ht="42.75">
      <c r="A16" s="390"/>
      <c r="B16" s="413" t="s">
        <v>2514</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39"/>
      <c r="Q16" s="1539" t="str">
        <f>B16</f>
        <v>公共配套设施</v>
      </c>
      <c r="R16" s="717" t="s">
        <v>17</v>
      </c>
      <c r="S16" s="718">
        <f>F16</f>
        <v>100</v>
      </c>
      <c r="T16" s="717" t="s">
        <v>17</v>
      </c>
      <c r="U16" s="718">
        <f>H16</f>
        <v>100</v>
      </c>
      <c r="V16" s="717" t="s">
        <v>17</v>
      </c>
      <c r="W16" s="718">
        <f>J16</f>
        <v>100</v>
      </c>
      <c r="X16" s="1542"/>
      <c r="Y16" s="3339"/>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39"/>
      <c r="Q17" s="1539"/>
      <c r="R17" s="717"/>
      <c r="S17" s="718"/>
      <c r="T17" s="717"/>
      <c r="U17" s="718"/>
      <c r="V17" s="717"/>
      <c r="W17" s="718"/>
      <c r="X17" s="1542"/>
      <c r="Y17" s="3339"/>
      <c r="Z17" s="1543"/>
      <c r="AA17" s="1540">
        <v>1</v>
      </c>
      <c r="AB17" s="1540">
        <v>1</v>
      </c>
      <c r="AC17" s="1540">
        <v>1</v>
      </c>
    </row>
    <row r="18" spans="1:29" ht="28.5">
      <c r="A18" s="390"/>
      <c r="B18" s="1295" t="s">
        <v>2515</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39"/>
      <c r="Q18" s="1539" t="str">
        <f>B18</f>
        <v>基础设施水平</v>
      </c>
      <c r="R18" s="717" t="s">
        <v>17</v>
      </c>
      <c r="S18" s="718">
        <f>F18</f>
        <v>100</v>
      </c>
      <c r="T18" s="717" t="s">
        <v>17</v>
      </c>
      <c r="U18" s="718">
        <f>H18</f>
        <v>100</v>
      </c>
      <c r="V18" s="717" t="s">
        <v>17</v>
      </c>
      <c r="W18" s="718">
        <f>J18</f>
        <v>100</v>
      </c>
      <c r="X18" s="1542"/>
      <c r="Y18" s="3339"/>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39"/>
      <c r="Q19" s="1539"/>
      <c r="R19" s="717"/>
      <c r="S19" s="718"/>
      <c r="T19" s="717"/>
      <c r="U19" s="718"/>
      <c r="V19" s="717"/>
      <c r="W19" s="718"/>
      <c r="X19" s="1542"/>
      <c r="Y19" s="3339"/>
      <c r="Z19" s="1543"/>
      <c r="AA19" s="1540">
        <v>1</v>
      </c>
      <c r="AB19" s="1540">
        <v>1</v>
      </c>
      <c r="AC19" s="1540">
        <v>1</v>
      </c>
    </row>
    <row r="20" spans="1:29" ht="57">
      <c r="A20" s="390"/>
      <c r="B20" s="413" t="s">
        <v>2536</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39"/>
      <c r="Q20" s="1539" t="str">
        <f>B20</f>
        <v>自然及人文环境</v>
      </c>
      <c r="R20" s="717" t="s">
        <v>17</v>
      </c>
      <c r="S20" s="718">
        <f>F20</f>
        <v>100</v>
      </c>
      <c r="T20" s="717" t="s">
        <v>17</v>
      </c>
      <c r="U20" s="718">
        <f>H20</f>
        <v>100</v>
      </c>
      <c r="V20" s="717" t="s">
        <v>17</v>
      </c>
      <c r="W20" s="718">
        <f>J20</f>
        <v>100</v>
      </c>
      <c r="X20" s="1542"/>
      <c r="Y20" s="3339"/>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39"/>
      <c r="Q21" s="1539"/>
      <c r="R21" s="717"/>
      <c r="S21" s="718"/>
      <c r="T21" s="717"/>
      <c r="U21" s="718"/>
      <c r="V21" s="717"/>
      <c r="W21" s="718"/>
      <c r="X21" s="1542"/>
      <c r="Y21" s="3339"/>
      <c r="Z21" s="1543"/>
      <c r="AA21" s="1540">
        <v>1</v>
      </c>
      <c r="AB21" s="1540">
        <v>1</v>
      </c>
      <c r="AC21" s="1540">
        <v>1</v>
      </c>
    </row>
    <row r="22" spans="1:29" ht="15">
      <c r="A22" s="390"/>
      <c r="B22" s="413" t="s">
        <v>2537</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39"/>
      <c r="Q22" s="1539" t="str">
        <f>B22</f>
        <v>楼层</v>
      </c>
      <c r="R22" s="717" t="s">
        <v>17</v>
      </c>
      <c r="S22" s="718">
        <f>F22</f>
        <v>100</v>
      </c>
      <c r="T22" s="717" t="s">
        <v>17</v>
      </c>
      <c r="U22" s="718">
        <f>H22</f>
        <v>100</v>
      </c>
      <c r="V22" s="717" t="s">
        <v>17</v>
      </c>
      <c r="W22" s="718">
        <f>J22</f>
        <v>100</v>
      </c>
      <c r="X22" s="1542"/>
      <c r="Y22" s="3339"/>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39"/>
      <c r="Q23" s="1539">
        <f>B23</f>
        <v>111</v>
      </c>
      <c r="R23" s="717" t="s">
        <v>17</v>
      </c>
      <c r="S23" s="718">
        <f>F23</f>
        <v>100</v>
      </c>
      <c r="T23" s="717" t="s">
        <v>17</v>
      </c>
      <c r="U23" s="718">
        <f>H23</f>
        <v>100</v>
      </c>
      <c r="V23" s="717" t="s">
        <v>17</v>
      </c>
      <c r="W23" s="718">
        <f>J23</f>
        <v>100</v>
      </c>
      <c r="X23" s="1542"/>
      <c r="Y23" s="3339"/>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39"/>
      <c r="Q24" s="1539">
        <f t="shared" ref="Q24:Q34" si="11">B24</f>
        <v>111</v>
      </c>
      <c r="R24" s="717" t="s">
        <v>17</v>
      </c>
      <c r="S24" s="718">
        <f>F24</f>
        <v>100</v>
      </c>
      <c r="T24" s="717" t="s">
        <v>17</v>
      </c>
      <c r="U24" s="718">
        <f>H24</f>
        <v>100</v>
      </c>
      <c r="V24" s="717" t="s">
        <v>17</v>
      </c>
      <c r="W24" s="718">
        <f>J24</f>
        <v>100</v>
      </c>
      <c r="X24" s="1542"/>
      <c r="Y24" s="3339"/>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39"/>
      <c r="Q25" s="1530">
        <f t="shared" si="11"/>
        <v>111</v>
      </c>
      <c r="R25" s="713" t="s">
        <v>17</v>
      </c>
      <c r="S25" s="714">
        <f>F25</f>
        <v>100</v>
      </c>
      <c r="T25" s="713" t="s">
        <v>17</v>
      </c>
      <c r="U25" s="714">
        <f>H25</f>
        <v>100</v>
      </c>
      <c r="V25" s="713" t="s">
        <v>17</v>
      </c>
      <c r="W25" s="714">
        <f>J25</f>
        <v>100</v>
      </c>
      <c r="X25" s="715"/>
      <c r="Y25" s="3339"/>
      <c r="Z25" s="55">
        <f>Q25</f>
        <v>111</v>
      </c>
      <c r="AA25" s="1540">
        <f>D25/F25</f>
        <v>1</v>
      </c>
      <c r="AB25" s="1540">
        <f>D25/H25</f>
        <v>1</v>
      </c>
      <c r="AC25" s="1540">
        <f>D25/J25</f>
        <v>1</v>
      </c>
    </row>
    <row r="26" spans="1:29" ht="28.5">
      <c r="A26" s="428" t="s">
        <v>2389</v>
      </c>
      <c r="B26" s="71" t="s">
        <v>2540</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40" t="s">
        <v>2391</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41" t="s">
        <v>2391</v>
      </c>
      <c r="Z26" s="1543" t="str">
        <f t="shared" ref="Z26:Z34" si="15">Q26</f>
        <v>公共部分装修</v>
      </c>
      <c r="AA26" s="1540">
        <f t="shared" si="3"/>
        <v>1</v>
      </c>
      <c r="AB26" s="1540">
        <f t="shared" si="4"/>
        <v>1</v>
      </c>
      <c r="AC26" s="1540">
        <f t="shared" si="5"/>
        <v>1</v>
      </c>
    </row>
    <row r="27" spans="1:29" s="433" customFormat="1" ht="15">
      <c r="A27" s="430"/>
      <c r="B27" s="384" t="s">
        <v>2541</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41"/>
      <c r="Q27" s="719" t="str">
        <f t="shared" si="11"/>
        <v>成新率</v>
      </c>
      <c r="R27" s="720" t="s">
        <v>17</v>
      </c>
      <c r="S27" s="721" t="e">
        <f t="shared" si="12"/>
        <v>#N/A</v>
      </c>
      <c r="T27" s="720" t="s">
        <v>17</v>
      </c>
      <c r="U27" s="721" t="e">
        <f t="shared" si="13"/>
        <v>#N/A</v>
      </c>
      <c r="V27" s="720" t="s">
        <v>17</v>
      </c>
      <c r="W27" s="721" t="e">
        <f t="shared" si="14"/>
        <v>#N/A</v>
      </c>
      <c r="X27" s="722"/>
      <c r="Y27" s="3341"/>
      <c r="Z27" s="723" t="str">
        <f t="shared" si="15"/>
        <v>成新率</v>
      </c>
      <c r="AA27" s="1540" t="e">
        <f t="shared" si="3"/>
        <v>#N/A</v>
      </c>
      <c r="AB27" s="1540" t="e">
        <f t="shared" si="4"/>
        <v>#N/A</v>
      </c>
      <c r="AC27" s="1540" t="e">
        <f t="shared" si="5"/>
        <v>#N/A</v>
      </c>
    </row>
    <row r="28" spans="1:29" ht="15">
      <c r="A28" s="434"/>
      <c r="B28" s="384" t="s">
        <v>2542</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41"/>
      <c r="Q28" s="1539" t="str">
        <f t="shared" si="11"/>
        <v>物业等级</v>
      </c>
      <c r="R28" s="717" t="s">
        <v>17</v>
      </c>
      <c r="S28" s="718">
        <f t="shared" si="12"/>
        <v>100</v>
      </c>
      <c r="T28" s="717" t="s">
        <v>17</v>
      </c>
      <c r="U28" s="718">
        <f t="shared" si="13"/>
        <v>100</v>
      </c>
      <c r="V28" s="717" t="s">
        <v>17</v>
      </c>
      <c r="W28" s="718">
        <f t="shared" si="14"/>
        <v>100</v>
      </c>
      <c r="X28" s="1542"/>
      <c r="Y28" s="3341"/>
      <c r="Z28" s="1543" t="str">
        <f t="shared" si="15"/>
        <v>物业等级</v>
      </c>
      <c r="AA28" s="1540">
        <f t="shared" si="3"/>
        <v>1</v>
      </c>
      <c r="AB28" s="1540">
        <f t="shared" si="4"/>
        <v>1</v>
      </c>
      <c r="AC28" s="1540">
        <f t="shared" si="5"/>
        <v>1</v>
      </c>
    </row>
    <row r="29" spans="1:29" ht="15">
      <c r="A29" s="434"/>
      <c r="B29" s="384" t="s">
        <v>2563</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41"/>
      <c r="Q29" s="1539" t="str">
        <f t="shared" si="11"/>
        <v>有无电梯</v>
      </c>
      <c r="R29" s="717" t="s">
        <v>17</v>
      </c>
      <c r="S29" s="718">
        <f t="shared" si="12"/>
        <v>100</v>
      </c>
      <c r="T29" s="717" t="s">
        <v>17</v>
      </c>
      <c r="U29" s="718">
        <f t="shared" si="13"/>
        <v>100</v>
      </c>
      <c r="V29" s="717" t="s">
        <v>17</v>
      </c>
      <c r="W29" s="718">
        <f t="shared" si="14"/>
        <v>100</v>
      </c>
      <c r="X29" s="1542"/>
      <c r="Y29" s="3341"/>
      <c r="Z29" s="1543" t="str">
        <f t="shared" si="15"/>
        <v>有无电梯</v>
      </c>
      <c r="AA29" s="1540">
        <f t="shared" si="3"/>
        <v>1</v>
      </c>
      <c r="AB29" s="1540">
        <f t="shared" si="4"/>
        <v>1</v>
      </c>
      <c r="AC29" s="1540">
        <f t="shared" si="5"/>
        <v>1</v>
      </c>
    </row>
    <row r="30" spans="1:29" ht="15">
      <c r="A30" s="434"/>
      <c r="B30" s="384" t="s">
        <v>2564</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41"/>
      <c r="Q30" s="1539" t="str">
        <f t="shared" si="11"/>
        <v>建筑面积</v>
      </c>
      <c r="R30" s="717" t="s">
        <v>17</v>
      </c>
      <c r="S30" s="718" t="e">
        <f t="shared" si="12"/>
        <v>#N/A</v>
      </c>
      <c r="T30" s="717" t="s">
        <v>17</v>
      </c>
      <c r="U30" s="718" t="e">
        <f t="shared" si="13"/>
        <v>#N/A</v>
      </c>
      <c r="V30" s="717" t="s">
        <v>17</v>
      </c>
      <c r="W30" s="718" t="e">
        <f t="shared" si="14"/>
        <v>#N/A</v>
      </c>
      <c r="X30" s="1542"/>
      <c r="Y30" s="3341"/>
      <c r="Z30" s="1543" t="str">
        <f t="shared" si="15"/>
        <v>建筑面积</v>
      </c>
      <c r="AA30" s="1540" t="e">
        <f t="shared" si="3"/>
        <v>#N/A</v>
      </c>
      <c r="AB30" s="1540" t="e">
        <f t="shared" si="4"/>
        <v>#N/A</v>
      </c>
      <c r="AC30" s="1540" t="e">
        <f t="shared" si="5"/>
        <v>#N/A</v>
      </c>
    </row>
    <row r="31" spans="1:29" s="116" customFormat="1" ht="15">
      <c r="A31" s="435"/>
      <c r="B31" s="384" t="s">
        <v>2565</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41"/>
      <c r="Q31" s="1530" t="str">
        <f t="shared" si="11"/>
        <v>是否封闭</v>
      </c>
      <c r="R31" s="713" t="s">
        <v>17</v>
      </c>
      <c r="S31" s="714">
        <f t="shared" si="12"/>
        <v>100</v>
      </c>
      <c r="T31" s="713" t="s">
        <v>17</v>
      </c>
      <c r="U31" s="714">
        <f t="shared" si="13"/>
        <v>100</v>
      </c>
      <c r="V31" s="713" t="s">
        <v>17</v>
      </c>
      <c r="W31" s="714">
        <f t="shared" si="14"/>
        <v>100</v>
      </c>
      <c r="X31" s="715"/>
      <c r="Y31" s="3341"/>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41" t="s">
        <v>2391</v>
      </c>
      <c r="Q32" s="1539">
        <f t="shared" si="11"/>
        <v>111</v>
      </c>
      <c r="R32" s="717" t="s">
        <v>17</v>
      </c>
      <c r="S32" s="718">
        <f t="shared" si="12"/>
        <v>100</v>
      </c>
      <c r="T32" s="717" t="s">
        <v>17</v>
      </c>
      <c r="U32" s="718">
        <f t="shared" si="13"/>
        <v>100</v>
      </c>
      <c r="V32" s="717" t="s">
        <v>17</v>
      </c>
      <c r="W32" s="718">
        <f t="shared" si="14"/>
        <v>100</v>
      </c>
      <c r="X32" s="1542"/>
      <c r="Y32" s="3341" t="s">
        <v>2391</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41"/>
      <c r="Q33" s="1539">
        <f t="shared" si="11"/>
        <v>111</v>
      </c>
      <c r="R33" s="717" t="s">
        <v>17</v>
      </c>
      <c r="S33" s="718">
        <f t="shared" si="12"/>
        <v>100</v>
      </c>
      <c r="T33" s="717" t="s">
        <v>17</v>
      </c>
      <c r="U33" s="718">
        <f t="shared" si="13"/>
        <v>100</v>
      </c>
      <c r="V33" s="717" t="s">
        <v>17</v>
      </c>
      <c r="W33" s="718">
        <f t="shared" si="14"/>
        <v>100</v>
      </c>
      <c r="X33" s="1542"/>
      <c r="Y33" s="3341"/>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41"/>
      <c r="Q34" s="1539">
        <f t="shared" si="11"/>
        <v>111</v>
      </c>
      <c r="R34" s="717" t="s">
        <v>17</v>
      </c>
      <c r="S34" s="718">
        <f t="shared" si="12"/>
        <v>100</v>
      </c>
      <c r="T34" s="717" t="s">
        <v>17</v>
      </c>
      <c r="U34" s="718">
        <f t="shared" si="13"/>
        <v>100</v>
      </c>
      <c r="V34" s="717" t="s">
        <v>17</v>
      </c>
      <c r="W34" s="718">
        <f t="shared" si="14"/>
        <v>100</v>
      </c>
      <c r="X34" s="1542"/>
      <c r="Y34" s="3341"/>
      <c r="Z34" s="1543">
        <f t="shared" si="15"/>
        <v>111</v>
      </c>
      <c r="AA34" s="1540">
        <f t="shared" si="3"/>
        <v>1</v>
      </c>
      <c r="AB34" s="1540">
        <f t="shared" si="4"/>
        <v>1</v>
      </c>
      <c r="AC34" s="1540">
        <f t="shared" si="5"/>
        <v>1</v>
      </c>
    </row>
    <row r="35" spans="1:30" ht="15">
      <c r="A35" s="441" t="s">
        <v>2403</v>
      </c>
      <c r="B35" s="442"/>
      <c r="C35" s="1318" t="s">
        <v>1</v>
      </c>
      <c r="D35" s="1319"/>
      <c r="E35" s="1320"/>
      <c r="F35" s="1321"/>
      <c r="G35" s="1322"/>
      <c r="H35" s="1323"/>
      <c r="I35" s="1320"/>
      <c r="J35" s="1323"/>
      <c r="K35" s="726"/>
      <c r="L35" s="2953"/>
      <c r="M35" s="2954"/>
      <c r="N35" s="2945"/>
      <c r="O35" s="2954"/>
      <c r="P35" s="3335" t="str">
        <f>A35</f>
        <v>成交单价（元/平方米）</v>
      </c>
      <c r="Q35" s="3335"/>
      <c r="R35" s="3409">
        <f>E35</f>
        <v>0</v>
      </c>
      <c r="S35" s="3409"/>
      <c r="T35" s="3409">
        <f>G35</f>
        <v>0</v>
      </c>
      <c r="U35" s="3409"/>
      <c r="V35" s="3409">
        <f>I35</f>
        <v>0</v>
      </c>
      <c r="W35" s="3409"/>
      <c r="X35" s="702"/>
      <c r="Y35" s="724"/>
      <c r="Z35" s="702"/>
      <c r="AA35" s="702"/>
      <c r="AB35" s="702"/>
      <c r="AC35" s="702"/>
    </row>
    <row r="36" spans="1:30" ht="15.75" thickBot="1">
      <c r="A36" s="448" t="s">
        <v>2495</v>
      </c>
      <c r="B36" s="449"/>
      <c r="C36" s="1324" t="e">
        <f>R37</f>
        <v>#DIV/0!</v>
      </c>
      <c r="D36" s="2540" t="s">
        <v>2888</v>
      </c>
      <c r="E36" s="1325" t="e">
        <f>R36</f>
        <v>#DIV/0!</v>
      </c>
      <c r="F36" s="2541"/>
      <c r="G36" s="1324" t="e">
        <f>T36</f>
        <v>#DIV/0!</v>
      </c>
      <c r="H36" s="2541"/>
      <c r="I36" s="1325" t="e">
        <f>V36</f>
        <v>#DIV/0!</v>
      </c>
      <c r="J36" s="2541"/>
      <c r="K36" s="2543">
        <f>F36+H36+J36</f>
        <v>0</v>
      </c>
      <c r="L36" s="2953"/>
      <c r="M36" s="2954"/>
      <c r="N36" s="2945"/>
      <c r="O36" s="2954"/>
      <c r="P36" s="3335" t="str">
        <f>A36</f>
        <v>比较价值（元/平方米）</v>
      </c>
      <c r="Q36" s="3335"/>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702"/>
      <c r="Y36" s="702"/>
      <c r="Z36" s="702"/>
      <c r="AA36" s="702"/>
      <c r="AB36" s="702"/>
      <c r="AC36" s="702"/>
    </row>
    <row r="37" spans="1:30" ht="15.75" thickBot="1">
      <c r="A37" s="452" t="s">
        <v>2496</v>
      </c>
      <c r="B37" s="453"/>
      <c r="C37" s="1327" t="e">
        <f>R37</f>
        <v>#DIV/0!</v>
      </c>
      <c r="D37" s="1327"/>
      <c r="E37" s="1327"/>
      <c r="F37" s="1327"/>
      <c r="G37" s="1327"/>
      <c r="H37" s="1327"/>
      <c r="I37" s="1327"/>
      <c r="J37" s="1327"/>
      <c r="K37" s="727"/>
      <c r="L37" s="2953"/>
      <c r="M37" s="2954"/>
      <c r="N37" s="2954"/>
      <c r="O37" s="2954"/>
      <c r="P37" s="3332" t="str">
        <f>A37</f>
        <v>估价对象XX用房的比较价值（楼面单价，元/平方米）</v>
      </c>
      <c r="Q37" s="3333"/>
      <c r="R37" s="3431" t="e">
        <f>IF(F1="售价",ROUND(IF(D36="简单平均",AVERAGE(R36:W36),R36*F36+T36*H36+V36*J36),0),ROUND(IF(D36="简单平均",AVERAGE(R36:V36),R36*F36+T36*H36+V36*J36),1))</f>
        <v>#DIV/0!</v>
      </c>
      <c r="S37" s="3431"/>
      <c r="T37" s="3431"/>
      <c r="U37" s="3431"/>
      <c r="V37" s="3431"/>
      <c r="W37" s="3431"/>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2497</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2498</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2499</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2500</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2374</v>
      </c>
      <c r="B46" s="466"/>
      <c r="C46" s="1347" t="str">
        <f>YEAR(C7)&amp;"-"&amp;MONTH(C7)</f>
        <v>2020-12</v>
      </c>
      <c r="D46" s="1348">
        <f>EDATE(C46,-1)</f>
        <v>44136</v>
      </c>
      <c r="E46" s="1348">
        <f t="shared" ref="E46:O46" si="16">EDATE(D46,-1)</f>
        <v>44105</v>
      </c>
      <c r="F46" s="1348">
        <f t="shared" si="16"/>
        <v>44075</v>
      </c>
      <c r="G46" s="1348">
        <f t="shared" si="16"/>
        <v>44044</v>
      </c>
      <c r="H46" s="1348">
        <f t="shared" si="16"/>
        <v>44013</v>
      </c>
      <c r="I46" s="1348">
        <f t="shared" si="16"/>
        <v>43983</v>
      </c>
      <c r="J46" s="1348">
        <f t="shared" si="16"/>
        <v>43952</v>
      </c>
      <c r="K46" s="1348">
        <f t="shared" si="16"/>
        <v>43922</v>
      </c>
      <c r="L46" s="1348">
        <f t="shared" si="16"/>
        <v>43891</v>
      </c>
      <c r="M46" s="1348">
        <f t="shared" si="16"/>
        <v>43862</v>
      </c>
      <c r="N46" s="1348">
        <f t="shared" si="16"/>
        <v>43831</v>
      </c>
      <c r="O46" s="1348">
        <f t="shared" si="16"/>
        <v>43800</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2411</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2376</v>
      </c>
      <c r="B49" s="470"/>
      <c r="C49" s="482" t="s">
        <v>2478</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2414</v>
      </c>
      <c r="B51" s="488" t="s">
        <v>2380</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2383</v>
      </c>
      <c r="C53" s="499" t="s">
        <v>2415</v>
      </c>
      <c r="D53" s="499" t="s">
        <v>2416</v>
      </c>
      <c r="E53" s="499" t="s">
        <v>2417</v>
      </c>
      <c r="F53" s="499" t="s">
        <v>2418</v>
      </c>
      <c r="G53" s="499" t="s">
        <v>2419</v>
      </c>
      <c r="H53" s="499" t="s">
        <v>2420</v>
      </c>
      <c r="I53" s="499" t="s">
        <v>2421</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2385</v>
      </c>
      <c r="B61" s="488" t="s">
        <v>2428</v>
      </c>
      <c r="C61" s="533" t="s">
        <v>2423</v>
      </c>
      <c r="D61" s="533" t="s">
        <v>2424</v>
      </c>
      <c r="E61" s="533" t="s">
        <v>2425</v>
      </c>
      <c r="F61" s="533" t="s">
        <v>2426</v>
      </c>
      <c r="G61" s="533" t="s">
        <v>2427</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2566</v>
      </c>
      <c r="C63" s="538" t="s">
        <v>2423</v>
      </c>
      <c r="D63" s="538" t="s">
        <v>2424</v>
      </c>
      <c r="E63" s="538" t="s">
        <v>2425</v>
      </c>
      <c r="F63" s="538" t="s">
        <v>2426</v>
      </c>
      <c r="G63" s="538" t="s">
        <v>2427</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2515</v>
      </c>
      <c r="C65" s="619" t="s">
        <v>2501</v>
      </c>
      <c r="D65" s="619" t="s">
        <v>2502</v>
      </c>
      <c r="E65" s="619" t="s">
        <v>2503</v>
      </c>
      <c r="F65" s="619" t="s">
        <v>2504</v>
      </c>
      <c r="G65" s="619" t="s">
        <v>2505</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2435</v>
      </c>
      <c r="C67" s="538" t="s">
        <v>2423</v>
      </c>
      <c r="D67" s="538" t="s">
        <v>2424</v>
      </c>
      <c r="E67" s="538" t="s">
        <v>2425</v>
      </c>
      <c r="F67" s="538" t="s">
        <v>2426</v>
      </c>
      <c r="G67" s="538" t="s">
        <v>2427</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2555</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2389</v>
      </c>
      <c r="B77" s="488" t="s">
        <v>2442</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2558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2559</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2567</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2568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2569</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2570</v>
      </c>
      <c r="B1" s="358"/>
      <c r="C1" s="359" t="s">
        <v>2571</v>
      </c>
      <c r="D1" s="698"/>
      <c r="E1" s="698"/>
      <c r="F1" s="697" t="s">
        <v>2469</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2572</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2471</v>
      </c>
      <c r="B4" s="365"/>
      <c r="C4" s="3345" t="s">
        <v>2472</v>
      </c>
      <c r="D4" s="3346"/>
      <c r="E4" s="3347" t="s">
        <v>2473</v>
      </c>
      <c r="F4" s="3348"/>
      <c r="G4" s="3345" t="s">
        <v>2474</v>
      </c>
      <c r="H4" s="3346"/>
      <c r="I4" s="3345" t="s">
        <v>2475</v>
      </c>
      <c r="J4" s="3346"/>
      <c r="K4" s="570" t="s">
        <v>2476</v>
      </c>
      <c r="L4" s="2944"/>
      <c r="M4" s="2945"/>
      <c r="N4" s="2945"/>
      <c r="O4" s="2945"/>
      <c r="P4" s="3349" t="s">
        <v>2477</v>
      </c>
      <c r="Q4" s="3350"/>
      <c r="R4" s="3362" t="s">
        <v>2473</v>
      </c>
      <c r="S4" s="3363"/>
      <c r="T4" s="3362" t="s">
        <v>2474</v>
      </c>
      <c r="U4" s="3363"/>
      <c r="V4" s="3337" t="s">
        <v>2475</v>
      </c>
      <c r="W4" s="3337"/>
      <c r="X4" s="1542"/>
      <c r="Y4" s="3362" t="s">
        <v>2477</v>
      </c>
      <c r="Z4" s="3363"/>
      <c r="AA4" s="3342" t="s">
        <v>2473</v>
      </c>
      <c r="AB4" s="3343" t="s">
        <v>2474</v>
      </c>
      <c r="AC4" s="3342" t="s">
        <v>2475</v>
      </c>
    </row>
    <row r="5" spans="1:30" ht="15">
      <c r="A5" s="367"/>
      <c r="B5" s="368"/>
      <c r="C5" s="3370" t="s">
        <v>2368</v>
      </c>
      <c r="D5" s="3367"/>
      <c r="E5" s="3355" t="s">
        <v>2369</v>
      </c>
      <c r="F5" s="3356"/>
      <c r="G5" s="3370" t="s">
        <v>2370</v>
      </c>
      <c r="H5" s="3367"/>
      <c r="I5" s="3370" t="s">
        <v>2371</v>
      </c>
      <c r="J5" s="3367"/>
      <c r="K5" s="570"/>
      <c r="L5" s="2944"/>
      <c r="M5" s="2945"/>
      <c r="N5" s="2945"/>
      <c r="O5" s="2945"/>
      <c r="P5" s="3351"/>
      <c r="Q5" s="3352"/>
      <c r="R5" s="3364"/>
      <c r="S5" s="3365"/>
      <c r="T5" s="3364"/>
      <c r="U5" s="3365"/>
      <c r="V5" s="3337"/>
      <c r="W5" s="3337"/>
      <c r="X5" s="1542"/>
      <c r="Y5" s="3364"/>
      <c r="Z5" s="3365"/>
      <c r="AA5" s="3343"/>
      <c r="AB5" s="3343"/>
      <c r="AC5" s="3343"/>
    </row>
    <row r="6" spans="1:30" ht="15.75" thickBot="1">
      <c r="A6" s="369"/>
      <c r="B6" s="370"/>
      <c r="C6" s="3404" t="s">
        <v>2372</v>
      </c>
      <c r="D6" s="3405"/>
      <c r="E6" s="3406" t="s">
        <v>2372</v>
      </c>
      <c r="F6" s="3407"/>
      <c r="G6" s="3404" t="s">
        <v>2372</v>
      </c>
      <c r="H6" s="3405"/>
      <c r="I6" s="3404" t="s">
        <v>2372</v>
      </c>
      <c r="J6" s="3405"/>
      <c r="K6" s="570" t="s">
        <v>2373</v>
      </c>
      <c r="L6" s="2944"/>
      <c r="M6" s="2945"/>
      <c r="N6" s="2945"/>
      <c r="O6" s="2945"/>
      <c r="P6" s="3353"/>
      <c r="Q6" s="3354"/>
      <c r="R6" s="3364"/>
      <c r="S6" s="3365"/>
      <c r="T6" s="3374"/>
      <c r="U6" s="3375"/>
      <c r="V6" s="3337"/>
      <c r="W6" s="3337"/>
      <c r="X6" s="1542"/>
      <c r="Y6" s="3374"/>
      <c r="Z6" s="3375"/>
      <c r="AA6" s="3344"/>
      <c r="AB6" s="3344"/>
      <c r="AC6" s="3344"/>
    </row>
    <row r="7" spans="1:30" s="116" customFormat="1" ht="15.75" thickBot="1">
      <c r="A7" s="371" t="s">
        <v>2374</v>
      </c>
      <c r="B7" s="372"/>
      <c r="C7" s="373">
        <f>'数据-取费表'!B2</f>
        <v>44166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57" t="s">
        <v>2375</v>
      </c>
      <c r="Q7" s="3371"/>
      <c r="R7" s="713" t="s">
        <v>17</v>
      </c>
      <c r="S7" s="714">
        <f t="shared" ref="S7:S15" si="0">F7</f>
        <v>0</v>
      </c>
      <c r="T7" s="713" t="s">
        <v>17</v>
      </c>
      <c r="U7" s="714">
        <f t="shared" ref="U7:U15" si="1">H7</f>
        <v>0</v>
      </c>
      <c r="V7" s="713" t="s">
        <v>17</v>
      </c>
      <c r="W7" s="714">
        <f t="shared" ref="W7:W15" si="2">J7</f>
        <v>0</v>
      </c>
      <c r="X7" s="715"/>
      <c r="Y7" s="3357" t="s">
        <v>2375</v>
      </c>
      <c r="Z7" s="3358"/>
      <c r="AA7" s="716" t="e">
        <f>D7/F7</f>
        <v>#DIV/0!</v>
      </c>
      <c r="AB7" s="716" t="e">
        <f>D7/H7</f>
        <v>#DIV/0!</v>
      </c>
      <c r="AC7" s="716" t="e">
        <f>D7/J7</f>
        <v>#DIV/0!</v>
      </c>
    </row>
    <row r="8" spans="1:30" s="116" customFormat="1" ht="15.75" thickBot="1">
      <c r="A8" s="371" t="s">
        <v>2376</v>
      </c>
      <c r="B8" s="372"/>
      <c r="C8" s="377" t="s">
        <v>2377</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57" t="s">
        <v>2378</v>
      </c>
      <c r="Q8" s="3358"/>
      <c r="R8" s="713" t="s">
        <v>17</v>
      </c>
      <c r="S8" s="714">
        <f t="shared" si="0"/>
        <v>0</v>
      </c>
      <c r="T8" s="713" t="s">
        <v>17</v>
      </c>
      <c r="U8" s="714">
        <f t="shared" si="1"/>
        <v>0</v>
      </c>
      <c r="V8" s="713" t="s">
        <v>17</v>
      </c>
      <c r="W8" s="714">
        <f t="shared" si="2"/>
        <v>0</v>
      </c>
      <c r="X8" s="715"/>
      <c r="Y8" s="3357" t="s">
        <v>2378</v>
      </c>
      <c r="Z8" s="3358"/>
      <c r="AA8" s="716" t="e">
        <f t="shared" ref="AA8:AA45" si="3">D8/F8</f>
        <v>#DIV/0!</v>
      </c>
      <c r="AB8" s="716" t="e">
        <f t="shared" ref="AB8:AB45" si="4">D8/H8</f>
        <v>#DIV/0!</v>
      </c>
      <c r="AC8" s="716" t="e">
        <f t="shared" ref="AC8:AC45" si="5">D8/J8</f>
        <v>#DIV/0!</v>
      </c>
    </row>
    <row r="9" spans="1:30" s="116" customFormat="1">
      <c r="A9" s="378" t="s">
        <v>2379</v>
      </c>
      <c r="B9" s="71" t="s">
        <v>2380</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5" t="s">
        <v>2381</v>
      </c>
      <c r="Q9" s="1530" t="str">
        <f t="shared" ref="Q9:Q15" si="6">B9</f>
        <v>用途</v>
      </c>
      <c r="R9" s="713" t="s">
        <v>17</v>
      </c>
      <c r="S9" s="714">
        <f t="shared" si="0"/>
        <v>100</v>
      </c>
      <c r="T9" s="713" t="s">
        <v>17</v>
      </c>
      <c r="U9" s="714">
        <f t="shared" si="1"/>
        <v>100</v>
      </c>
      <c r="V9" s="713" t="s">
        <v>17</v>
      </c>
      <c r="W9" s="714">
        <f t="shared" si="2"/>
        <v>100</v>
      </c>
      <c r="X9" s="715"/>
      <c r="Y9" s="3301" t="s">
        <v>2382</v>
      </c>
      <c r="Z9" s="55" t="str">
        <f t="shared" ref="Z9:Z15" si="7">Q9</f>
        <v>用途</v>
      </c>
      <c r="AA9" s="716">
        <f t="shared" si="3"/>
        <v>1</v>
      </c>
      <c r="AB9" s="716">
        <f t="shared" si="4"/>
        <v>1</v>
      </c>
      <c r="AC9" s="716">
        <f t="shared" si="5"/>
        <v>1</v>
      </c>
    </row>
    <row r="10" spans="1:30" s="389" customFormat="1" ht="27">
      <c r="A10" s="383"/>
      <c r="B10" s="384" t="s">
        <v>2383</v>
      </c>
      <c r="C10" s="394"/>
      <c r="D10" s="135">
        <v>100</v>
      </c>
      <c r="E10" s="427"/>
      <c r="F10" s="135">
        <f>ROUND(100/'数据-取费表'!G16,0)</f>
        <v>105</v>
      </c>
      <c r="G10" s="425"/>
      <c r="H10" s="135">
        <f>ROUND(100/'数据-取费表'!G16,0)</f>
        <v>105</v>
      </c>
      <c r="I10" s="425"/>
      <c r="J10" s="135">
        <f>ROUND(100/'数据-取费表'!G16,0)</f>
        <v>105</v>
      </c>
      <c r="K10" s="631"/>
      <c r="L10" s="2948"/>
      <c r="M10" s="2949"/>
      <c r="N10" s="2949"/>
      <c r="O10" s="3002"/>
      <c r="P10" s="3335"/>
      <c r="Q10" s="1530" t="str">
        <f t="shared" si="6"/>
        <v>土地使用年限（年）</v>
      </c>
      <c r="R10" s="713" t="s">
        <v>17</v>
      </c>
      <c r="S10" s="714">
        <f t="shared" si="0"/>
        <v>105</v>
      </c>
      <c r="T10" s="713" t="s">
        <v>17</v>
      </c>
      <c r="U10" s="714">
        <f t="shared" si="1"/>
        <v>105</v>
      </c>
      <c r="V10" s="713" t="s">
        <v>17</v>
      </c>
      <c r="W10" s="714">
        <f t="shared" si="2"/>
        <v>105</v>
      </c>
      <c r="X10" s="715"/>
      <c r="Y10" s="3301"/>
      <c r="Z10" s="55" t="str">
        <f t="shared" si="7"/>
        <v>土地使用年限（年）</v>
      </c>
      <c r="AA10" s="716">
        <f t="shared" si="3"/>
        <v>0.95238095238095233</v>
      </c>
      <c r="AB10" s="716">
        <f t="shared" si="4"/>
        <v>0.95238095238095233</v>
      </c>
      <c r="AC10" s="716">
        <f t="shared" si="5"/>
        <v>0.95238095238095233</v>
      </c>
    </row>
    <row r="11" spans="1:30" ht="15">
      <c r="A11" s="390"/>
      <c r="B11" s="384" t="s">
        <v>2384</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5"/>
      <c r="Q11" s="1530" t="str">
        <f t="shared" si="6"/>
        <v>容积率</v>
      </c>
      <c r="R11" s="713" t="s">
        <v>17</v>
      </c>
      <c r="S11" s="714" t="e">
        <f t="shared" si="0"/>
        <v>#N/A</v>
      </c>
      <c r="T11" s="713" t="s">
        <v>17</v>
      </c>
      <c r="U11" s="714" t="e">
        <f t="shared" si="1"/>
        <v>#N/A</v>
      </c>
      <c r="V11" s="713" t="s">
        <v>17</v>
      </c>
      <c r="W11" s="714" t="e">
        <f t="shared" si="2"/>
        <v>#N/A</v>
      </c>
      <c r="X11" s="715"/>
      <c r="Y11" s="3301"/>
      <c r="Z11" s="55" t="str">
        <f t="shared" si="7"/>
        <v>容积率</v>
      </c>
      <c r="AA11" s="716" t="e">
        <f t="shared" si="3"/>
        <v>#N/A</v>
      </c>
      <c r="AB11" s="716" t="e">
        <f t="shared" si="4"/>
        <v>#N/A</v>
      </c>
      <c r="AC11" s="716" t="e">
        <f t="shared" si="5"/>
        <v>#N/A</v>
      </c>
    </row>
    <row r="12" spans="1:30" s="116" customFormat="1" ht="15">
      <c r="A12" s="393"/>
      <c r="B12" s="2081" t="s">
        <v>2573</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5"/>
      <c r="Q12" s="1530" t="str">
        <f t="shared" si="6"/>
        <v>配建</v>
      </c>
      <c r="R12" s="713" t="s">
        <v>17</v>
      </c>
      <c r="S12" s="714">
        <f t="shared" si="0"/>
        <v>100</v>
      </c>
      <c r="T12" s="713" t="s">
        <v>17</v>
      </c>
      <c r="U12" s="714">
        <f t="shared" si="1"/>
        <v>100</v>
      </c>
      <c r="V12" s="713" t="s">
        <v>17</v>
      </c>
      <c r="W12" s="714">
        <f t="shared" si="2"/>
        <v>100</v>
      </c>
      <c r="X12" s="715"/>
      <c r="Y12" s="3301"/>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5"/>
      <c r="Q13" s="1530">
        <f t="shared" si="6"/>
        <v>111</v>
      </c>
      <c r="R13" s="713" t="s">
        <v>17</v>
      </c>
      <c r="S13" s="714">
        <f t="shared" si="0"/>
        <v>100</v>
      </c>
      <c r="T13" s="713" t="s">
        <v>17</v>
      </c>
      <c r="U13" s="714">
        <f t="shared" si="1"/>
        <v>100</v>
      </c>
      <c r="V13" s="713" t="s">
        <v>17</v>
      </c>
      <c r="W13" s="714">
        <f t="shared" si="2"/>
        <v>100</v>
      </c>
      <c r="X13" s="715"/>
      <c r="Y13" s="3301"/>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5"/>
      <c r="Q14" s="1530">
        <f t="shared" si="6"/>
        <v>111</v>
      </c>
      <c r="R14" s="713" t="s">
        <v>17</v>
      </c>
      <c r="S14" s="714">
        <f t="shared" si="0"/>
        <v>100</v>
      </c>
      <c r="T14" s="713" t="s">
        <v>17</v>
      </c>
      <c r="U14" s="714">
        <f t="shared" si="1"/>
        <v>100</v>
      </c>
      <c r="V14" s="713" t="s">
        <v>17</v>
      </c>
      <c r="W14" s="714">
        <f t="shared" si="2"/>
        <v>100</v>
      </c>
      <c r="X14" s="715"/>
      <c r="Y14" s="3301"/>
      <c r="Z14" s="55">
        <f t="shared" si="7"/>
        <v>111</v>
      </c>
      <c r="AA14" s="716">
        <f>D14/F14</f>
        <v>1</v>
      </c>
      <c r="AB14" s="716">
        <f>D14/H14</f>
        <v>1</v>
      </c>
      <c r="AC14" s="716">
        <f>D14/J14</f>
        <v>1</v>
      </c>
    </row>
    <row r="15" spans="1:30" ht="99.75">
      <c r="A15" s="402" t="s">
        <v>2385</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38" t="s">
        <v>2386</v>
      </c>
      <c r="Q15" s="1539" t="str">
        <f t="shared" si="6"/>
        <v>居住社区成熟度</v>
      </c>
      <c r="R15" s="717" t="s">
        <v>17</v>
      </c>
      <c r="S15" s="718">
        <f t="shared" si="0"/>
        <v>100</v>
      </c>
      <c r="T15" s="717" t="s">
        <v>17</v>
      </c>
      <c r="U15" s="718">
        <f t="shared" si="1"/>
        <v>100</v>
      </c>
      <c r="V15" s="717" t="s">
        <v>17</v>
      </c>
      <c r="W15" s="718">
        <f t="shared" si="2"/>
        <v>100</v>
      </c>
      <c r="X15" s="1542"/>
      <c r="Y15" s="3338" t="s">
        <v>2386</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39"/>
      <c r="Q16" s="1539"/>
      <c r="R16" s="717"/>
      <c r="S16" s="718"/>
      <c r="T16" s="717"/>
      <c r="U16" s="718"/>
      <c r="V16" s="717"/>
      <c r="W16" s="718"/>
      <c r="X16" s="1542"/>
      <c r="Y16" s="3339"/>
      <c r="Z16" s="1543"/>
      <c r="AA16" s="1540">
        <v>1</v>
      </c>
      <c r="AB16" s="1540">
        <v>1</v>
      </c>
      <c r="AC16" s="1540">
        <v>1</v>
      </c>
    </row>
    <row r="17" spans="1:29" ht="71.25">
      <c r="A17" s="390"/>
      <c r="B17" s="413" t="s">
        <v>2479</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39"/>
      <c r="Q17" s="1539" t="str">
        <f>B17</f>
        <v>商业繁华度</v>
      </c>
      <c r="R17" s="717" t="s">
        <v>17</v>
      </c>
      <c r="S17" s="718">
        <f>F17</f>
        <v>100</v>
      </c>
      <c r="T17" s="717" t="s">
        <v>17</v>
      </c>
      <c r="U17" s="718">
        <f>H17</f>
        <v>100</v>
      </c>
      <c r="V17" s="717" t="s">
        <v>17</v>
      </c>
      <c r="W17" s="718">
        <f>J17</f>
        <v>100</v>
      </c>
      <c r="X17" s="1542"/>
      <c r="Y17" s="3339"/>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39"/>
      <c r="Q18" s="1539"/>
      <c r="R18" s="717"/>
      <c r="S18" s="718"/>
      <c r="T18" s="717"/>
      <c r="U18" s="718"/>
      <c r="V18" s="717"/>
      <c r="W18" s="718"/>
      <c r="X18" s="1542"/>
      <c r="Y18" s="3339"/>
      <c r="Z18" s="1543"/>
      <c r="AA18" s="1540">
        <v>1</v>
      </c>
      <c r="AB18" s="1540">
        <v>1</v>
      </c>
      <c r="AC18" s="1540">
        <v>1</v>
      </c>
    </row>
    <row r="19" spans="1:29" ht="71.25">
      <c r="A19" s="390"/>
      <c r="B19" s="413" t="s">
        <v>2513</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39"/>
      <c r="Q19" s="1539" t="str">
        <f>B19</f>
        <v>办公集聚程度</v>
      </c>
      <c r="R19" s="717" t="s">
        <v>17</v>
      </c>
      <c r="S19" s="718">
        <f>F19</f>
        <v>100</v>
      </c>
      <c r="T19" s="717" t="s">
        <v>17</v>
      </c>
      <c r="U19" s="718">
        <f>H19</f>
        <v>100</v>
      </c>
      <c r="V19" s="717" t="s">
        <v>17</v>
      </c>
      <c r="W19" s="718">
        <f>J19</f>
        <v>100</v>
      </c>
      <c r="X19" s="1542"/>
      <c r="Y19" s="3339"/>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39"/>
      <c r="Q20" s="1539"/>
      <c r="R20" s="717"/>
      <c r="S20" s="718"/>
      <c r="T20" s="717"/>
      <c r="U20" s="718"/>
      <c r="V20" s="717"/>
      <c r="W20" s="718"/>
      <c r="X20" s="1542"/>
      <c r="Y20" s="3339"/>
      <c r="Z20" s="1543"/>
      <c r="AA20" s="1540">
        <v>1</v>
      </c>
      <c r="AB20" s="1540">
        <v>1</v>
      </c>
      <c r="AC20" s="1540">
        <v>1</v>
      </c>
    </row>
    <row r="21" spans="1:29" ht="85.5">
      <c r="A21" s="390"/>
      <c r="B21" s="413" t="s">
        <v>2535</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39"/>
      <c r="Q21" s="1539" t="str">
        <f>B21</f>
        <v>交通便捷度</v>
      </c>
      <c r="R21" s="717" t="s">
        <v>17</v>
      </c>
      <c r="S21" s="718">
        <f>F21</f>
        <v>100</v>
      </c>
      <c r="T21" s="717" t="s">
        <v>17</v>
      </c>
      <c r="U21" s="718">
        <f>H21</f>
        <v>100</v>
      </c>
      <c r="V21" s="717" t="s">
        <v>17</v>
      </c>
      <c r="W21" s="718">
        <f>J21</f>
        <v>100</v>
      </c>
      <c r="X21" s="1542"/>
      <c r="Y21" s="3339"/>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39"/>
      <c r="Q22" s="1539"/>
      <c r="R22" s="717"/>
      <c r="S22" s="718"/>
      <c r="T22" s="717"/>
      <c r="U22" s="718"/>
      <c r="V22" s="717"/>
      <c r="W22" s="718"/>
      <c r="X22" s="1542"/>
      <c r="Y22" s="3339"/>
      <c r="Z22" s="1543"/>
      <c r="AA22" s="1540">
        <v>1</v>
      </c>
      <c r="AB22" s="1540">
        <v>1</v>
      </c>
      <c r="AC22" s="1540">
        <v>1</v>
      </c>
    </row>
    <row r="23" spans="1:29" ht="15">
      <c r="A23" s="367"/>
      <c r="B23" s="413" t="s">
        <v>2574</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39"/>
      <c r="Q23" s="1539" t="str">
        <f t="shared" ref="Q23:Q37" si="8">B23</f>
        <v>区域土地利用方向</v>
      </c>
      <c r="R23" s="717" t="s">
        <v>17</v>
      </c>
      <c r="S23" s="718">
        <f>F23</f>
        <v>100</v>
      </c>
      <c r="T23" s="717" t="s">
        <v>17</v>
      </c>
      <c r="U23" s="718">
        <f>H23</f>
        <v>100</v>
      </c>
      <c r="V23" s="717" t="s">
        <v>17</v>
      </c>
      <c r="W23" s="718">
        <f>J23</f>
        <v>100</v>
      </c>
      <c r="X23" s="1542"/>
      <c r="Y23" s="3339"/>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39"/>
      <c r="Q24" s="1539"/>
      <c r="R24" s="717"/>
      <c r="S24" s="718"/>
      <c r="T24" s="717"/>
      <c r="U24" s="718"/>
      <c r="V24" s="717"/>
      <c r="W24" s="718"/>
      <c r="X24" s="1542"/>
      <c r="Y24" s="3339"/>
      <c r="Z24" s="1543"/>
      <c r="AA24" s="1540"/>
      <c r="AB24" s="1540"/>
      <c r="AC24" s="1540"/>
    </row>
    <row r="25" spans="1:29" ht="57">
      <c r="A25" s="367"/>
      <c r="B25" s="1295" t="s">
        <v>2575</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39"/>
      <c r="Q25" s="1539" t="str">
        <f t="shared" si="8"/>
        <v>自然及人文环境状况</v>
      </c>
      <c r="R25" s="717" t="s">
        <v>17</v>
      </c>
      <c r="S25" s="718">
        <f>F25</f>
        <v>100</v>
      </c>
      <c r="T25" s="717" t="s">
        <v>17</v>
      </c>
      <c r="U25" s="718">
        <f>H25</f>
        <v>100</v>
      </c>
      <c r="V25" s="717" t="s">
        <v>17</v>
      </c>
      <c r="W25" s="718">
        <f>J25</f>
        <v>100</v>
      </c>
      <c r="X25" s="1542"/>
      <c r="Y25" s="3339"/>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39"/>
      <c r="Q26" s="1539"/>
      <c r="R26" s="717"/>
      <c r="S26" s="718"/>
      <c r="T26" s="717"/>
      <c r="U26" s="718"/>
      <c r="V26" s="717"/>
      <c r="W26" s="718"/>
      <c r="X26" s="1542"/>
      <c r="Y26" s="3339"/>
      <c r="Z26" s="1543"/>
      <c r="AA26" s="1540">
        <v>1</v>
      </c>
      <c r="AB26" s="1540">
        <v>1</v>
      </c>
      <c r="AC26" s="1540">
        <v>1</v>
      </c>
    </row>
    <row r="27" spans="1:29" s="116" customFormat="1" ht="42.75">
      <c r="A27" s="608"/>
      <c r="B27" s="1295" t="s">
        <v>2480</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39"/>
      <c r="Q27" s="1530" t="str">
        <f t="shared" si="8"/>
        <v>公共配套设施</v>
      </c>
      <c r="R27" s="713" t="s">
        <v>17</v>
      </c>
      <c r="S27" s="714">
        <f>F27</f>
        <v>100</v>
      </c>
      <c r="T27" s="713" t="s">
        <v>17</v>
      </c>
      <c r="U27" s="714">
        <f>H27</f>
        <v>100</v>
      </c>
      <c r="V27" s="713" t="s">
        <v>17</v>
      </c>
      <c r="W27" s="714">
        <f>J27</f>
        <v>100</v>
      </c>
      <c r="X27" s="715"/>
      <c r="Y27" s="3339"/>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39"/>
      <c r="Q28" s="1530"/>
      <c r="R28" s="713"/>
      <c r="S28" s="714"/>
      <c r="T28" s="713"/>
      <c r="U28" s="714"/>
      <c r="V28" s="713"/>
      <c r="W28" s="714"/>
      <c r="X28" s="715"/>
      <c r="Y28" s="3339"/>
      <c r="Z28" s="55"/>
      <c r="AA28" s="1540">
        <v>1</v>
      </c>
      <c r="AB28" s="1540">
        <v>1</v>
      </c>
      <c r="AC28" s="1540">
        <v>1</v>
      </c>
    </row>
    <row r="29" spans="1:29" s="116" customFormat="1" ht="28.5">
      <c r="A29" s="608"/>
      <c r="B29" s="1295" t="s">
        <v>2481</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39"/>
      <c r="Q29" s="1530" t="str">
        <f t="shared" ref="Q29" si="9">B29</f>
        <v>基础设施水平</v>
      </c>
      <c r="R29" s="713" t="s">
        <v>17</v>
      </c>
      <c r="S29" s="714">
        <f>F29</f>
        <v>100</v>
      </c>
      <c r="T29" s="713" t="s">
        <v>17</v>
      </c>
      <c r="U29" s="714">
        <f>H29</f>
        <v>100</v>
      </c>
      <c r="V29" s="713" t="s">
        <v>17</v>
      </c>
      <c r="W29" s="714">
        <f>J29</f>
        <v>100</v>
      </c>
      <c r="X29" s="715"/>
      <c r="Y29" s="3339"/>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39"/>
      <c r="Q30" s="1530"/>
      <c r="R30" s="713"/>
      <c r="S30" s="714"/>
      <c r="T30" s="713"/>
      <c r="U30" s="714"/>
      <c r="V30" s="713"/>
      <c r="W30" s="714"/>
      <c r="X30" s="715"/>
      <c r="Y30" s="3339"/>
      <c r="Z30" s="55"/>
      <c r="AA30" s="1540">
        <v>1</v>
      </c>
      <c r="AB30" s="1540">
        <v>1</v>
      </c>
      <c r="AC30" s="1540">
        <v>1</v>
      </c>
    </row>
    <row r="31" spans="1:29" ht="15">
      <c r="A31" s="390"/>
      <c r="B31" s="418" t="s">
        <v>2482</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39"/>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39"/>
      <c r="Z31" s="1543" t="str">
        <f t="shared" ref="Z31:Z45" si="13">Q31</f>
        <v>临街状况</v>
      </c>
      <c r="AA31" s="1540">
        <f t="shared" si="3"/>
        <v>1</v>
      </c>
      <c r="AB31" s="1540">
        <f t="shared" si="4"/>
        <v>1</v>
      </c>
      <c r="AC31" s="1540">
        <f t="shared" si="5"/>
        <v>1</v>
      </c>
    </row>
    <row r="32" spans="1:29" ht="27">
      <c r="A32" s="390"/>
      <c r="B32" s="1295" t="s">
        <v>2517</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39"/>
      <c r="Q32" s="1539" t="str">
        <f t="shared" si="8"/>
        <v>毗邻道路的类型与等级</v>
      </c>
      <c r="R32" s="717" t="s">
        <v>17</v>
      </c>
      <c r="S32" s="718">
        <f t="shared" si="10"/>
        <v>100</v>
      </c>
      <c r="T32" s="717" t="s">
        <v>17</v>
      </c>
      <c r="U32" s="718">
        <f t="shared" si="11"/>
        <v>100</v>
      </c>
      <c r="V32" s="717" t="s">
        <v>17</v>
      </c>
      <c r="W32" s="718">
        <f t="shared" si="12"/>
        <v>100</v>
      </c>
      <c r="X32" s="1542"/>
      <c r="Y32" s="3339"/>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39"/>
      <c r="Q33" s="1539"/>
      <c r="R33" s="717"/>
      <c r="S33" s="718"/>
      <c r="T33" s="717"/>
      <c r="U33" s="718"/>
      <c r="V33" s="717"/>
      <c r="W33" s="718"/>
      <c r="X33" s="1542"/>
      <c r="Y33" s="3339"/>
      <c r="Z33" s="1543"/>
      <c r="AA33" s="1540">
        <v>1</v>
      </c>
      <c r="AB33" s="1540">
        <v>1</v>
      </c>
      <c r="AC33" s="1540">
        <v>1</v>
      </c>
    </row>
    <row r="34" spans="1:29" ht="15">
      <c r="A34" s="390"/>
      <c r="B34" s="384" t="s">
        <v>2576</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39"/>
      <c r="Q34" s="1539" t="str">
        <f t="shared" si="8"/>
        <v>土地级别</v>
      </c>
      <c r="R34" s="717" t="s">
        <v>17</v>
      </c>
      <c r="S34" s="718">
        <f t="shared" si="10"/>
        <v>100</v>
      </c>
      <c r="T34" s="717" t="s">
        <v>17</v>
      </c>
      <c r="U34" s="718">
        <f t="shared" si="11"/>
        <v>100</v>
      </c>
      <c r="V34" s="717" t="s">
        <v>17</v>
      </c>
      <c r="W34" s="718">
        <f t="shared" si="12"/>
        <v>100</v>
      </c>
      <c r="X34" s="1542"/>
      <c r="Y34" s="3339"/>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39"/>
      <c r="Q35" s="1539">
        <f t="shared" si="8"/>
        <v>111</v>
      </c>
      <c r="R35" s="717" t="s">
        <v>17</v>
      </c>
      <c r="S35" s="718">
        <f t="shared" si="10"/>
        <v>100</v>
      </c>
      <c r="T35" s="717" t="s">
        <v>17</v>
      </c>
      <c r="U35" s="718">
        <f t="shared" si="11"/>
        <v>100</v>
      </c>
      <c r="V35" s="717" t="s">
        <v>17</v>
      </c>
      <c r="W35" s="718">
        <f t="shared" si="12"/>
        <v>100</v>
      </c>
      <c r="X35" s="1542"/>
      <c r="Y35" s="3339"/>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40" t="s">
        <v>2391</v>
      </c>
      <c r="Q36" s="1539">
        <f t="shared" si="8"/>
        <v>111</v>
      </c>
      <c r="R36" s="717" t="s">
        <v>17</v>
      </c>
      <c r="S36" s="718">
        <f t="shared" si="10"/>
        <v>100</v>
      </c>
      <c r="T36" s="717" t="s">
        <v>17</v>
      </c>
      <c r="U36" s="718">
        <f t="shared" si="11"/>
        <v>100</v>
      </c>
      <c r="V36" s="717" t="s">
        <v>17</v>
      </c>
      <c r="W36" s="718">
        <f t="shared" si="12"/>
        <v>100</v>
      </c>
      <c r="X36" s="1542"/>
      <c r="Y36" s="3341" t="s">
        <v>2391</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41"/>
      <c r="Q37" s="1539">
        <f t="shared" si="8"/>
        <v>111</v>
      </c>
      <c r="R37" s="720" t="s">
        <v>17</v>
      </c>
      <c r="S37" s="721">
        <f t="shared" si="10"/>
        <v>100</v>
      </c>
      <c r="T37" s="720" t="s">
        <v>17</v>
      </c>
      <c r="U37" s="721">
        <f t="shared" si="11"/>
        <v>100</v>
      </c>
      <c r="V37" s="720" t="s">
        <v>17</v>
      </c>
      <c r="W37" s="721">
        <f t="shared" si="12"/>
        <v>100</v>
      </c>
      <c r="X37" s="722"/>
      <c r="Y37" s="3341"/>
      <c r="Z37" s="723">
        <f t="shared" si="13"/>
        <v>111</v>
      </c>
      <c r="AA37" s="1540">
        <f t="shared" si="3"/>
        <v>1</v>
      </c>
      <c r="AB37" s="1540">
        <f t="shared" si="4"/>
        <v>1</v>
      </c>
      <c r="AC37" s="1540">
        <f t="shared" si="5"/>
        <v>1</v>
      </c>
    </row>
    <row r="38" spans="1:29" ht="15">
      <c r="A38" s="434" t="s">
        <v>2389</v>
      </c>
      <c r="B38" s="418" t="s">
        <v>2577</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41"/>
      <c r="Q38" s="1539" t="str">
        <f>B38</f>
        <v>宗地面积</v>
      </c>
      <c r="R38" s="717" t="s">
        <v>17</v>
      </c>
      <c r="S38" s="718" t="e">
        <f t="shared" si="10"/>
        <v>#N/A</v>
      </c>
      <c r="T38" s="717" t="s">
        <v>17</v>
      </c>
      <c r="U38" s="718" t="e">
        <f t="shared" si="11"/>
        <v>#N/A</v>
      </c>
      <c r="V38" s="717" t="s">
        <v>17</v>
      </c>
      <c r="W38" s="718" t="e">
        <f t="shared" si="12"/>
        <v>#N/A</v>
      </c>
      <c r="X38" s="1542"/>
      <c r="Y38" s="3341"/>
      <c r="Z38" s="1543" t="str">
        <f t="shared" si="13"/>
        <v>宗地面积</v>
      </c>
      <c r="AA38" s="1540" t="e">
        <f t="shared" si="3"/>
        <v>#N/A</v>
      </c>
      <c r="AB38" s="1540" t="e">
        <f t="shared" si="4"/>
        <v>#N/A</v>
      </c>
      <c r="AC38" s="1540" t="e">
        <f t="shared" si="5"/>
        <v>#N/A</v>
      </c>
    </row>
    <row r="39" spans="1:29" ht="15">
      <c r="A39" s="434"/>
      <c r="B39" s="384" t="s">
        <v>2578</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41"/>
      <c r="Q39" s="1539" t="str">
        <f t="shared" ref="Q39:Q45" si="14">B39</f>
        <v>宗地形状</v>
      </c>
      <c r="R39" s="717" t="s">
        <v>17</v>
      </c>
      <c r="S39" s="718">
        <f t="shared" si="10"/>
        <v>100</v>
      </c>
      <c r="T39" s="717" t="s">
        <v>17</v>
      </c>
      <c r="U39" s="718">
        <f t="shared" si="11"/>
        <v>100</v>
      </c>
      <c r="V39" s="717" t="s">
        <v>17</v>
      </c>
      <c r="W39" s="718">
        <f t="shared" si="12"/>
        <v>100</v>
      </c>
      <c r="X39" s="1542"/>
      <c r="Y39" s="3341"/>
      <c r="Z39" s="1543" t="str">
        <f t="shared" si="13"/>
        <v>宗地形状</v>
      </c>
      <c r="AA39" s="1540">
        <f t="shared" si="3"/>
        <v>1</v>
      </c>
      <c r="AB39" s="1540">
        <f t="shared" si="4"/>
        <v>1</v>
      </c>
      <c r="AC39" s="1540">
        <f t="shared" si="5"/>
        <v>1</v>
      </c>
    </row>
    <row r="40" spans="1:29" ht="15">
      <c r="A40" s="434"/>
      <c r="B40" s="384" t="s">
        <v>2579</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41"/>
      <c r="Q40" s="1539" t="str">
        <f t="shared" si="14"/>
        <v>临街宽度及深度</v>
      </c>
      <c r="R40" s="717" t="s">
        <v>17</v>
      </c>
      <c r="S40" s="718">
        <f t="shared" si="10"/>
        <v>100</v>
      </c>
      <c r="T40" s="717" t="s">
        <v>17</v>
      </c>
      <c r="U40" s="718">
        <f t="shared" si="11"/>
        <v>100</v>
      </c>
      <c r="V40" s="717" t="s">
        <v>17</v>
      </c>
      <c r="W40" s="718">
        <f t="shared" si="12"/>
        <v>100</v>
      </c>
      <c r="X40" s="1542"/>
      <c r="Y40" s="3341"/>
      <c r="Z40" s="1543" t="str">
        <f t="shared" si="13"/>
        <v>临街宽度及深度</v>
      </c>
      <c r="AA40" s="1540">
        <f t="shared" si="3"/>
        <v>1</v>
      </c>
      <c r="AB40" s="1540">
        <f t="shared" si="4"/>
        <v>1</v>
      </c>
      <c r="AC40" s="1540">
        <f t="shared" si="5"/>
        <v>1</v>
      </c>
    </row>
    <row r="41" spans="1:29" s="116" customFormat="1" ht="15">
      <c r="A41" s="435"/>
      <c r="B41" s="384" t="s">
        <v>2580</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41"/>
      <c r="Q41" s="1539" t="str">
        <f t="shared" si="14"/>
        <v>宗地开发程度</v>
      </c>
      <c r="R41" s="713" t="s">
        <v>17</v>
      </c>
      <c r="S41" s="714">
        <f t="shared" si="10"/>
        <v>100</v>
      </c>
      <c r="T41" s="713" t="s">
        <v>17</v>
      </c>
      <c r="U41" s="714">
        <f t="shared" si="11"/>
        <v>100</v>
      </c>
      <c r="V41" s="713" t="s">
        <v>17</v>
      </c>
      <c r="W41" s="714">
        <f t="shared" si="12"/>
        <v>100</v>
      </c>
      <c r="X41" s="715"/>
      <c r="Y41" s="3341"/>
      <c r="Z41" s="55" t="str">
        <f t="shared" si="13"/>
        <v>宗地开发程度</v>
      </c>
      <c r="AA41" s="716">
        <f t="shared" si="3"/>
        <v>1</v>
      </c>
      <c r="AB41" s="716">
        <f t="shared" si="4"/>
        <v>1</v>
      </c>
      <c r="AC41" s="716">
        <f t="shared" si="5"/>
        <v>1</v>
      </c>
    </row>
    <row r="42" spans="1:29" ht="15">
      <c r="A42" s="434"/>
      <c r="B42" s="384" t="s">
        <v>2581</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41" t="s">
        <v>2391</v>
      </c>
      <c r="Q42" s="1539" t="str">
        <f t="shared" si="14"/>
        <v>工程地质条件</v>
      </c>
      <c r="R42" s="717" t="s">
        <v>17</v>
      </c>
      <c r="S42" s="718">
        <f t="shared" si="10"/>
        <v>100</v>
      </c>
      <c r="T42" s="717" t="s">
        <v>17</v>
      </c>
      <c r="U42" s="718">
        <f t="shared" si="11"/>
        <v>100</v>
      </c>
      <c r="V42" s="717" t="s">
        <v>17</v>
      </c>
      <c r="W42" s="718">
        <f t="shared" si="12"/>
        <v>100</v>
      </c>
      <c r="X42" s="1542"/>
      <c r="Y42" s="3341" t="s">
        <v>2391</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41"/>
      <c r="Q43" s="1539">
        <f t="shared" si="14"/>
        <v>111</v>
      </c>
      <c r="R43" s="717" t="s">
        <v>17</v>
      </c>
      <c r="S43" s="718">
        <f t="shared" si="10"/>
        <v>100</v>
      </c>
      <c r="T43" s="717" t="s">
        <v>17</v>
      </c>
      <c r="U43" s="718">
        <f t="shared" si="11"/>
        <v>100</v>
      </c>
      <c r="V43" s="717" t="s">
        <v>17</v>
      </c>
      <c r="W43" s="718">
        <f t="shared" si="12"/>
        <v>100</v>
      </c>
      <c r="X43" s="1542"/>
      <c r="Y43" s="3341"/>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41"/>
      <c r="Q44" s="1539">
        <f t="shared" si="14"/>
        <v>111</v>
      </c>
      <c r="R44" s="717" t="s">
        <v>17</v>
      </c>
      <c r="S44" s="718">
        <f t="shared" si="10"/>
        <v>100</v>
      </c>
      <c r="T44" s="717" t="s">
        <v>17</v>
      </c>
      <c r="U44" s="718">
        <f t="shared" si="11"/>
        <v>100</v>
      </c>
      <c r="V44" s="717" t="s">
        <v>17</v>
      </c>
      <c r="W44" s="718">
        <f t="shared" si="12"/>
        <v>100</v>
      </c>
      <c r="X44" s="1542"/>
      <c r="Y44" s="3341"/>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41"/>
      <c r="Q45" s="1539">
        <f t="shared" si="14"/>
        <v>111</v>
      </c>
      <c r="R45" s="720" t="s">
        <v>17</v>
      </c>
      <c r="S45" s="721">
        <f t="shared" si="10"/>
        <v>100</v>
      </c>
      <c r="T45" s="720" t="s">
        <v>17</v>
      </c>
      <c r="U45" s="721">
        <f t="shared" si="11"/>
        <v>100</v>
      </c>
      <c r="V45" s="720" t="s">
        <v>17</v>
      </c>
      <c r="W45" s="721">
        <f t="shared" si="12"/>
        <v>100</v>
      </c>
      <c r="X45" s="722"/>
      <c r="Y45" s="3341"/>
      <c r="Z45" s="723">
        <f t="shared" si="13"/>
        <v>111</v>
      </c>
      <c r="AA45" s="1540">
        <f t="shared" si="3"/>
        <v>1</v>
      </c>
      <c r="AB45" s="1540">
        <f t="shared" si="4"/>
        <v>1</v>
      </c>
      <c r="AC45" s="1540">
        <f t="shared" si="5"/>
        <v>1</v>
      </c>
    </row>
    <row r="46" spans="1:29" ht="15">
      <c r="A46" s="441" t="s">
        <v>2546</v>
      </c>
      <c r="B46" s="2170" t="s">
        <v>2582</v>
      </c>
      <c r="C46" s="641" t="s">
        <v>1</v>
      </c>
      <c r="D46" s="443"/>
      <c r="E46" s="444"/>
      <c r="F46" s="445"/>
      <c r="G46" s="446"/>
      <c r="H46" s="447"/>
      <c r="I46" s="444"/>
      <c r="J46" s="447"/>
      <c r="K46" s="726"/>
      <c r="L46" s="2953"/>
      <c r="M46" s="2954"/>
      <c r="N46" s="2945"/>
      <c r="O46" s="2954"/>
      <c r="P46" s="3335" t="str">
        <f>A46</f>
        <v>成交单价</v>
      </c>
      <c r="Q46" s="3335"/>
      <c r="R46" s="3337">
        <f>E46</f>
        <v>0</v>
      </c>
      <c r="S46" s="3337"/>
      <c r="T46" s="3337">
        <f>G46</f>
        <v>0</v>
      </c>
      <c r="U46" s="3337"/>
      <c r="V46" s="3337">
        <f>I46</f>
        <v>0</v>
      </c>
      <c r="W46" s="3337"/>
      <c r="X46" s="702"/>
      <c r="Y46" s="724"/>
      <c r="Z46" s="702"/>
      <c r="AA46" s="702"/>
      <c r="AB46" s="702"/>
      <c r="AC46" s="702"/>
    </row>
    <row r="47" spans="1:29" ht="15.75" thickBot="1">
      <c r="A47" s="448" t="s">
        <v>2495</v>
      </c>
      <c r="B47" s="642"/>
      <c r="C47" s="451" t="e">
        <f>R48</f>
        <v>#DIV/0!</v>
      </c>
      <c r="D47" s="2540" t="s">
        <v>2888</v>
      </c>
      <c r="E47" s="451" t="e">
        <f>R47</f>
        <v>#DIV/0!</v>
      </c>
      <c r="F47" s="2541"/>
      <c r="G47" s="450" t="e">
        <f>T47</f>
        <v>#DIV/0!</v>
      </c>
      <c r="H47" s="2541"/>
      <c r="I47" s="451" t="e">
        <f>V47</f>
        <v>#DIV/0!</v>
      </c>
      <c r="J47" s="2541"/>
      <c r="K47" s="2543">
        <f>F47+H47+J47</f>
        <v>0</v>
      </c>
      <c r="L47" s="2953"/>
      <c r="M47" s="2954"/>
      <c r="N47" s="2954"/>
      <c r="O47" s="2954"/>
      <c r="P47" s="3335" t="str">
        <f>A47</f>
        <v>比较价值（元/平方米）</v>
      </c>
      <c r="Q47" s="3335"/>
      <c r="R47" s="3336" t="e">
        <f>ROUND(PRODUCT(R46,AA7:AA45),0)</f>
        <v>#DIV/0!</v>
      </c>
      <c r="S47" s="3336"/>
      <c r="T47" s="3336" t="e">
        <f>ROUND(PRODUCT(T46,AB7:AB45),0)</f>
        <v>#DIV/0!</v>
      </c>
      <c r="U47" s="3336"/>
      <c r="V47" s="3336" t="e">
        <f>ROUND(PRODUCT(V46,AC7:AC45),0)</f>
        <v>#DIV/0!</v>
      </c>
      <c r="W47" s="3336"/>
      <c r="X47" s="702"/>
      <c r="Y47" s="702"/>
      <c r="Z47" s="702"/>
      <c r="AA47" s="702"/>
      <c r="AB47" s="702"/>
      <c r="AC47" s="702"/>
    </row>
    <row r="48" spans="1:29" ht="15.75" thickBot="1">
      <c r="A48" s="452" t="s">
        <v>2583</v>
      </c>
      <c r="B48" s="453"/>
      <c r="C48" s="454" t="e">
        <f>R48</f>
        <v>#DIV/0!</v>
      </c>
      <c r="D48" s="454"/>
      <c r="E48" s="454"/>
      <c r="F48" s="454"/>
      <c r="G48" s="454"/>
      <c r="H48" s="454"/>
      <c r="I48" s="454"/>
      <c r="J48" s="454"/>
      <c r="K48" s="727"/>
      <c r="L48" s="2953"/>
      <c r="M48" s="2954"/>
      <c r="N48" s="2954"/>
      <c r="O48" s="2954"/>
      <c r="P48" s="3332" t="str">
        <f>A48</f>
        <v>估价对象XX用房的比较价值（楼面单价，元/平方米）</v>
      </c>
      <c r="Q48" s="3333"/>
      <c r="R48" s="3334" t="e">
        <f>ROUND(IF(D47="简单平均",AVERAGE(R47:W47),R47*F47+T47*H47+V47*J47),0)</f>
        <v>#DIV/0!</v>
      </c>
      <c r="S48" s="3334"/>
      <c r="T48" s="3334"/>
      <c r="U48" s="3334"/>
      <c r="V48" s="3334"/>
      <c r="W48" s="3334"/>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2497</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2498</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2499</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2584</v>
      </c>
      <c r="B55" s="644" t="s">
        <v>2585</v>
      </c>
      <c r="C55" s="2171" t="s">
        <v>2586</v>
      </c>
      <c r="D55" s="2172" t="s">
        <v>2587</v>
      </c>
      <c r="E55" s="645" t="s">
        <v>2588</v>
      </c>
      <c r="F55" s="1023" t="s">
        <v>2589</v>
      </c>
      <c r="G55" s="3345" t="s">
        <v>2590</v>
      </c>
      <c r="H55" s="3359"/>
      <c r="I55" s="143" t="s">
        <v>2591</v>
      </c>
      <c r="J55" s="2173">
        <f>项目基本情况!F35</f>
        <v>0</v>
      </c>
      <c r="K55" s="2174" t="s">
        <v>2592</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2593</v>
      </c>
      <c r="B56" s="648" t="e">
        <f>C48</f>
        <v>#DIV/0!</v>
      </c>
      <c r="C56" s="649">
        <v>1</v>
      </c>
      <c r="D56" s="1077">
        <v>1</v>
      </c>
      <c r="E56" s="649">
        <f>'数据-汇总表'!E8+'数据-汇总表'!E9</f>
        <v>103099.22</v>
      </c>
      <c r="F56" s="1019" t="e">
        <f t="shared" ref="F56:F65" si="15">ROUND(B56*E56/10000,0)</f>
        <v>#DIV/0!</v>
      </c>
      <c r="G56" s="3360"/>
      <c r="H56" s="3335"/>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2594</v>
      </c>
      <c r="B57" s="227" t="e">
        <f>ROUND($C$48*C57*D57,0)</f>
        <v>#DIV/0!</v>
      </c>
      <c r="C57" s="179">
        <f t="shared" ref="C57:C65" si="16">IF($C$55="北京市系数",I57,J57)</f>
        <v>0.6</v>
      </c>
      <c r="D57" s="1078">
        <v>0.25</v>
      </c>
      <c r="E57" s="653"/>
      <c r="F57" s="1019" t="e">
        <f t="shared" si="15"/>
        <v>#DIV/0!</v>
      </c>
      <c r="G57" s="3361" t="s">
        <v>2595</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2596</v>
      </c>
      <c r="B58" s="227" t="e">
        <f t="shared" ref="B58:B65" si="17">ROUND($C$48*C58*D58,0)</f>
        <v>#DIV/0!</v>
      </c>
      <c r="C58" s="179">
        <f t="shared" si="16"/>
        <v>0.3</v>
      </c>
      <c r="D58" s="1078">
        <v>0.25</v>
      </c>
      <c r="E58" s="653"/>
      <c r="F58" s="1019" t="e">
        <f t="shared" si="15"/>
        <v>#DIV/0!</v>
      </c>
      <c r="G58" s="3361"/>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2597</v>
      </c>
      <c r="B59" s="227" t="e">
        <f t="shared" si="17"/>
        <v>#DIV/0!</v>
      </c>
      <c r="C59" s="179">
        <f t="shared" si="16"/>
        <v>0.2</v>
      </c>
      <c r="D59" s="1078">
        <v>0.25</v>
      </c>
      <c r="E59" s="653"/>
      <c r="F59" s="1019" t="e">
        <f t="shared" si="15"/>
        <v>#DIV/0!</v>
      </c>
      <c r="G59" s="3361"/>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2598</v>
      </c>
      <c r="B60" s="227" t="e">
        <f t="shared" si="17"/>
        <v>#DIV/0!</v>
      </c>
      <c r="C60" s="179">
        <f t="shared" si="16"/>
        <v>0.2</v>
      </c>
      <c r="D60" s="1078">
        <v>0.25</v>
      </c>
      <c r="E60" s="653"/>
      <c r="F60" s="1019" t="e">
        <f t="shared" si="15"/>
        <v>#DIV/0!</v>
      </c>
      <c r="G60" s="3361"/>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2599</v>
      </c>
      <c r="B61" s="227" t="e">
        <f t="shared" si="17"/>
        <v>#DIV/0!</v>
      </c>
      <c r="C61" s="179">
        <f t="shared" si="16"/>
        <v>0.2</v>
      </c>
      <c r="D61" s="1078">
        <v>0.25</v>
      </c>
      <c r="E61" s="226">
        <f>'数据-汇总表'!E11</f>
        <v>0</v>
      </c>
      <c r="F61" s="1019" t="e">
        <f t="shared" si="15"/>
        <v>#DIV/0!</v>
      </c>
      <c r="G61" s="2175" t="s">
        <v>2600</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2601</v>
      </c>
      <c r="B62" s="227" t="e">
        <f t="shared" si="17"/>
        <v>#DIV/0!</v>
      </c>
      <c r="C62" s="179">
        <f t="shared" si="16"/>
        <v>0.2</v>
      </c>
      <c r="D62" s="1078">
        <v>0.25</v>
      </c>
      <c r="E62" s="226">
        <f>'数据-汇总表'!E12</f>
        <v>20689.020000000008</v>
      </c>
      <c r="F62" s="1019" t="e">
        <f t="shared" si="15"/>
        <v>#DIV/0!</v>
      </c>
      <c r="G62" s="1025" t="s">
        <v>2602</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2603</v>
      </c>
      <c r="B63" s="227" t="e">
        <f t="shared" si="17"/>
        <v>#DIV/0!</v>
      </c>
      <c r="C63" s="179">
        <f t="shared" si="16"/>
        <v>0.15</v>
      </c>
      <c r="D63" s="1078">
        <v>0.25</v>
      </c>
      <c r="E63" s="226">
        <f>'数据-汇总表'!E13</f>
        <v>17651.66</v>
      </c>
      <c r="F63" s="1019" t="e">
        <f t="shared" si="15"/>
        <v>#DIV/0!</v>
      </c>
      <c r="G63" s="1025" t="s">
        <v>2604</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2605</v>
      </c>
      <c r="B64" s="227" t="e">
        <f t="shared" si="17"/>
        <v>#DIV/0!</v>
      </c>
      <c r="C64" s="179">
        <f t="shared" si="16"/>
        <v>0.15</v>
      </c>
      <c r="D64" s="1078">
        <v>0.25</v>
      </c>
      <c r="E64" s="226">
        <f>'数据-汇总表'!E14</f>
        <v>0</v>
      </c>
      <c r="F64" s="1019" t="e">
        <f t="shared" si="15"/>
        <v>#DIV/0!</v>
      </c>
      <c r="G64" s="2175" t="s">
        <v>2595</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2606</v>
      </c>
      <c r="B65" s="227" t="e">
        <f t="shared" si="17"/>
        <v>#DIV/0!</v>
      </c>
      <c r="C65" s="179">
        <f t="shared" si="16"/>
        <v>0.15</v>
      </c>
      <c r="D65" s="1078">
        <v>0.25</v>
      </c>
      <c r="E65" s="226">
        <f>'数据-汇总表'!E15</f>
        <v>0</v>
      </c>
      <c r="F65" s="1019" t="e">
        <f t="shared" si="15"/>
        <v>#DIV/0!</v>
      </c>
      <c r="G65" s="2176" t="s">
        <v>2600</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2607</v>
      </c>
      <c r="B66" s="655" t="s">
        <v>28</v>
      </c>
      <c r="C66" s="655" t="s">
        <v>29</v>
      </c>
      <c r="D66" s="655" t="s">
        <v>997</v>
      </c>
      <c r="E66" s="655">
        <f>IF(B46="楼面地价",SUM(E56:E65),'数据-汇总表'!D3)</f>
        <v>141439.9</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2020-12-1</v>
      </c>
      <c r="D68" s="704">
        <f>EDATE(C68,-3)</f>
        <v>44075</v>
      </c>
      <c r="E68" s="704">
        <f>EDATE(D68,-3)</f>
        <v>43983</v>
      </c>
      <c r="F68" s="704">
        <f t="shared" ref="F68:O68" si="18">EDATE(E68,-3)</f>
        <v>43891</v>
      </c>
      <c r="G68" s="704">
        <f t="shared" si="18"/>
        <v>43800</v>
      </c>
      <c r="H68" s="704">
        <f t="shared" si="18"/>
        <v>43709</v>
      </c>
      <c r="I68" s="704">
        <f t="shared" si="18"/>
        <v>43617</v>
      </c>
      <c r="J68" s="704">
        <f t="shared" si="18"/>
        <v>43525</v>
      </c>
      <c r="K68" s="704">
        <f t="shared" si="18"/>
        <v>43435</v>
      </c>
      <c r="L68" s="704">
        <f t="shared" si="18"/>
        <v>43344</v>
      </c>
      <c r="M68" s="704">
        <f t="shared" si="18"/>
        <v>43252</v>
      </c>
      <c r="N68" s="704">
        <f t="shared" si="18"/>
        <v>43160</v>
      </c>
      <c r="O68" s="704">
        <f t="shared" si="18"/>
        <v>43070</v>
      </c>
      <c r="P68" s="2954"/>
      <c r="Q68" s="2954"/>
      <c r="R68" s="2954"/>
      <c r="S68" s="2954"/>
      <c r="T68" s="2954"/>
      <c r="U68" s="2954"/>
      <c r="V68" s="2954"/>
      <c r="W68" s="2954"/>
      <c r="X68" s="2954"/>
      <c r="Y68" s="2954"/>
      <c r="Z68" s="2954"/>
      <c r="AA68" s="2954"/>
      <c r="AB68" s="2954"/>
      <c r="AC68" s="2954"/>
    </row>
    <row r="69" spans="1:29" ht="21.75" thickBot="1">
      <c r="A69" s="706" t="s">
        <v>2500</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2608</v>
      </c>
      <c r="B70" s="1271"/>
      <c r="C70" s="1345" t="str">
        <f>YEAR(C68)&amp;"-"&amp;ROUNDUP(MONTH(C68)/3,0)</f>
        <v>2020-4</v>
      </c>
      <c r="D70" s="1345" t="str">
        <f>YEAR(D68)&amp;"-"&amp;ROUNDUP(MONTH(D68)/3,0)</f>
        <v>2020-3</v>
      </c>
      <c r="E70" s="1345" t="str">
        <f t="shared" ref="E70:O70" si="19">YEAR(E68)&amp;"-"&amp;ROUNDUP(MONTH(E68)/3,0)</f>
        <v>2020-2</v>
      </c>
      <c r="F70" s="1345" t="str">
        <f t="shared" si="19"/>
        <v>2020-1</v>
      </c>
      <c r="G70" s="1345" t="str">
        <f t="shared" si="19"/>
        <v>2019-4</v>
      </c>
      <c r="H70" s="1345" t="str">
        <f t="shared" si="19"/>
        <v>2019-3</v>
      </c>
      <c r="I70" s="1345" t="str">
        <f t="shared" si="19"/>
        <v>2019-2</v>
      </c>
      <c r="J70" s="1345" t="str">
        <f t="shared" si="19"/>
        <v>2019-1</v>
      </c>
      <c r="K70" s="1345" t="str">
        <f t="shared" si="19"/>
        <v>2018-4</v>
      </c>
      <c r="L70" s="1345" t="str">
        <f t="shared" si="19"/>
        <v>2018-3</v>
      </c>
      <c r="M70" s="1345" t="str">
        <f t="shared" si="19"/>
        <v>2018-2</v>
      </c>
      <c r="N70" s="1345" t="str">
        <f t="shared" si="19"/>
        <v>2018-1</v>
      </c>
      <c r="O70" s="1345" t="str">
        <f t="shared" si="19"/>
        <v>2017-4</v>
      </c>
      <c r="P70" s="3005"/>
      <c r="Q70" s="2970"/>
      <c r="R70" s="2970"/>
      <c r="S70" s="2970"/>
      <c r="T70" s="2970"/>
      <c r="U70" s="2970"/>
      <c r="V70" s="2970"/>
      <c r="W70" s="2970"/>
      <c r="X70" s="2970"/>
      <c r="Y70" s="2970"/>
      <c r="Z70" s="2970"/>
      <c r="AA70" s="2970"/>
      <c r="AB70" s="2970"/>
      <c r="AC70" s="2970"/>
    </row>
    <row r="71" spans="1:29" s="116" customFormat="1" ht="30" customHeight="1">
      <c r="A71" s="2178" t="s">
        <v>2609</v>
      </c>
      <c r="B71" s="297" t="str">
        <f>"北京市平均增长率"&amp;TEXT(SUMIF(基准地价修正!N21:N25,A71,基准地价修正!P21:P25),"0.00%")</f>
        <v>北京市平均增长率0.00%</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2411</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2376</v>
      </c>
      <c r="B73" s="470"/>
      <c r="C73" s="482" t="s">
        <v>2478</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2414</v>
      </c>
      <c r="B75" s="488" t="s">
        <v>2380</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2383</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2384</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2385</v>
      </c>
      <c r="B88" s="488" t="s">
        <v>2422</v>
      </c>
      <c r="C88" s="533" t="s">
        <v>2423</v>
      </c>
      <c r="D88" s="533" t="s">
        <v>2424</v>
      </c>
      <c r="E88" s="533" t="s">
        <v>2425</v>
      </c>
      <c r="F88" s="533" t="s">
        <v>2426</v>
      </c>
      <c r="G88" s="533" t="s">
        <v>2427</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2610</v>
      </c>
      <c r="C90" s="538" t="s">
        <v>2423</v>
      </c>
      <c r="D90" s="538" t="s">
        <v>2424</v>
      </c>
      <c r="E90" s="538" t="s">
        <v>2425</v>
      </c>
      <c r="F90" s="538" t="s">
        <v>2426</v>
      </c>
      <c r="G90" s="538" t="s">
        <v>2427</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2523</v>
      </c>
      <c r="C92" s="538" t="s">
        <v>2423</v>
      </c>
      <c r="D92" s="538" t="s">
        <v>2424</v>
      </c>
      <c r="E92" s="538" t="s">
        <v>2425</v>
      </c>
      <c r="F92" s="538" t="s">
        <v>2426</v>
      </c>
      <c r="G92" s="538" t="s">
        <v>2427</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2428</v>
      </c>
      <c r="C94" s="538" t="s">
        <v>2423</v>
      </c>
      <c r="D94" s="538" t="s">
        <v>2424</v>
      </c>
      <c r="E94" s="538" t="s">
        <v>2425</v>
      </c>
      <c r="F94" s="538" t="s">
        <v>2426</v>
      </c>
      <c r="G94" s="538" t="s">
        <v>2427</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2611</v>
      </c>
      <c r="C96" s="538" t="s">
        <v>2423</v>
      </c>
      <c r="D96" s="538" t="s">
        <v>2424</v>
      </c>
      <c r="E96" s="538" t="s">
        <v>2425</v>
      </c>
      <c r="F96" s="538" t="s">
        <v>2426</v>
      </c>
      <c r="G96" s="538" t="s">
        <v>2427</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2612</v>
      </c>
      <c r="C98" s="533" t="s">
        <v>2423</v>
      </c>
      <c r="D98" s="533" t="s">
        <v>2424</v>
      </c>
      <c r="E98" s="533" t="s">
        <v>2425</v>
      </c>
      <c r="F98" s="533" t="s">
        <v>2426</v>
      </c>
      <c r="G98" s="533" t="s">
        <v>2427</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2480</v>
      </c>
      <c r="C100" s="533" t="s">
        <v>2423</v>
      </c>
      <c r="D100" s="533" t="s">
        <v>2424</v>
      </c>
      <c r="E100" s="533" t="s">
        <v>2425</v>
      </c>
      <c r="F100" s="533" t="s">
        <v>2426</v>
      </c>
      <c r="G100" s="533" t="s">
        <v>2427</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2481</v>
      </c>
      <c r="C102" s="619" t="s">
        <v>2501</v>
      </c>
      <c r="D102" s="619" t="s">
        <v>2502</v>
      </c>
      <c r="E102" s="619" t="s">
        <v>2503</v>
      </c>
      <c r="F102" s="619" t="s">
        <v>2504</v>
      </c>
      <c r="G102" s="619" t="s">
        <v>2505</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2613</v>
      </c>
      <c r="D104" s="499" t="s">
        <v>2614</v>
      </c>
      <c r="E104" s="499" t="s">
        <v>2615</v>
      </c>
      <c r="F104" s="499" t="s">
        <v>2616</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2517</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2576</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2389</v>
      </c>
      <c r="B116" s="488" t="s">
        <v>2617</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2618</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2619</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2620</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2621</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2629</v>
      </c>
      <c r="B1" s="206"/>
      <c r="C1" s="210" t="s">
        <v>2630</v>
      </c>
      <c r="D1" s="351">
        <f>SUM(D29:D30,D33:D39)</f>
        <v>0</v>
      </c>
      <c r="E1" s="2183"/>
      <c r="F1" s="2183"/>
      <c r="G1" s="2183"/>
      <c r="H1" s="2183"/>
      <c r="I1" s="2183"/>
      <c r="J1" s="2183"/>
      <c r="K1" s="1282"/>
      <c r="L1" s="2184" t="s">
        <v>2631</v>
      </c>
      <c r="M1" s="996">
        <f>SUMPRODUCT((区片价!B5:B9=I2)*(区片价!C3:F3=E2)*(区片价!C5:F9))</f>
        <v>0</v>
      </c>
      <c r="N1" s="999">
        <f>SUMPRODUCT((因素修正幅度!B5:B9=I2)*(因素修正幅度!C3:F3=E2)*(因素修正幅度!C5:F9))</f>
        <v>0</v>
      </c>
      <c r="O1" s="2185"/>
      <c r="P1" s="2185"/>
      <c r="Q1" s="1282"/>
      <c r="R1" s="1375" t="s">
        <v>2632</v>
      </c>
      <c r="S1" s="1375" t="s">
        <v>2633</v>
      </c>
      <c r="T1" s="1375" t="s">
        <v>2634</v>
      </c>
      <c r="U1" s="1375" t="s">
        <v>2635</v>
      </c>
      <c r="V1" s="1375" t="s">
        <v>2636</v>
      </c>
      <c r="W1" s="1379"/>
      <c r="X1" s="1379"/>
      <c r="Y1" s="1379"/>
      <c r="Z1" s="1379"/>
      <c r="AA1" s="1379"/>
      <c r="AB1" s="1379"/>
      <c r="AC1" s="1380"/>
      <c r="AD1" s="1381"/>
      <c r="AE1" s="1381"/>
      <c r="AF1" s="1381"/>
      <c r="AG1" s="1381"/>
      <c r="AH1" s="1381"/>
      <c r="AI1" s="1381"/>
      <c r="AJ1" s="1382"/>
    </row>
    <row r="2" spans="1:36" ht="15.75">
      <c r="A2" s="210" t="s">
        <v>2637</v>
      </c>
      <c r="B2" s="213" t="e">
        <f>C26</f>
        <v>#DIV/0!</v>
      </c>
      <c r="C2" s="2187" t="s">
        <v>2638</v>
      </c>
      <c r="D2" s="2188" t="s">
        <v>2639</v>
      </c>
      <c r="E2" s="2189"/>
      <c r="F2" s="2188" t="s">
        <v>2640</v>
      </c>
      <c r="G2" s="2190" t="str">
        <f>IF(E2="商业",项目基本情况!B37,IF(E2="办公",项目基本情况!C37,IF(E2="住宅",项目基本情况!D37,项目基本情况!E37)))</f>
        <v>十级</v>
      </c>
      <c r="H2" s="2188" t="s">
        <v>2641</v>
      </c>
      <c r="I2" s="2190" t="str">
        <f>IF(E2="商业",项目基本情况!B38,IF(E2="办公",项目基本情况!C38,IF(E2="住宅",项目基本情况!D38,项目基本情况!E38)))</f>
        <v>Ⅹ-房2</v>
      </c>
      <c r="J2" s="2191"/>
      <c r="K2" s="1282"/>
      <c r="L2" s="2192" t="s">
        <v>2642</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2643</v>
      </c>
      <c r="B3" s="213" t="e">
        <f>ROUND(B2*10000/D1,0)</f>
        <v>#DIV/0!</v>
      </c>
      <c r="C3" s="2187" t="s">
        <v>2644</v>
      </c>
      <c r="D3" s="2188" t="s">
        <v>2645</v>
      </c>
      <c r="E3" s="2193"/>
      <c r="F3" s="2194" t="s">
        <v>2646</v>
      </c>
      <c r="G3" s="857">
        <f>IF(F3="宗地容积率",'数据-汇总表'!I4,IF(F3="估价对象容积率",'数据-汇总表'!I6,'数据-汇总表'!I7))</f>
        <v>1.5</v>
      </c>
      <c r="H3" s="178" t="s">
        <v>2647</v>
      </c>
      <c r="I3" s="883"/>
      <c r="J3" s="2191" t="s">
        <v>2648</v>
      </c>
      <c r="K3" s="1282"/>
      <c r="L3" s="2192" t="s">
        <v>2649</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50"/>
      <c r="B4" s="3451"/>
      <c r="C4" s="3451"/>
      <c r="D4" s="3452"/>
      <c r="E4" s="3452"/>
      <c r="F4" s="3452"/>
      <c r="G4" s="3452"/>
      <c r="H4" s="3452"/>
      <c r="I4" s="3452"/>
      <c r="J4" s="3453"/>
      <c r="K4" s="1282"/>
      <c r="L4" s="2192" t="s">
        <v>2650</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2651</v>
      </c>
      <c r="C5" s="858" t="e">
        <f>ROUND(IF(E2="商业",C6*C7+C16,(IF(E2="住宅",C6*C12+C16,C6+C16))),0)</f>
        <v>#DIV/0!</v>
      </c>
      <c r="D5" s="1526" t="e">
        <f>ROUND(C6+C16,0)</f>
        <v>#DIV/0!</v>
      </c>
      <c r="E5" s="1526"/>
      <c r="F5" s="2197"/>
      <c r="G5" s="2198"/>
      <c r="H5" s="2198"/>
      <c r="I5" s="2198"/>
      <c r="J5" s="2199"/>
      <c r="K5" s="2200"/>
      <c r="L5" s="2192" t="s">
        <v>2652</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2653</v>
      </c>
      <c r="B6" s="2206" t="s">
        <v>2654</v>
      </c>
      <c r="C6" s="859">
        <f>SUMIF(L1:L12,G2,M1:M12)</f>
        <v>0</v>
      </c>
      <c r="D6" s="2207" t="s">
        <v>2655</v>
      </c>
      <c r="E6" s="2208"/>
      <c r="F6" s="2208"/>
      <c r="G6" s="2209"/>
      <c r="H6" s="2209"/>
      <c r="I6" s="2209"/>
      <c r="J6" s="2210"/>
      <c r="K6" s="1571"/>
      <c r="L6" s="2192" t="s">
        <v>2656</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32" t="str">
        <f>IF(E2="商业",IF(C8="不临58条商业街","",2),"")</f>
        <v/>
      </c>
      <c r="B7" s="2211" t="s">
        <v>2657</v>
      </c>
      <c r="C7" s="860" t="e">
        <f>IF(C8="不临58条商业街",1,ROUND(1+(1.6*E8+1.2*E9+0.8*E10+0.4*E11)*C9,4))</f>
        <v>#DIV/0!</v>
      </c>
      <c r="D7" s="2212" t="s">
        <v>2658</v>
      </c>
      <c r="E7" s="884"/>
      <c r="F7" s="2213"/>
      <c r="G7" s="2214"/>
      <c r="H7" s="2214"/>
      <c r="I7" s="2214"/>
      <c r="J7" s="2215"/>
      <c r="K7" s="1571"/>
      <c r="L7" s="2192" t="s">
        <v>2659</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2660</v>
      </c>
      <c r="X7" s="1377" t="str">
        <f>G2</f>
        <v>十级</v>
      </c>
      <c r="Y7" s="1377" t="s">
        <v>2661</v>
      </c>
      <c r="Z7" s="1378">
        <f>G3</f>
        <v>1.5</v>
      </c>
      <c r="AA7" s="1379"/>
      <c r="AB7" s="1379"/>
      <c r="AC7" s="1380"/>
      <c r="AD7" s="1381"/>
      <c r="AE7" s="1381"/>
      <c r="AF7" s="1381"/>
      <c r="AG7" s="1381"/>
      <c r="AH7" s="1381"/>
      <c r="AI7" s="1381"/>
      <c r="AJ7" s="1382"/>
    </row>
    <row r="8" spans="1:36" ht="15">
      <c r="A8" s="3454"/>
      <c r="B8" s="178" t="s">
        <v>2662</v>
      </c>
      <c r="C8" s="2216"/>
      <c r="D8" s="861" t="s">
        <v>139</v>
      </c>
      <c r="E8" s="862" t="e">
        <f>ROUND(C11/E7,4)</f>
        <v>#DIV/0!</v>
      </c>
      <c r="F8" s="2217" t="s">
        <v>2663</v>
      </c>
      <c r="G8" s="2218"/>
      <c r="H8" s="2218"/>
      <c r="I8" s="2218"/>
      <c r="J8" s="2219"/>
      <c r="K8" s="1282"/>
      <c r="L8" s="2192" t="s">
        <v>2664</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47" t="s">
        <v>2665</v>
      </c>
      <c r="X8" s="3448"/>
      <c r="Y8" s="1383" t="s">
        <v>2666</v>
      </c>
      <c r="Z8" s="1383" t="s">
        <v>2667</v>
      </c>
      <c r="AA8" s="1383" t="s">
        <v>2668</v>
      </c>
      <c r="AB8" s="1383" t="s">
        <v>2669</v>
      </c>
      <c r="AC8" s="1383" t="s">
        <v>2670</v>
      </c>
      <c r="AD8" s="1383" t="s">
        <v>2671</v>
      </c>
      <c r="AE8" s="1383" t="s">
        <v>2672</v>
      </c>
      <c r="AF8" s="1383" t="s">
        <v>2673</v>
      </c>
      <c r="AG8" s="1383" t="s">
        <v>2674</v>
      </c>
      <c r="AH8" s="1383" t="s">
        <v>2675</v>
      </c>
      <c r="AI8" s="1383" t="s">
        <v>2676</v>
      </c>
      <c r="AJ8" s="1383" t="s">
        <v>2677</v>
      </c>
    </row>
    <row r="9" spans="1:36" ht="15">
      <c r="A9" s="3454"/>
      <c r="B9" s="178" t="s">
        <v>2678</v>
      </c>
      <c r="C9" s="863">
        <f>SUMIF(修正!C59:C119,C8,修正!E59:E119)</f>
        <v>0</v>
      </c>
      <c r="D9" s="179" t="s">
        <v>140</v>
      </c>
      <c r="E9" s="179" t="e">
        <f>ROUND(C11/E7,4)</f>
        <v>#DIV/0!</v>
      </c>
      <c r="F9" s="2217" t="s">
        <v>2679</v>
      </c>
      <c r="G9" s="2218"/>
      <c r="H9" s="2218"/>
      <c r="I9" s="2218"/>
      <c r="J9" s="2219"/>
      <c r="K9" s="1282"/>
      <c r="L9" s="2192" t="s">
        <v>2680</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49" t="s">
        <v>2681</v>
      </c>
      <c r="X9" s="1384" t="s">
        <v>2682</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54"/>
      <c r="B10" s="178" t="s">
        <v>2683</v>
      </c>
      <c r="C10" s="179">
        <f>SUMIF(修正!C59:C119,C8,修正!F59:F119)</f>
        <v>0</v>
      </c>
      <c r="D10" s="179" t="s">
        <v>141</v>
      </c>
      <c r="E10" s="179" t="e">
        <f>ROUND(C11/E7,4)</f>
        <v>#DIV/0!</v>
      </c>
      <c r="F10" s="2217" t="s">
        <v>2684</v>
      </c>
      <c r="G10" s="2218"/>
      <c r="H10" s="2218"/>
      <c r="I10" s="2218"/>
      <c r="J10" s="2219"/>
      <c r="K10" s="1282"/>
      <c r="L10" s="2192" t="s">
        <v>2685</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49"/>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54"/>
      <c r="B11" s="2220" t="s">
        <v>2686</v>
      </c>
      <c r="C11" s="864">
        <f>C10/4</f>
        <v>0</v>
      </c>
      <c r="D11" s="864" t="s">
        <v>142</v>
      </c>
      <c r="E11" s="864" t="e">
        <f>ROUND(C11/E7,4)</f>
        <v>#DIV/0!</v>
      </c>
      <c r="F11" s="2221" t="s">
        <v>2687</v>
      </c>
      <c r="G11" s="2222"/>
      <c r="H11" s="2222"/>
      <c r="I11" s="2222"/>
      <c r="J11" s="2223"/>
      <c r="K11" s="1282"/>
      <c r="L11" s="2192" t="s">
        <v>2688</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49" t="s">
        <v>2689</v>
      </c>
      <c r="X11" s="1387" t="s">
        <v>2690</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32" t="s">
        <v>2691</v>
      </c>
      <c r="B12" s="2224" t="s">
        <v>2692</v>
      </c>
      <c r="C12" s="860">
        <f>ROUND(C15*D15*E15*F15*G15*H15*I15*J15,4)</f>
        <v>1</v>
      </c>
      <c r="D12" s="2225" t="s">
        <v>2693</v>
      </c>
      <c r="E12" s="2226"/>
      <c r="F12" s="2226"/>
      <c r="G12" s="2227"/>
      <c r="H12" s="2227"/>
      <c r="I12" s="2227"/>
      <c r="J12" s="2228"/>
      <c r="K12" s="1282"/>
      <c r="L12" s="2229" t="s">
        <v>2694</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49"/>
      <c r="X12" s="1389" t="s">
        <v>2695</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55"/>
      <c r="B13" s="2230" t="s">
        <v>2696</v>
      </c>
      <c r="C13" s="2231" t="s">
        <v>2697</v>
      </c>
      <c r="D13" s="1537" t="s">
        <v>2698</v>
      </c>
      <c r="E13" s="1537" t="s">
        <v>2699</v>
      </c>
      <c r="F13" s="30" t="s">
        <v>2700</v>
      </c>
      <c r="G13" s="2232" t="s">
        <v>2701</v>
      </c>
      <c r="H13" s="2232" t="s">
        <v>2701</v>
      </c>
      <c r="I13" s="2232" t="s">
        <v>2701</v>
      </c>
      <c r="J13" s="2233" t="s">
        <v>2701</v>
      </c>
      <c r="K13" s="1282"/>
      <c r="L13" s="1282"/>
      <c r="M13" s="1282"/>
      <c r="N13" s="1282"/>
      <c r="O13" s="1282"/>
      <c r="P13" s="1282"/>
      <c r="Q13" s="1282"/>
      <c r="R13" s="1375">
        <v>12</v>
      </c>
      <c r="S13" s="1376"/>
      <c r="T13" s="1375" t="e">
        <f t="shared" si="0"/>
        <v>#DIV/0!</v>
      </c>
      <c r="U13" s="1376"/>
      <c r="V13" s="1375" t="e">
        <f t="shared" si="1"/>
        <v>#DIV/0!</v>
      </c>
      <c r="W13" s="3449"/>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55"/>
      <c r="B14" s="2234"/>
      <c r="C14" s="2235"/>
      <c r="D14" s="2236"/>
      <c r="E14" s="2236"/>
      <c r="F14" s="2237"/>
      <c r="G14" s="2238" t="s">
        <v>2702</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56"/>
      <c r="B15" s="2242" t="s">
        <v>2703</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32" t="s">
        <v>2708</v>
      </c>
      <c r="B16" s="2211" t="s">
        <v>2709</v>
      </c>
      <c r="C16" s="2373" t="e">
        <f>ROUND(IF(F17="与级别开发程度一致",0,(G17-E17)/C17),0)</f>
        <v>#DIV/0!</v>
      </c>
      <c r="D16" s="3445" t="s">
        <v>2713</v>
      </c>
      <c r="E16" s="3446"/>
      <c r="F16" s="3445" t="s">
        <v>2710</v>
      </c>
      <c r="G16" s="3446"/>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33"/>
      <c r="B17" s="2384" t="s">
        <v>2712</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2715</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2716</v>
      </c>
      <c r="C19" s="865" t="e">
        <f>ROUND(IF(H19="按公示增长率计算",SUMPRODUCT((地价!A3:A31=YEAR(G19)&amp;"-"&amp;ROUNDUP(MONTH(G19)/3,0))*(地价!X2:AB2=E2)*(地价!X3:AB31)),IF(H19="地价指数",M20/M19,(1+I19)^O19)),4)</f>
        <v>#VALUE!</v>
      </c>
      <c r="D19" s="2253" t="s">
        <v>2717</v>
      </c>
      <c r="E19" s="866">
        <v>41640</v>
      </c>
      <c r="F19" s="2253" t="s">
        <v>2718</v>
      </c>
      <c r="G19" s="867">
        <f>'数据-取费表'!B2</f>
        <v>44166</v>
      </c>
      <c r="H19" s="2254"/>
      <c r="I19" s="868" t="str">
        <f>IF(H19="季度增幅（自定义）",SUMIF(N21:N24,E2,O21:O24),"")</f>
        <v/>
      </c>
      <c r="J19" s="2251"/>
      <c r="K19" s="1289"/>
      <c r="L19" s="2255" t="s">
        <v>2719</v>
      </c>
      <c r="M19" s="1499">
        <f>ROUND(SUMIF(地价!B2:F2,E2,地价!B31:F31),0)</f>
        <v>0</v>
      </c>
      <c r="N19" s="2256" t="s">
        <v>2720</v>
      </c>
      <c r="O19" s="869">
        <f>ROUNDDOWN(DATEDIF(E19,G19,"M")/3,0)</f>
        <v>27</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2721</v>
      </c>
      <c r="C20" s="870" t="e">
        <f>ROUND(POWER(1+G20,J20-I20)*(POWER(1+G20,I20)-1)/(POWER(1+G20,J20)-1),4)</f>
        <v>#DIV/0!</v>
      </c>
      <c r="D20" s="2260" t="s">
        <v>2722</v>
      </c>
      <c r="E20" s="1508">
        <f ca="1">存贷款利率!D4/100</f>
        <v>4.3499999999999997E-2</v>
      </c>
      <c r="F20" s="2260" t="s">
        <v>2714</v>
      </c>
      <c r="G20" s="875">
        <f>SUMIF(M26:P26,E2,M28:P28)</f>
        <v>0</v>
      </c>
      <c r="H20" s="2260" t="s">
        <v>2723</v>
      </c>
      <c r="I20" s="876" t="e">
        <f>SUMIF('数据-取费表'!C6:C15,E2,'数据-取费表'!F6:F15)/COUNTIF('数据-取费表'!C6:C15,E2)</f>
        <v>#DIV/0!</v>
      </c>
      <c r="J20" s="877">
        <f>IF(E2="住宅",70,IF(E2="商业",40,50))</f>
        <v>50</v>
      </c>
      <c r="K20" s="1289"/>
      <c r="L20" s="2261" t="s">
        <v>2724</v>
      </c>
      <c r="M20" s="1500">
        <f>ROUND(SUMPRODUCT((地价!A4:A31=YEAR(G19)&amp;"-"&amp;ROUNDUP(MONTH(G19)/3,0))*(地价!B2:F2=E2)*(地价!B4:F31)),0)</f>
        <v>0</v>
      </c>
      <c r="N20" s="2262" t="s">
        <v>2725</v>
      </c>
      <c r="O20" s="2263" t="s">
        <v>2726</v>
      </c>
      <c r="P20" s="2264" t="s">
        <v>2727</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2728</v>
      </c>
      <c r="C21" s="878">
        <f>IF(B21="容积率修正",IF(G3&lt;=10,D22,J22),C23)</f>
        <v>0</v>
      </c>
      <c r="D21" s="2267"/>
      <c r="E21" s="2267"/>
      <c r="F21" s="2267"/>
      <c r="G21" s="2267"/>
      <c r="H21" s="2267"/>
      <c r="I21" s="2267"/>
      <c r="J21" s="2268"/>
      <c r="K21" s="1289"/>
      <c r="L21" s="3019"/>
      <c r="M21" s="3019"/>
      <c r="N21" s="2269" t="s">
        <v>2729</v>
      </c>
      <c r="O21" s="1337"/>
      <c r="P21" s="1338">
        <f>SUMPRODUCT((地价!A3:A31=YEAR(G19)&amp;"-"&amp;ROUNDUP(MONTH(G19)/3,0))*(地价!AD2:AH2=N21)*(地价!AD3:AH31))</f>
        <v>0</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2730</v>
      </c>
      <c r="B22" s="2270" t="s">
        <v>2731</v>
      </c>
      <c r="C22" s="1539" t="s">
        <v>2732</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2733</v>
      </c>
      <c r="O22" s="1337"/>
      <c r="P22" s="1338">
        <f>SUMPRODUCT((地价!A3:A31=YEAR(G19)&amp;"-"&amp;ROUNDUP(MONTH(G19)/3,0))*(地价!AD2:AH2=N22)*(地价!AD3:AH31))</f>
        <v>0</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2734</v>
      </c>
      <c r="B23" s="2271" t="s">
        <v>2735</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2736</v>
      </c>
      <c r="O23" s="1337"/>
      <c r="P23" s="1338">
        <f>SUMPRODUCT((地价!A3:A31=YEAR(G19)&amp;"-"&amp;ROUNDUP(MONTH(G19)/3,0))*(地价!AD2:AH2=N23)*(地价!AD3:AH31))</f>
        <v>0</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2737</v>
      </c>
      <c r="C24" s="865">
        <f>SUMIF(A45:A88,E2,B45:B88)</f>
        <v>0</v>
      </c>
      <c r="D24" s="2250"/>
      <c r="E24" s="2277"/>
      <c r="F24" s="2277"/>
      <c r="G24" s="2277"/>
      <c r="H24" s="2277"/>
      <c r="I24" s="2277"/>
      <c r="J24" s="2278"/>
      <c r="K24" s="1289"/>
      <c r="L24" s="3019"/>
      <c r="M24" s="3019"/>
      <c r="N24" s="2279" t="s">
        <v>2738</v>
      </c>
      <c r="O24" s="1339"/>
      <c r="P24" s="1340">
        <f>SUMPRODUCT((地价!A3:A31=YEAR(G19)&amp;"-"&amp;ROUNDUP(MONTH(G19)/3,0))*(地价!AD2:AH2=N24)*(地价!AD3:AH31))</f>
        <v>0</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2739</v>
      </c>
      <c r="C25" s="871"/>
      <c r="D25" s="2214"/>
      <c r="E25" s="2214"/>
      <c r="F25" s="2281"/>
      <c r="G25" s="2214"/>
      <c r="H25" s="2214"/>
      <c r="I25" s="2214"/>
      <c r="J25" s="2215"/>
      <c r="K25" s="1282"/>
      <c r="L25" s="2185"/>
      <c r="M25" s="2185"/>
      <c r="N25" s="3014" t="s">
        <v>2740</v>
      </c>
      <c r="O25" s="3015"/>
      <c r="P25" s="3016">
        <f>SUMPRODUCT((地价!A3:A31=YEAR(G19)&amp;"-"&amp;ROUNDUP(MONTH(G19)/3,0))*(地价!AD2:AH2=N25)*(地价!AD3:AH31))</f>
        <v>0</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2741</v>
      </c>
      <c r="C26" s="2544" t="e">
        <f>IF(B21="容积率修正",E29+SUM(E33:E39),SUM(V2:V16)+SUM(E33:E39))</f>
        <v>#DIV/0!</v>
      </c>
      <c r="D26" s="2283"/>
      <c r="E26" s="2239"/>
      <c r="F26" s="2284"/>
      <c r="G26" s="2239"/>
      <c r="H26" s="2239"/>
      <c r="I26" s="2239"/>
      <c r="J26" s="2285"/>
      <c r="K26" s="1282"/>
      <c r="L26" s="3017" t="s">
        <v>2639</v>
      </c>
      <c r="M26" s="2212" t="s">
        <v>2704</v>
      </c>
      <c r="N26" s="2212" t="s">
        <v>2705</v>
      </c>
      <c r="O26" s="2212" t="s">
        <v>2706</v>
      </c>
      <c r="P26" s="3018" t="s">
        <v>2707</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2742</v>
      </c>
      <c r="C27" s="872" t="e">
        <f>E30+SUM(I33:I39)</f>
        <v>#DIV/0!</v>
      </c>
      <c r="D27" s="2287"/>
      <c r="E27" s="2288"/>
      <c r="F27" s="2289"/>
      <c r="G27" s="2288"/>
      <c r="H27" s="2288"/>
      <c r="I27" s="2288"/>
      <c r="J27" s="2290"/>
      <c r="K27" s="1282"/>
      <c r="L27" s="2245" t="s">
        <v>2711</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2743</v>
      </c>
      <c r="C28" s="2293" t="s">
        <v>2744</v>
      </c>
      <c r="D28" s="2293" t="s">
        <v>2745</v>
      </c>
      <c r="E28" s="2294" t="s">
        <v>2746</v>
      </c>
      <c r="F28" s="2295"/>
      <c r="G28" s="2227"/>
      <c r="H28" s="2227"/>
      <c r="I28" s="2227"/>
      <c r="J28" s="2228"/>
      <c r="K28" s="1282"/>
      <c r="L28" s="2246" t="s">
        <v>2714</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2747</v>
      </c>
      <c r="C29" s="183" t="e">
        <f>ROUND(C5*C18*C19*C20*C21*C24,0)</f>
        <v>#DIV/0!</v>
      </c>
      <c r="D29" s="2298"/>
      <c r="E29" s="881" t="e">
        <f>ROUND(C29*D29/10000,0)</f>
        <v>#DIV/0!</v>
      </c>
      <c r="F29" s="2299" t="s">
        <v>2748</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2749</v>
      </c>
      <c r="C30" s="196" t="e">
        <f>ROUND(IF(E2="工业",C29*M39,C29*M38),0)</f>
        <v>#DIV/0!</v>
      </c>
      <c r="D30" s="2304"/>
      <c r="E30" s="881" t="e">
        <f>ROUND(C30*D30/10000,0)</f>
        <v>#DIV/0!</v>
      </c>
      <c r="F30" s="2305" t="s">
        <v>2750</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2751</v>
      </c>
      <c r="C31" s="2310" t="s">
        <v>2752</v>
      </c>
      <c r="D31" s="2227"/>
      <c r="E31" s="2310"/>
      <c r="F31" s="2310"/>
      <c r="G31" s="2225" t="s">
        <v>2753</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2744</v>
      </c>
      <c r="D32" s="458" t="s">
        <v>2745</v>
      </c>
      <c r="E32" s="458" t="s">
        <v>2746</v>
      </c>
      <c r="F32" s="351" t="s">
        <v>2754</v>
      </c>
      <c r="G32" s="2313" t="s">
        <v>2744</v>
      </c>
      <c r="H32" s="2313" t="s">
        <v>2745</v>
      </c>
      <c r="I32" s="2313" t="s">
        <v>2746</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42" t="s">
        <v>2755</v>
      </c>
      <c r="B33" s="2314" t="s">
        <v>2756</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43"/>
      <c r="B34" s="2231" t="s">
        <v>2757</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43"/>
      <c r="B35" s="2231" t="s">
        <v>2758</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44"/>
      <c r="B36" s="2231" t="s">
        <v>2759</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2760</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2761</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2762</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2763</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2764</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2707</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2869</v>
      </c>
      <c r="C41" s="351" t="e">
        <f>ROUND(POWER(1+E41,H41-G41)*(POWER(1+E41,G41)-1)/(POWER(1+E41,H41)-1),4)</f>
        <v>#DIV/0!</v>
      </c>
      <c r="D41" s="179" t="s">
        <v>2714</v>
      </c>
      <c r="E41" s="2371">
        <f>G20</f>
        <v>0</v>
      </c>
      <c r="F41" s="179" t="s">
        <v>2723</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2765</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2766</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2767</v>
      </c>
      <c r="B47" s="1538" t="s">
        <v>2768</v>
      </c>
      <c r="C47" s="1538" t="s">
        <v>2769</v>
      </c>
      <c r="D47" s="1538" t="s">
        <v>2770</v>
      </c>
      <c r="E47" s="760" t="s">
        <v>2771</v>
      </c>
      <c r="F47" s="2332" t="s">
        <v>2772</v>
      </c>
      <c r="G47" s="1538" t="s">
        <v>754</v>
      </c>
      <c r="H47" s="2333" t="s">
        <v>2773</v>
      </c>
      <c r="I47" s="1538" t="s">
        <v>2774</v>
      </c>
      <c r="J47" s="563" t="s">
        <v>2423</v>
      </c>
      <c r="K47" s="563" t="s">
        <v>2424</v>
      </c>
      <c r="L47" s="563" t="s">
        <v>2425</v>
      </c>
      <c r="M47" s="563" t="s">
        <v>2426</v>
      </c>
      <c r="N47" s="563" t="s">
        <v>2427</v>
      </c>
      <c r="AA47" s="1283"/>
      <c r="AB47" s="1283"/>
      <c r="AC47" s="1283"/>
      <c r="AD47" s="1283"/>
      <c r="AE47" s="1283"/>
      <c r="AF47" s="1283"/>
      <c r="AG47" s="1283"/>
      <c r="AH47" s="1283"/>
      <c r="AI47" s="1283"/>
      <c r="AJ47" s="1283"/>
      <c r="AK47" s="1283"/>
    </row>
    <row r="48" spans="1:37" s="1282" customFormat="1" ht="38.25">
      <c r="A48" s="2331" t="s">
        <v>2775</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2776</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2777</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2778</v>
      </c>
      <c r="B51" s="2336" t="s">
        <v>2779</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2780</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2781</v>
      </c>
      <c r="B53" s="2337" t="s">
        <v>2782</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2783</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2784</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2785</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2786</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2767</v>
      </c>
      <c r="B58" s="1538"/>
      <c r="C58" s="1538" t="s">
        <v>2769</v>
      </c>
      <c r="D58" s="1538" t="s">
        <v>2770</v>
      </c>
      <c r="E58" s="760" t="s">
        <v>2771</v>
      </c>
      <c r="F58" s="2332" t="s">
        <v>2787</v>
      </c>
      <c r="G58" s="1538" t="s">
        <v>754</v>
      </c>
      <c r="H58" s="2333" t="s">
        <v>2773</v>
      </c>
      <c r="I58" s="1538" t="s">
        <v>2774</v>
      </c>
      <c r="J58" s="563" t="s">
        <v>2423</v>
      </c>
      <c r="K58" s="563" t="s">
        <v>2424</v>
      </c>
      <c r="L58" s="563" t="s">
        <v>2425</v>
      </c>
      <c r="M58" s="563" t="s">
        <v>2426</v>
      </c>
      <c r="N58" s="563" t="s">
        <v>2427</v>
      </c>
      <c r="AA58" s="1283"/>
      <c r="AB58" s="1283"/>
      <c r="AC58" s="1283"/>
      <c r="AD58" s="1283"/>
      <c r="AE58" s="1283"/>
      <c r="AF58" s="1283"/>
      <c r="AG58" s="1283"/>
      <c r="AH58" s="1283"/>
      <c r="AI58" s="1283"/>
      <c r="AJ58" s="1283"/>
      <c r="AK58" s="1283"/>
    </row>
    <row r="59" spans="1:37" s="1282" customFormat="1" ht="38.25">
      <c r="A59" s="2331" t="s">
        <v>2788</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2776</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2777</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2778</v>
      </c>
      <c r="B62" s="2336" t="s">
        <v>2779</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2780</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2781</v>
      </c>
      <c r="B64" s="2337" t="s">
        <v>2782</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2783</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2784</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2785</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2789</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2767</v>
      </c>
      <c r="B69" s="1538"/>
      <c r="C69" s="1538" t="s">
        <v>2769</v>
      </c>
      <c r="D69" s="1538" t="s">
        <v>2770</v>
      </c>
      <c r="E69" s="760" t="s">
        <v>2771</v>
      </c>
      <c r="F69" s="2332" t="s">
        <v>2787</v>
      </c>
      <c r="G69" s="1538" t="s">
        <v>754</v>
      </c>
      <c r="H69" s="2333" t="s">
        <v>2773</v>
      </c>
      <c r="I69" s="1538" t="s">
        <v>2774</v>
      </c>
      <c r="J69" s="563" t="s">
        <v>2423</v>
      </c>
      <c r="K69" s="563" t="s">
        <v>2424</v>
      </c>
      <c r="L69" s="563" t="s">
        <v>2425</v>
      </c>
      <c r="M69" s="563" t="s">
        <v>2426</v>
      </c>
      <c r="N69" s="563" t="s">
        <v>2427</v>
      </c>
      <c r="AA69" s="1283"/>
      <c r="AB69" s="1283"/>
      <c r="AC69" s="1283"/>
      <c r="AD69" s="1283"/>
      <c r="AE69" s="1283"/>
      <c r="AF69" s="1283"/>
      <c r="AG69" s="1283"/>
      <c r="AH69" s="1283"/>
      <c r="AI69" s="1283"/>
      <c r="AJ69" s="1283"/>
      <c r="AK69" s="1283"/>
    </row>
    <row r="70" spans="1:37" s="1282" customFormat="1" ht="51">
      <c r="A70" s="2331" t="s">
        <v>2790</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2776</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2777</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2791</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2783</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2784</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2781</v>
      </c>
      <c r="B76" s="2337" t="s">
        <v>2782</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2785</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2792</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2793</v>
      </c>
      <c r="B79" s="2328">
        <f>1+E81</f>
        <v>1</v>
      </c>
      <c r="C79" s="755"/>
      <c r="D79" s="755"/>
      <c r="E79" s="756"/>
      <c r="F79" s="2330"/>
      <c r="G79" s="6"/>
      <c r="H79" s="6"/>
      <c r="I79" s="6"/>
      <c r="J79" s="7"/>
      <c r="K79" s="7"/>
      <c r="L79" s="7"/>
      <c r="M79" s="7"/>
      <c r="N79" s="7"/>
      <c r="Z79" s="2186"/>
      <c r="AA79" s="2252"/>
      <c r="AG79" s="1284"/>
      <c r="AK79" s="2252"/>
    </row>
    <row r="80" spans="1:37" ht="24.75">
      <c r="A80" s="2331" t="s">
        <v>2767</v>
      </c>
      <c r="B80" s="1538"/>
      <c r="C80" s="1538" t="s">
        <v>2769</v>
      </c>
      <c r="D80" s="1538" t="s">
        <v>2770</v>
      </c>
      <c r="E80" s="760" t="s">
        <v>2771</v>
      </c>
      <c r="F80" s="2332" t="s">
        <v>2787</v>
      </c>
      <c r="G80" s="1538" t="s">
        <v>754</v>
      </c>
      <c r="H80" s="2333" t="s">
        <v>2773</v>
      </c>
      <c r="I80" s="1538" t="s">
        <v>2774</v>
      </c>
      <c r="J80" s="563" t="s">
        <v>2423</v>
      </c>
      <c r="K80" s="563" t="s">
        <v>2424</v>
      </c>
      <c r="L80" s="563" t="s">
        <v>2425</v>
      </c>
      <c r="M80" s="563" t="s">
        <v>2426</v>
      </c>
      <c r="N80" s="563" t="s">
        <v>2427</v>
      </c>
      <c r="Z80" s="2186"/>
      <c r="AA80" s="2252"/>
      <c r="AG80" s="1284"/>
      <c r="AK80" s="2252"/>
    </row>
    <row r="81" spans="1:37" ht="38.25">
      <c r="A81" s="2331" t="s">
        <v>2794</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2776</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2777</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2791</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2783</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2784</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2781</v>
      </c>
      <c r="B87" s="2337" t="s">
        <v>2795</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2796</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34" t="s">
        <v>2797</v>
      </c>
      <c r="B90" s="3434"/>
      <c r="C90" s="3434"/>
      <c r="D90" s="3434"/>
      <c r="E90" s="3434"/>
      <c r="F90" s="3434"/>
      <c r="G90" s="3434"/>
      <c r="H90" s="3434"/>
      <c r="I90" s="3434"/>
      <c r="J90" s="3434"/>
      <c r="K90" s="2345"/>
      <c r="L90" s="2345"/>
      <c r="M90" s="2345"/>
      <c r="N90" s="2345"/>
    </row>
    <row r="91" spans="1:37">
      <c r="A91" s="3436" t="s">
        <v>2798</v>
      </c>
      <c r="B91" s="3436" t="s">
        <v>2799</v>
      </c>
      <c r="C91" s="2299" t="s">
        <v>2800</v>
      </c>
      <c r="D91" s="2300"/>
      <c r="E91" s="2300"/>
      <c r="F91" s="2300"/>
      <c r="G91" s="2300"/>
      <c r="H91" s="2300"/>
      <c r="I91" s="2300"/>
      <c r="J91" s="2346"/>
      <c r="K91" s="2347"/>
      <c r="L91" s="2347"/>
      <c r="M91" s="2347"/>
      <c r="N91" s="2347"/>
    </row>
    <row r="92" spans="1:37">
      <c r="A92" s="3436"/>
      <c r="B92" s="3436"/>
      <c r="C92" s="881" t="s">
        <v>2666</v>
      </c>
      <c r="D92" s="881" t="s">
        <v>2667</v>
      </c>
      <c r="E92" s="881" t="s">
        <v>2668</v>
      </c>
      <c r="F92" s="881" t="s">
        <v>2669</v>
      </c>
      <c r="G92" s="881" t="s">
        <v>2670</v>
      </c>
      <c r="H92" s="881" t="s">
        <v>2671</v>
      </c>
      <c r="I92" s="881" t="s">
        <v>2672</v>
      </c>
      <c r="J92" s="881" t="s">
        <v>2673</v>
      </c>
      <c r="K92" s="881" t="s">
        <v>2674</v>
      </c>
      <c r="L92" s="881" t="s">
        <v>2675</v>
      </c>
      <c r="M92" s="881" t="s">
        <v>2676</v>
      </c>
      <c r="N92" s="881" t="s">
        <v>2677</v>
      </c>
    </row>
    <row r="93" spans="1:37">
      <c r="A93" s="3437" t="s">
        <v>2801</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3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3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3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3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3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38"/>
      <c r="B99" s="2348" t="s">
        <v>2682</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3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37" t="s">
        <v>2802</v>
      </c>
      <c r="B101" s="2352" t="s">
        <v>2803</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38"/>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38"/>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38"/>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38"/>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38"/>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38"/>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38"/>
      <c r="B108" s="3440" t="s">
        <v>2804</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39"/>
      <c r="B109" s="3441"/>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35" t="s">
        <v>2805</v>
      </c>
      <c r="B110" s="3435"/>
      <c r="C110" s="3435"/>
      <c r="D110" s="3435"/>
      <c r="E110" s="3435"/>
      <c r="F110" s="3435"/>
      <c r="G110" s="3435"/>
      <c r="H110" s="3435"/>
      <c r="I110" s="3435"/>
      <c r="J110" s="3435"/>
      <c r="K110" s="2354"/>
      <c r="L110" s="2354"/>
      <c r="M110" s="2354"/>
      <c r="N110" s="2354"/>
    </row>
    <row r="112" spans="1:14" ht="13.5" thickBot="1"/>
    <row r="113" spans="1:13" ht="25.5" thickBot="1">
      <c r="A113" s="844" t="s">
        <v>2806</v>
      </c>
      <c r="B113" s="1199">
        <f>G3</f>
        <v>1.5</v>
      </c>
      <c r="C113" s="845" t="s">
        <v>2807</v>
      </c>
      <c r="D113" s="846">
        <f>SUMPRODUCT((A115:A118=F113)*(B114:M114=H113)*B115:M118)</f>
        <v>0</v>
      </c>
      <c r="E113" s="2190" t="s">
        <v>2639</v>
      </c>
      <c r="F113" s="2356">
        <f>E2</f>
        <v>0</v>
      </c>
      <c r="G113" s="2190" t="s">
        <v>2640</v>
      </c>
      <c r="H113" s="2356" t="str">
        <f>G2</f>
        <v>十级</v>
      </c>
      <c r="I113" s="2190"/>
      <c r="J113" s="2357"/>
      <c r="K113" s="2357"/>
      <c r="L113" s="2357"/>
      <c r="M113" s="2357"/>
    </row>
    <row r="114" spans="1:13">
      <c r="A114" s="849"/>
      <c r="B114" s="2358" t="s">
        <v>2808</v>
      </c>
      <c r="C114" s="2358" t="s">
        <v>2809</v>
      </c>
      <c r="D114" s="2358" t="s">
        <v>2810</v>
      </c>
      <c r="E114" s="2359" t="s">
        <v>2811</v>
      </c>
      <c r="F114" s="2359" t="s">
        <v>2812</v>
      </c>
      <c r="G114" s="2359" t="s">
        <v>2813</v>
      </c>
      <c r="H114" s="2360" t="s">
        <v>2814</v>
      </c>
      <c r="I114" s="2360" t="s">
        <v>2815</v>
      </c>
      <c r="J114" s="2361" t="s">
        <v>2816</v>
      </c>
      <c r="K114" s="2361" t="s">
        <v>2817</v>
      </c>
      <c r="L114" s="2361" t="s">
        <v>2818</v>
      </c>
      <c r="M114" s="2362" t="s">
        <v>2819</v>
      </c>
    </row>
    <row r="115" spans="1:13">
      <c r="A115" s="850" t="s">
        <v>2704</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2705</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2706</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2707</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81"/>
      <c r="B4" s="3130" t="s">
        <v>1595</v>
      </c>
      <c r="C4" s="3130"/>
      <c r="D4" s="3130"/>
      <c r="E4" s="1681"/>
    </row>
    <row r="5" spans="1:5" ht="16.5" thickTop="1">
      <c r="A5" s="1679"/>
      <c r="B5" s="3128" t="s">
        <v>1587</v>
      </c>
      <c r="C5" s="1682" t="s">
        <v>1588</v>
      </c>
      <c r="D5" s="961">
        <f ca="1">结果表!H101</f>
        <v>86117</v>
      </c>
      <c r="E5" s="1679"/>
    </row>
    <row r="6" spans="1:5" ht="15.75">
      <c r="A6" s="1679"/>
      <c r="B6" s="3128"/>
      <c r="C6" s="1682" t="s">
        <v>1589</v>
      </c>
      <c r="D6" s="961" t="str">
        <f ca="1">NUMBERSTRING(INT(D5*10000),2)&amp;"元整"</f>
        <v>捌亿陆仟壹佰壹拾柒万元整</v>
      </c>
      <c r="E6" s="1679"/>
    </row>
    <row r="7" spans="1:5" ht="15.75">
      <c r="A7" s="1679"/>
      <c r="B7" s="3133"/>
      <c r="C7" s="1683" t="s">
        <v>1590</v>
      </c>
      <c r="D7" s="962">
        <f ca="1">结果表!H102</f>
        <v>6015</v>
      </c>
      <c r="E7" s="1679"/>
    </row>
    <row r="8" spans="1:5" ht="15.75">
      <c r="A8" s="1679"/>
      <c r="B8" s="3134" t="str">
        <f>结果表!E103</f>
        <v>2.估价师知悉的法定优先受偿款</v>
      </c>
      <c r="C8" s="1684" t="s">
        <v>1591</v>
      </c>
      <c r="D8" s="962">
        <f>结果表!H103</f>
        <v>0</v>
      </c>
      <c r="E8" s="1679"/>
    </row>
    <row r="9" spans="1:5" ht="15.75">
      <c r="A9" s="1679"/>
      <c r="B9" s="3136"/>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27" t="str">
        <f>结果表!E107</f>
        <v>3.房地产抵押价值</v>
      </c>
      <c r="C13" s="1687" t="s">
        <v>1588</v>
      </c>
      <c r="D13" s="964">
        <f ca="1">结果表!H107</f>
        <v>86117</v>
      </c>
      <c r="E13" s="1679"/>
    </row>
    <row r="14" spans="1:5" ht="15.75">
      <c r="A14" s="1679"/>
      <c r="B14" s="3128"/>
      <c r="C14" s="1682" t="s">
        <v>1589</v>
      </c>
      <c r="D14" s="961" t="str">
        <f ca="1">NUMBERSTRING(INT(D13*10000),2)&amp;"元整"</f>
        <v>捌亿陆仟壹佰壹拾柒万元整</v>
      </c>
      <c r="E14" s="1679"/>
    </row>
    <row r="15" spans="1:5" ht="15">
      <c r="A15" s="1679"/>
      <c r="B15" s="3133"/>
      <c r="C15" s="1683" t="s">
        <v>1599</v>
      </c>
      <c r="D15" s="970">
        <f ca="1">结果表!H108</f>
        <v>6015</v>
      </c>
      <c r="E15" s="1679"/>
    </row>
    <row r="16" spans="1:5" ht="15">
      <c r="A16" s="1679"/>
      <c r="B16" s="3134" t="str">
        <f>结果表!E109</f>
        <v>——</v>
      </c>
      <c r="C16" s="1687" t="s">
        <v>1600</v>
      </c>
      <c r="D16" s="1688" t="str">
        <f>结果表!H109</f>
        <v>——</v>
      </c>
      <c r="E16" s="1679"/>
    </row>
    <row r="17" spans="1:5" ht="15.75">
      <c r="A17" s="1679"/>
      <c r="B17" s="3135"/>
      <c r="C17" s="1682" t="s">
        <v>1601</v>
      </c>
      <c r="D17" s="961" t="e">
        <f>NUMBERSTRING(INT(D16*10000),2)&amp;"元整"</f>
        <v>#VALUE!</v>
      </c>
      <c r="E17" s="1679"/>
    </row>
    <row r="18" spans="1:5" ht="15">
      <c r="A18" s="1679"/>
      <c r="B18" s="3136"/>
      <c r="C18" s="1683" t="s">
        <v>1590</v>
      </c>
      <c r="D18" s="970" t="str">
        <f>结果表!H110</f>
        <v>——</v>
      </c>
      <c r="E18" s="1679"/>
    </row>
    <row r="19" spans="1:5" ht="15.75">
      <c r="A19" s="1679"/>
      <c r="B19" s="3127" t="str">
        <f>结果表!E111</f>
        <v>——</v>
      </c>
      <c r="C19" s="1687" t="s">
        <v>1588</v>
      </c>
      <c r="D19" s="962" t="str">
        <f>结果表!H111</f>
        <v>——</v>
      </c>
      <c r="E19" s="1679"/>
    </row>
    <row r="20" spans="1:5" ht="15.75">
      <c r="A20" s="1679"/>
      <c r="B20" s="3128"/>
      <c r="C20" s="1682" t="s">
        <v>1601</v>
      </c>
      <c r="D20" s="961" t="e">
        <f>NUMBERSTRING(INT(D19*10000),2)&amp;"元整"</f>
        <v>#VALUE!</v>
      </c>
      <c r="E20" s="1679"/>
    </row>
    <row r="21" spans="1:5" ht="15.75" thickBot="1">
      <c r="A21" s="1679"/>
      <c r="B21" s="3129"/>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2871</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7" t="s">
        <v>183</v>
      </c>
      <c r="B18" s="823" t="s">
        <v>560</v>
      </c>
      <c r="C18" s="824" t="s">
        <v>561</v>
      </c>
      <c r="D18" s="825"/>
      <c r="E18" s="823">
        <v>1</v>
      </c>
      <c r="F18" s="826" t="s">
        <v>562</v>
      </c>
      <c r="G18" s="827"/>
      <c r="H18" s="819"/>
      <c r="I18" s="819"/>
    </row>
    <row r="19" spans="1:9" s="828" customFormat="1" ht="19.5" customHeight="1">
      <c r="A19" s="3457"/>
      <c r="B19" s="3457" t="s">
        <v>563</v>
      </c>
      <c r="C19" s="824" t="s">
        <v>564</v>
      </c>
      <c r="D19" s="825"/>
      <c r="E19" s="823">
        <v>0.9</v>
      </c>
      <c r="F19" s="826" t="s">
        <v>565</v>
      </c>
      <c r="G19" s="827"/>
      <c r="H19" s="819"/>
      <c r="I19" s="819"/>
    </row>
    <row r="20" spans="1:9" s="828" customFormat="1" ht="19.5" customHeight="1">
      <c r="A20" s="3457"/>
      <c r="B20" s="3457"/>
      <c r="C20" s="824" t="s">
        <v>566</v>
      </c>
      <c r="D20" s="825"/>
      <c r="E20" s="823">
        <v>1.1000000000000001</v>
      </c>
      <c r="F20" s="826" t="s">
        <v>567</v>
      </c>
      <c r="G20" s="827"/>
      <c r="H20" s="819"/>
      <c r="I20" s="819"/>
    </row>
    <row r="21" spans="1:9" s="828" customFormat="1" ht="19.5" customHeight="1">
      <c r="A21" s="3457"/>
      <c r="B21" s="3457"/>
      <c r="C21" s="824" t="s">
        <v>568</v>
      </c>
      <c r="D21" s="825"/>
      <c r="E21" s="823">
        <v>0.8</v>
      </c>
      <c r="F21" s="826" t="s">
        <v>569</v>
      </c>
      <c r="G21" s="827"/>
      <c r="H21" s="819"/>
      <c r="I21" s="819"/>
    </row>
    <row r="22" spans="1:9" s="828" customFormat="1" ht="19.5" customHeight="1">
      <c r="A22" s="3457"/>
      <c r="B22" s="3457"/>
      <c r="C22" s="824" t="s">
        <v>570</v>
      </c>
      <c r="D22" s="825"/>
      <c r="E22" s="823">
        <v>0.5</v>
      </c>
      <c r="F22" s="826"/>
      <c r="G22" s="827"/>
      <c r="H22" s="819"/>
      <c r="I22" s="819"/>
    </row>
    <row r="23" spans="1:9" s="828" customFormat="1" ht="19.5" customHeight="1">
      <c r="A23" s="3457" t="s">
        <v>184</v>
      </c>
      <c r="B23" s="823" t="s">
        <v>560</v>
      </c>
      <c r="C23" s="824" t="s">
        <v>571</v>
      </c>
      <c r="D23" s="825"/>
      <c r="E23" s="823">
        <v>1</v>
      </c>
      <c r="F23" s="826" t="s">
        <v>572</v>
      </c>
      <c r="G23" s="827"/>
      <c r="H23" s="819"/>
      <c r="I23" s="819"/>
    </row>
    <row r="24" spans="1:9" s="828" customFormat="1" ht="19.5" customHeight="1">
      <c r="A24" s="3457"/>
      <c r="B24" s="3457" t="s">
        <v>563</v>
      </c>
      <c r="C24" s="824" t="s">
        <v>573</v>
      </c>
      <c r="D24" s="825"/>
      <c r="E24" s="823">
        <v>0.5</v>
      </c>
      <c r="F24" s="826"/>
      <c r="G24" s="827"/>
      <c r="H24" s="819"/>
      <c r="I24" s="819"/>
    </row>
    <row r="25" spans="1:9" s="828" customFormat="1" ht="19.5" customHeight="1">
      <c r="A25" s="3457"/>
      <c r="B25" s="3457"/>
      <c r="C25" s="824" t="s">
        <v>574</v>
      </c>
      <c r="D25" s="825"/>
      <c r="E25" s="823">
        <v>1.1000000000000001</v>
      </c>
      <c r="F25" s="826"/>
      <c r="G25" s="827"/>
      <c r="H25" s="819"/>
      <c r="I25" s="819"/>
    </row>
    <row r="26" spans="1:9" s="828" customFormat="1" ht="19.5" customHeight="1">
      <c r="A26" s="3457"/>
      <c r="B26" s="3457"/>
      <c r="C26" s="824" t="s">
        <v>575</v>
      </c>
      <c r="D26" s="825"/>
      <c r="E26" s="823">
        <v>1.1000000000000001</v>
      </c>
      <c r="F26" s="826"/>
      <c r="G26" s="827"/>
      <c r="H26" s="819"/>
      <c r="I26" s="819"/>
    </row>
    <row r="27" spans="1:9" s="828" customFormat="1" ht="19.5" customHeight="1">
      <c r="A27" s="3457"/>
      <c r="B27" s="3457"/>
      <c r="C27" s="824" t="s">
        <v>576</v>
      </c>
      <c r="D27" s="825"/>
      <c r="E27" s="823">
        <v>0.9</v>
      </c>
      <c r="F27" s="826" t="s">
        <v>577</v>
      </c>
      <c r="G27" s="827"/>
      <c r="H27" s="819"/>
      <c r="I27" s="819"/>
    </row>
    <row r="28" spans="1:9" s="828" customFormat="1" ht="19.5" customHeight="1">
      <c r="A28" s="3457"/>
      <c r="B28" s="3457"/>
      <c r="C28" s="824" t="s">
        <v>578</v>
      </c>
      <c r="D28" s="825"/>
      <c r="E28" s="823">
        <v>0.9</v>
      </c>
      <c r="F28" s="826" t="s">
        <v>579</v>
      </c>
      <c r="G28" s="827"/>
      <c r="H28" s="819"/>
      <c r="I28" s="819"/>
    </row>
    <row r="29" spans="1:9" s="828" customFormat="1" ht="19.5" customHeight="1">
      <c r="A29" s="3457"/>
      <c r="B29" s="3457"/>
      <c r="C29" s="824" t="s">
        <v>580</v>
      </c>
      <c r="D29" s="825"/>
      <c r="E29" s="823">
        <v>0.9</v>
      </c>
      <c r="F29" s="826" t="s">
        <v>581</v>
      </c>
      <c r="G29" s="827"/>
      <c r="H29" s="819"/>
      <c r="I29" s="819"/>
    </row>
    <row r="30" spans="1:9" s="828" customFormat="1" ht="19.5" customHeight="1">
      <c r="A30" s="3457"/>
      <c r="B30" s="3457"/>
      <c r="C30" s="824" t="s">
        <v>582</v>
      </c>
      <c r="D30" s="825"/>
      <c r="E30" s="823">
        <v>0.9</v>
      </c>
      <c r="F30" s="826" t="s">
        <v>583</v>
      </c>
      <c r="G30" s="827"/>
      <c r="H30" s="819"/>
      <c r="I30" s="819"/>
    </row>
    <row r="31" spans="1:9" s="828" customFormat="1" ht="19.5" customHeight="1">
      <c r="A31" s="3457"/>
      <c r="B31" s="3457"/>
      <c r="C31" s="824" t="s">
        <v>584</v>
      </c>
      <c r="D31" s="825"/>
      <c r="E31" s="823">
        <v>0.8</v>
      </c>
      <c r="F31" s="826" t="s">
        <v>585</v>
      </c>
      <c r="G31" s="827"/>
      <c r="H31" s="819"/>
      <c r="I31" s="819"/>
    </row>
    <row r="32" spans="1:9" s="828" customFormat="1" ht="19.5" customHeight="1">
      <c r="A32" s="3457"/>
      <c r="B32" s="3457"/>
      <c r="C32" s="824" t="s">
        <v>586</v>
      </c>
      <c r="D32" s="825"/>
      <c r="E32" s="823">
        <v>0.8</v>
      </c>
      <c r="F32" s="826" t="s">
        <v>587</v>
      </c>
      <c r="G32" s="827"/>
      <c r="H32" s="819"/>
      <c r="I32" s="819"/>
    </row>
    <row r="33" spans="1:9" s="828" customFormat="1" ht="19.5" customHeight="1">
      <c r="A33" s="3457" t="s">
        <v>185</v>
      </c>
      <c r="B33" s="823" t="s">
        <v>560</v>
      </c>
      <c r="C33" s="824" t="s">
        <v>588</v>
      </c>
      <c r="D33" s="825"/>
      <c r="E33" s="823">
        <v>1</v>
      </c>
      <c r="F33" s="826" t="s">
        <v>589</v>
      </c>
      <c r="G33" s="827"/>
      <c r="H33" s="819"/>
      <c r="I33" s="819"/>
    </row>
    <row r="34" spans="1:9" s="828" customFormat="1" ht="19.5" customHeight="1">
      <c r="A34" s="3457"/>
      <c r="B34" s="823" t="s">
        <v>563</v>
      </c>
      <c r="C34" s="824" t="s">
        <v>590</v>
      </c>
      <c r="D34" s="825"/>
      <c r="E34" s="823">
        <v>1.5</v>
      </c>
      <c r="F34" s="826" t="s">
        <v>591</v>
      </c>
      <c r="G34" s="827"/>
      <c r="H34" s="819"/>
      <c r="I34" s="819"/>
    </row>
    <row r="35" spans="1:9" s="828" customFormat="1" ht="19.5" customHeight="1">
      <c r="A35" s="3457" t="s">
        <v>186</v>
      </c>
      <c r="B35" s="823" t="s">
        <v>560</v>
      </c>
      <c r="C35" s="824" t="s">
        <v>592</v>
      </c>
      <c r="D35" s="825"/>
      <c r="E35" s="823">
        <v>1</v>
      </c>
      <c r="F35" s="826" t="s">
        <v>593</v>
      </c>
      <c r="G35" s="827"/>
      <c r="H35" s="819"/>
      <c r="I35" s="819"/>
    </row>
    <row r="36" spans="1:9" s="828" customFormat="1" ht="19.5" customHeight="1">
      <c r="A36" s="3457"/>
      <c r="B36" s="3457" t="s">
        <v>563</v>
      </c>
      <c r="C36" s="824" t="s">
        <v>594</v>
      </c>
      <c r="D36" s="825"/>
      <c r="E36" s="823">
        <v>1</v>
      </c>
      <c r="F36" s="826" t="s">
        <v>595</v>
      </c>
      <c r="G36" s="827"/>
      <c r="H36" s="819"/>
      <c r="I36" s="819"/>
    </row>
    <row r="37" spans="1:9" s="828" customFormat="1" ht="19.5" customHeight="1">
      <c r="A37" s="3457"/>
      <c r="B37" s="3457"/>
      <c r="C37" s="824" t="s">
        <v>596</v>
      </c>
      <c r="D37" s="825"/>
      <c r="E37" s="823">
        <v>1.5</v>
      </c>
      <c r="F37" s="826" t="s">
        <v>597</v>
      </c>
      <c r="G37" s="827"/>
      <c r="H37" s="819"/>
      <c r="I37" s="819"/>
    </row>
    <row r="38" spans="1:9" s="828" customFormat="1" ht="19.5" customHeight="1">
      <c r="A38" s="3457"/>
      <c r="B38" s="3457"/>
      <c r="C38" s="824" t="s">
        <v>598</v>
      </c>
      <c r="D38" s="825"/>
      <c r="E38" s="823">
        <v>1</v>
      </c>
      <c r="F38" s="826" t="s">
        <v>599</v>
      </c>
      <c r="G38" s="827"/>
      <c r="H38" s="819"/>
      <c r="I38" s="819"/>
    </row>
    <row r="39" spans="1:9" s="828" customFormat="1" ht="19.5" customHeight="1">
      <c r="A39" s="3457"/>
      <c r="B39" s="3457"/>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7" t="s">
        <v>614</v>
      </c>
      <c r="C61" s="759" t="s">
        <v>615</v>
      </c>
      <c r="D61" s="759" t="s">
        <v>616</v>
      </c>
      <c r="E61" s="836">
        <v>0.5</v>
      </c>
      <c r="F61" s="823">
        <v>80</v>
      </c>
    </row>
    <row r="62" spans="1:8" s="819" customFormat="1" ht="24">
      <c r="A62" s="823">
        <v>2</v>
      </c>
      <c r="B62" s="3457"/>
      <c r="C62" s="759" t="s">
        <v>617</v>
      </c>
      <c r="D62" s="759" t="s">
        <v>618</v>
      </c>
      <c r="E62" s="836">
        <v>0.5</v>
      </c>
      <c r="F62" s="823">
        <v>80</v>
      </c>
    </row>
    <row r="63" spans="1:8" s="819" customFormat="1" ht="36">
      <c r="A63" s="823">
        <v>3</v>
      </c>
      <c r="B63" s="3457"/>
      <c r="C63" s="759" t="s">
        <v>619</v>
      </c>
      <c r="D63" s="759" t="s">
        <v>620</v>
      </c>
      <c r="E63" s="836">
        <v>0.5</v>
      </c>
      <c r="F63" s="823">
        <v>80</v>
      </c>
    </row>
    <row r="64" spans="1:8" s="819" customFormat="1" ht="36">
      <c r="A64" s="823">
        <v>4</v>
      </c>
      <c r="B64" s="3457"/>
      <c r="C64" s="759" t="s">
        <v>621</v>
      </c>
      <c r="D64" s="759" t="s">
        <v>622</v>
      </c>
      <c r="E64" s="836">
        <v>0.4</v>
      </c>
      <c r="F64" s="823">
        <v>60</v>
      </c>
    </row>
    <row r="65" spans="1:6" s="819" customFormat="1" ht="36">
      <c r="A65" s="823">
        <v>5</v>
      </c>
      <c r="B65" s="3457"/>
      <c r="C65" s="759" t="s">
        <v>623</v>
      </c>
      <c r="D65" s="759" t="s">
        <v>624</v>
      </c>
      <c r="E65" s="836">
        <v>0.2</v>
      </c>
      <c r="F65" s="823">
        <v>30</v>
      </c>
    </row>
    <row r="66" spans="1:6" s="819" customFormat="1" ht="36">
      <c r="A66" s="823">
        <v>6</v>
      </c>
      <c r="B66" s="3457"/>
      <c r="C66" s="759" t="s">
        <v>625</v>
      </c>
      <c r="D66" s="759" t="s">
        <v>626</v>
      </c>
      <c r="E66" s="836">
        <v>0.3</v>
      </c>
      <c r="F66" s="823">
        <v>50</v>
      </c>
    </row>
    <row r="67" spans="1:6" s="819" customFormat="1" ht="36">
      <c r="A67" s="823">
        <v>7</v>
      </c>
      <c r="B67" s="3457"/>
      <c r="C67" s="759" t="s">
        <v>627</v>
      </c>
      <c r="D67" s="759" t="s">
        <v>628</v>
      </c>
      <c r="E67" s="836">
        <v>0.2</v>
      </c>
      <c r="F67" s="823">
        <v>30</v>
      </c>
    </row>
    <row r="68" spans="1:6" s="819" customFormat="1" ht="36">
      <c r="A68" s="823">
        <v>8</v>
      </c>
      <c r="B68" s="3457"/>
      <c r="C68" s="759" t="s">
        <v>629</v>
      </c>
      <c r="D68" s="759" t="s">
        <v>630</v>
      </c>
      <c r="E68" s="836">
        <v>0.2</v>
      </c>
      <c r="F68" s="823">
        <v>30</v>
      </c>
    </row>
    <row r="69" spans="1:6" s="819" customFormat="1" ht="36">
      <c r="A69" s="823">
        <v>9</v>
      </c>
      <c r="B69" s="3457"/>
      <c r="C69" s="759" t="s">
        <v>631</v>
      </c>
      <c r="D69" s="759" t="s">
        <v>632</v>
      </c>
      <c r="E69" s="836">
        <v>0.2</v>
      </c>
      <c r="F69" s="823">
        <v>30</v>
      </c>
    </row>
    <row r="70" spans="1:6" s="819" customFormat="1" ht="48">
      <c r="A70" s="823">
        <v>10</v>
      </c>
      <c r="B70" s="3457"/>
      <c r="C70" s="759" t="s">
        <v>633</v>
      </c>
      <c r="D70" s="759" t="s">
        <v>634</v>
      </c>
      <c r="E70" s="836">
        <v>0.2</v>
      </c>
      <c r="F70" s="823">
        <v>30</v>
      </c>
    </row>
    <row r="71" spans="1:6" s="819" customFormat="1" ht="48">
      <c r="A71" s="823">
        <v>11</v>
      </c>
      <c r="B71" s="3457"/>
      <c r="C71" s="759" t="s">
        <v>635</v>
      </c>
      <c r="D71" s="759" t="s">
        <v>636</v>
      </c>
      <c r="E71" s="836">
        <v>0.2</v>
      </c>
      <c r="F71" s="823">
        <v>30</v>
      </c>
    </row>
    <row r="72" spans="1:6" s="819" customFormat="1" ht="36">
      <c r="A72" s="823">
        <v>12</v>
      </c>
      <c r="B72" s="3457"/>
      <c r="C72" s="759" t="s">
        <v>637</v>
      </c>
      <c r="D72" s="759" t="s">
        <v>638</v>
      </c>
      <c r="E72" s="836">
        <v>0.5</v>
      </c>
      <c r="F72" s="823">
        <v>80</v>
      </c>
    </row>
    <row r="73" spans="1:6" s="819" customFormat="1" ht="24">
      <c r="A73" s="823">
        <v>13</v>
      </c>
      <c r="B73" s="3457"/>
      <c r="C73" s="759" t="s">
        <v>639</v>
      </c>
      <c r="D73" s="759" t="s">
        <v>640</v>
      </c>
      <c r="E73" s="836">
        <v>0.4</v>
      </c>
      <c r="F73" s="823">
        <v>60</v>
      </c>
    </row>
    <row r="74" spans="1:6" s="819" customFormat="1" ht="24">
      <c r="A74" s="823">
        <v>14</v>
      </c>
      <c r="B74" s="3457"/>
      <c r="C74" s="759" t="s">
        <v>641</v>
      </c>
      <c r="D74" s="759" t="s">
        <v>642</v>
      </c>
      <c r="E74" s="836">
        <v>0.2</v>
      </c>
      <c r="F74" s="823">
        <v>30</v>
      </c>
    </row>
    <row r="75" spans="1:6" s="819" customFormat="1" ht="24">
      <c r="A75" s="823">
        <v>15</v>
      </c>
      <c r="B75" s="3457"/>
      <c r="C75" s="759" t="s">
        <v>643</v>
      </c>
      <c r="D75" s="759" t="s">
        <v>644</v>
      </c>
      <c r="E75" s="836">
        <v>0.2</v>
      </c>
      <c r="F75" s="823">
        <v>30</v>
      </c>
    </row>
    <row r="76" spans="1:6" s="819" customFormat="1" ht="24">
      <c r="A76" s="823">
        <v>16</v>
      </c>
      <c r="B76" s="3457" t="s">
        <v>645</v>
      </c>
      <c r="C76" s="759" t="s">
        <v>646</v>
      </c>
      <c r="D76" s="759" t="s">
        <v>647</v>
      </c>
      <c r="E76" s="836">
        <v>0.5</v>
      </c>
      <c r="F76" s="823">
        <v>80</v>
      </c>
    </row>
    <row r="77" spans="1:6" s="819" customFormat="1" ht="24">
      <c r="A77" s="823">
        <v>17</v>
      </c>
      <c r="B77" s="3457"/>
      <c r="C77" s="759" t="s">
        <v>648</v>
      </c>
      <c r="D77" s="759" t="s">
        <v>649</v>
      </c>
      <c r="E77" s="836">
        <v>0.5</v>
      </c>
      <c r="F77" s="823">
        <v>80</v>
      </c>
    </row>
    <row r="78" spans="1:6" s="819" customFormat="1" ht="24">
      <c r="A78" s="823">
        <v>18</v>
      </c>
      <c r="B78" s="3457"/>
      <c r="C78" s="759" t="s">
        <v>650</v>
      </c>
      <c r="D78" s="759" t="s">
        <v>651</v>
      </c>
      <c r="E78" s="836">
        <v>0.2</v>
      </c>
      <c r="F78" s="823">
        <v>30</v>
      </c>
    </row>
    <row r="79" spans="1:6" s="819" customFormat="1" ht="24">
      <c r="A79" s="823">
        <v>19</v>
      </c>
      <c r="B79" s="3457"/>
      <c r="C79" s="759" t="s">
        <v>652</v>
      </c>
      <c r="D79" s="759" t="s">
        <v>653</v>
      </c>
      <c r="E79" s="836">
        <v>0.5</v>
      </c>
      <c r="F79" s="823">
        <v>80</v>
      </c>
    </row>
    <row r="80" spans="1:6" s="819" customFormat="1" ht="36">
      <c r="A80" s="823">
        <v>20</v>
      </c>
      <c r="B80" s="3457"/>
      <c r="C80" s="759" t="s">
        <v>654</v>
      </c>
      <c r="D80" s="759" t="s">
        <v>655</v>
      </c>
      <c r="E80" s="836">
        <v>0.2</v>
      </c>
      <c r="F80" s="823">
        <v>30</v>
      </c>
    </row>
    <row r="81" spans="1:6" s="819" customFormat="1" ht="36">
      <c r="A81" s="823">
        <v>21</v>
      </c>
      <c r="B81" s="3457"/>
      <c r="C81" s="759" t="s">
        <v>656</v>
      </c>
      <c r="D81" s="759" t="s">
        <v>657</v>
      </c>
      <c r="E81" s="836">
        <v>0.2</v>
      </c>
      <c r="F81" s="823">
        <v>30</v>
      </c>
    </row>
    <row r="82" spans="1:6" s="819" customFormat="1" ht="48">
      <c r="A82" s="823">
        <v>22</v>
      </c>
      <c r="B82" s="3457"/>
      <c r="C82" s="759" t="s">
        <v>658</v>
      </c>
      <c r="D82" s="759" t="s">
        <v>659</v>
      </c>
      <c r="E82" s="836">
        <v>0.2</v>
      </c>
      <c r="F82" s="823">
        <v>30</v>
      </c>
    </row>
    <row r="83" spans="1:6" s="819" customFormat="1" ht="48">
      <c r="A83" s="823">
        <v>23</v>
      </c>
      <c r="B83" s="3457"/>
      <c r="C83" s="759" t="s">
        <v>660</v>
      </c>
      <c r="D83" s="759" t="s">
        <v>661</v>
      </c>
      <c r="E83" s="836">
        <v>0.2</v>
      </c>
      <c r="F83" s="823">
        <v>30</v>
      </c>
    </row>
    <row r="84" spans="1:6" s="819" customFormat="1" ht="36">
      <c r="A84" s="823">
        <v>24</v>
      </c>
      <c r="B84" s="3457"/>
      <c r="C84" s="759" t="s">
        <v>662</v>
      </c>
      <c r="D84" s="759" t="s">
        <v>663</v>
      </c>
      <c r="E84" s="836">
        <v>0.2</v>
      </c>
      <c r="F84" s="823">
        <v>30</v>
      </c>
    </row>
    <row r="85" spans="1:6" s="819" customFormat="1" ht="36">
      <c r="A85" s="823">
        <v>25</v>
      </c>
      <c r="B85" s="3457"/>
      <c r="C85" s="759" t="s">
        <v>664</v>
      </c>
      <c r="D85" s="759" t="s">
        <v>665</v>
      </c>
      <c r="E85" s="836">
        <v>0.5</v>
      </c>
      <c r="F85" s="823">
        <v>80</v>
      </c>
    </row>
    <row r="86" spans="1:6" s="819" customFormat="1" ht="36">
      <c r="A86" s="823">
        <v>26</v>
      </c>
      <c r="B86" s="3457"/>
      <c r="C86" s="759" t="s">
        <v>666</v>
      </c>
      <c r="D86" s="759" t="s">
        <v>667</v>
      </c>
      <c r="E86" s="836">
        <v>0.2</v>
      </c>
      <c r="F86" s="823">
        <v>30</v>
      </c>
    </row>
    <row r="87" spans="1:6" s="819" customFormat="1" ht="36">
      <c r="A87" s="823">
        <v>27</v>
      </c>
      <c r="B87" s="3457"/>
      <c r="C87" s="759" t="s">
        <v>668</v>
      </c>
      <c r="D87" s="759" t="s">
        <v>669</v>
      </c>
      <c r="E87" s="836">
        <v>0.2</v>
      </c>
      <c r="F87" s="823">
        <v>30</v>
      </c>
    </row>
    <row r="88" spans="1:6" s="819" customFormat="1" ht="36">
      <c r="A88" s="823">
        <v>28</v>
      </c>
      <c r="B88" s="3457"/>
      <c r="C88" s="759" t="s">
        <v>670</v>
      </c>
      <c r="D88" s="759" t="s">
        <v>671</v>
      </c>
      <c r="E88" s="836">
        <v>0.2</v>
      </c>
      <c r="F88" s="823">
        <v>30</v>
      </c>
    </row>
    <row r="89" spans="1:6" s="819" customFormat="1" ht="24">
      <c r="A89" s="823">
        <v>29</v>
      </c>
      <c r="B89" s="3457"/>
      <c r="C89" s="759" t="s">
        <v>672</v>
      </c>
      <c r="D89" s="759" t="s">
        <v>673</v>
      </c>
      <c r="E89" s="836">
        <v>0.2</v>
      </c>
      <c r="F89" s="823">
        <v>30</v>
      </c>
    </row>
    <row r="90" spans="1:6" s="819" customFormat="1" ht="24">
      <c r="A90" s="823">
        <v>30</v>
      </c>
      <c r="B90" s="3457"/>
      <c r="C90" s="759" t="s">
        <v>674</v>
      </c>
      <c r="D90" s="759" t="s">
        <v>675</v>
      </c>
      <c r="E90" s="836">
        <v>0.2</v>
      </c>
      <c r="F90" s="823">
        <v>30</v>
      </c>
    </row>
    <row r="91" spans="1:6" s="819" customFormat="1" ht="36">
      <c r="A91" s="823">
        <v>31</v>
      </c>
      <c r="B91" s="3457"/>
      <c r="C91" s="759" t="s">
        <v>676</v>
      </c>
      <c r="D91" s="759" t="s">
        <v>677</v>
      </c>
      <c r="E91" s="836">
        <v>0.2</v>
      </c>
      <c r="F91" s="823">
        <v>30</v>
      </c>
    </row>
    <row r="92" spans="1:6" s="819" customFormat="1" ht="24">
      <c r="A92" s="823">
        <v>32</v>
      </c>
      <c r="B92" s="3457" t="s">
        <v>678</v>
      </c>
      <c r="C92" s="823" t="s">
        <v>679</v>
      </c>
      <c r="D92" s="759" t="s">
        <v>680</v>
      </c>
      <c r="E92" s="836">
        <v>0.2</v>
      </c>
      <c r="F92" s="823">
        <v>30</v>
      </c>
    </row>
    <row r="93" spans="1:6" s="819" customFormat="1" ht="36">
      <c r="A93" s="823">
        <v>33</v>
      </c>
      <c r="B93" s="3457"/>
      <c r="C93" s="823" t="s">
        <v>681</v>
      </c>
      <c r="D93" s="759" t="s">
        <v>682</v>
      </c>
      <c r="E93" s="836">
        <v>0.2</v>
      </c>
      <c r="F93" s="823">
        <v>30</v>
      </c>
    </row>
    <row r="94" spans="1:6" s="819" customFormat="1" ht="48">
      <c r="A94" s="823">
        <v>34</v>
      </c>
      <c r="B94" s="3457"/>
      <c r="C94" s="823" t="s">
        <v>683</v>
      </c>
      <c r="D94" s="759" t="s">
        <v>684</v>
      </c>
      <c r="E94" s="836">
        <v>0.2</v>
      </c>
      <c r="F94" s="823">
        <v>30</v>
      </c>
    </row>
    <row r="95" spans="1:6" s="819" customFormat="1" ht="36">
      <c r="A95" s="823">
        <v>35</v>
      </c>
      <c r="B95" s="3457"/>
      <c r="C95" s="823" t="s">
        <v>685</v>
      </c>
      <c r="D95" s="759" t="s">
        <v>686</v>
      </c>
      <c r="E95" s="836">
        <v>0.2</v>
      </c>
      <c r="F95" s="823">
        <v>30</v>
      </c>
    </row>
    <row r="96" spans="1:6" s="819" customFormat="1" ht="48">
      <c r="A96" s="823">
        <v>36</v>
      </c>
      <c r="B96" s="3457"/>
      <c r="C96" s="759" t="s">
        <v>687</v>
      </c>
      <c r="D96" s="759" t="s">
        <v>688</v>
      </c>
      <c r="E96" s="836">
        <v>0.2</v>
      </c>
      <c r="F96" s="823">
        <v>30</v>
      </c>
    </row>
    <row r="97" spans="1:6" s="819" customFormat="1" ht="36">
      <c r="A97" s="823">
        <v>37</v>
      </c>
      <c r="B97" s="3457"/>
      <c r="C97" s="823" t="s">
        <v>689</v>
      </c>
      <c r="D97" s="759" t="s">
        <v>690</v>
      </c>
      <c r="E97" s="836">
        <v>0.2</v>
      </c>
      <c r="F97" s="823">
        <v>30</v>
      </c>
    </row>
    <row r="98" spans="1:6" s="819" customFormat="1" ht="36">
      <c r="A98" s="823">
        <v>38</v>
      </c>
      <c r="B98" s="3457"/>
      <c r="C98" s="823" t="s">
        <v>691</v>
      </c>
      <c r="D98" s="759" t="s">
        <v>692</v>
      </c>
      <c r="E98" s="836">
        <v>0.2</v>
      </c>
      <c r="F98" s="823">
        <v>30</v>
      </c>
    </row>
    <row r="99" spans="1:6" s="819" customFormat="1" ht="36">
      <c r="A99" s="823">
        <v>39</v>
      </c>
      <c r="B99" s="3457" t="s">
        <v>693</v>
      </c>
      <c r="C99" s="823" t="s">
        <v>694</v>
      </c>
      <c r="D99" s="759" t="s">
        <v>695</v>
      </c>
      <c r="E99" s="836">
        <v>0.3</v>
      </c>
      <c r="F99" s="823">
        <v>50</v>
      </c>
    </row>
    <row r="100" spans="1:6" s="819" customFormat="1" ht="24">
      <c r="A100" s="823">
        <v>40</v>
      </c>
      <c r="B100" s="3457"/>
      <c r="C100" s="823" t="s">
        <v>696</v>
      </c>
      <c r="D100" s="759" t="s">
        <v>697</v>
      </c>
      <c r="E100" s="836">
        <v>0.2</v>
      </c>
      <c r="F100" s="823">
        <v>30</v>
      </c>
    </row>
    <row r="101" spans="1:6" s="819" customFormat="1" ht="36">
      <c r="A101" s="823">
        <v>41</v>
      </c>
      <c r="B101" s="3457"/>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7" t="s">
        <v>708</v>
      </c>
      <c r="C105" s="823" t="s">
        <v>709</v>
      </c>
      <c r="D105" s="759" t="s">
        <v>710</v>
      </c>
      <c r="E105" s="836">
        <v>0.2</v>
      </c>
      <c r="F105" s="823">
        <v>30</v>
      </c>
    </row>
    <row r="106" spans="1:6" s="819" customFormat="1" ht="36">
      <c r="A106" s="823">
        <v>46</v>
      </c>
      <c r="B106" s="3457"/>
      <c r="C106" s="823" t="s">
        <v>711</v>
      </c>
      <c r="D106" s="759" t="s">
        <v>712</v>
      </c>
      <c r="E106" s="836">
        <v>0.2</v>
      </c>
      <c r="F106" s="823">
        <v>30</v>
      </c>
    </row>
    <row r="107" spans="1:6" s="819" customFormat="1" ht="36">
      <c r="A107" s="823">
        <v>47</v>
      </c>
      <c r="B107" s="3457" t="s">
        <v>713</v>
      </c>
      <c r="C107" s="823" t="s">
        <v>714</v>
      </c>
      <c r="D107" s="759" t="s">
        <v>715</v>
      </c>
      <c r="E107" s="836">
        <v>0.3</v>
      </c>
      <c r="F107" s="823">
        <v>50</v>
      </c>
    </row>
    <row r="108" spans="1:6" s="819" customFormat="1" ht="36">
      <c r="A108" s="823">
        <v>48</v>
      </c>
      <c r="B108" s="3457"/>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7" t="s">
        <v>724</v>
      </c>
      <c r="C111" s="823" t="s">
        <v>725</v>
      </c>
      <c r="D111" s="759" t="s">
        <v>726</v>
      </c>
      <c r="E111" s="836">
        <v>0.2</v>
      </c>
      <c r="F111" s="823">
        <v>30</v>
      </c>
    </row>
    <row r="112" spans="1:6" s="819" customFormat="1" ht="24">
      <c r="A112" s="823">
        <v>52</v>
      </c>
      <c r="B112" s="3457"/>
      <c r="C112" s="823" t="s">
        <v>727</v>
      </c>
      <c r="D112" s="759" t="s">
        <v>728</v>
      </c>
      <c r="E112" s="836">
        <v>0.2</v>
      </c>
      <c r="F112" s="823">
        <v>30</v>
      </c>
    </row>
    <row r="113" spans="1:6" s="819" customFormat="1" ht="24">
      <c r="A113" s="823">
        <v>53</v>
      </c>
      <c r="B113" s="3457"/>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7" t="s">
        <v>737</v>
      </c>
      <c r="C116" s="823" t="s">
        <v>738</v>
      </c>
      <c r="D116" s="759" t="s">
        <v>739</v>
      </c>
      <c r="E116" s="836">
        <v>0.2</v>
      </c>
      <c r="F116" s="823">
        <v>30</v>
      </c>
    </row>
    <row r="117" spans="1:6" ht="36">
      <c r="A117" s="823">
        <v>57</v>
      </c>
      <c r="B117" s="3457"/>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2828</v>
      </c>
      <c r="B1" s="2365"/>
      <c r="C1" s="2365"/>
      <c r="D1" s="2365"/>
      <c r="E1" s="2365"/>
      <c r="F1" s="3024"/>
      <c r="G1" s="3024"/>
      <c r="H1" s="3024"/>
      <c r="I1" s="3024"/>
      <c r="J1" s="3024"/>
      <c r="K1" s="3024"/>
      <c r="L1" s="3024"/>
      <c r="M1" s="3024"/>
      <c r="N1" s="3024"/>
      <c r="O1" s="3024"/>
      <c r="P1" s="3024"/>
    </row>
    <row r="2" spans="1:16" ht="15.75">
      <c r="A2" s="2363" t="s">
        <v>2820</v>
      </c>
      <c r="B2" s="2826" t="e">
        <f ca="1">SUMIF(B6:B13,"&lt;&gt;#ref!",B6:B13)</f>
        <v>#DIV/0!</v>
      </c>
      <c r="C2" s="2363" t="s">
        <v>2821</v>
      </c>
      <c r="D2" s="2363" t="s">
        <v>2822</v>
      </c>
      <c r="E2" s="2836">
        <f ca="1">SUMIF(E6:E13,"&lt;&gt;#ref!",E6:E13)</f>
        <v>0</v>
      </c>
      <c r="F2" s="3024"/>
      <c r="G2" s="3024"/>
      <c r="H2" s="3024"/>
      <c r="I2" s="3024"/>
      <c r="J2" s="3024"/>
      <c r="K2" s="3024"/>
      <c r="L2" s="3024"/>
      <c r="M2" s="3024"/>
      <c r="N2" s="3024"/>
      <c r="O2" s="3024"/>
      <c r="P2" s="3024"/>
    </row>
    <row r="3" spans="1:16" ht="15.75">
      <c r="A3" s="2363" t="s">
        <v>2823</v>
      </c>
      <c r="B3" s="2826" t="e">
        <f ca="1">ROUND(B2*10000/E2,0)</f>
        <v>#DIV/0!</v>
      </c>
      <c r="C3" s="2363" t="s">
        <v>2829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2824</v>
      </c>
      <c r="B5" s="2834" t="s">
        <v>2825</v>
      </c>
      <c r="C5" s="2364"/>
      <c r="D5" s="3024"/>
      <c r="E5" s="2835" t="s">
        <v>2826</v>
      </c>
      <c r="F5" s="3024"/>
      <c r="G5" s="3024"/>
      <c r="H5" s="3024"/>
      <c r="I5" s="3024"/>
      <c r="J5" s="3024"/>
      <c r="K5" s="3024"/>
      <c r="L5" s="3024"/>
      <c r="M5" s="3024"/>
      <c r="N5" s="3024"/>
      <c r="O5" s="3024"/>
      <c r="P5" s="3024"/>
    </row>
    <row r="6" spans="1:16" ht="15.75">
      <c r="A6" s="2833" t="s">
        <v>2827</v>
      </c>
      <c r="B6" s="2826" t="e">
        <f ca="1">SUMIF(INDIRECT("'"&amp;A6&amp;"'"&amp;"!A:A"),"总价",INDIRECT("'"&amp;A6&amp;"'"&amp;"!B:B"))</f>
        <v>#DIV/0!</v>
      </c>
      <c r="C6" s="2363" t="s">
        <v>2821</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2821</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2821</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2821</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2821</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2821</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2821</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2821</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3" t="s">
        <v>1117</v>
      </c>
      <c r="C1" s="3463"/>
      <c r="D1" s="3463"/>
      <c r="E1" s="3463"/>
      <c r="F1" s="3463"/>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2861</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2879</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2862</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2878</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2876</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2875</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2874</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2872</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2870</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2873</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61">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2868</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61"/>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2867</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61"/>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2860</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8"/>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2858</v>
      </c>
      <c r="B16" s="2440">
        <v>439</v>
      </c>
      <c r="C16" s="2440">
        <v>327</v>
      </c>
      <c r="D16" s="2440">
        <f>C16</f>
        <v>327</v>
      </c>
      <c r="E16" s="2440">
        <v>627</v>
      </c>
      <c r="F16" s="2441">
        <v>283</v>
      </c>
      <c r="G16" s="3464">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2859</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61"/>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61"/>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8"/>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4">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61"/>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61"/>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62"/>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60">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61"/>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61"/>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62"/>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60">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61"/>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61"/>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62"/>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5">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6"/>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6"/>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7"/>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60">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61"/>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61"/>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62"/>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60">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61">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61">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62">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60">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61">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61">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62">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60">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61">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61">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62">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60">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61">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61">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62">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60">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61">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61">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62">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60">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61">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61">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62">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60">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61">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61">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62">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60">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61">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61">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62">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60">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61">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61">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62">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60">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61">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61">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62">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2830</v>
      </c>
      <c r="C1" s="3472" t="s">
        <v>2831</v>
      </c>
      <c r="D1" s="3473"/>
      <c r="E1" s="3473"/>
      <c r="F1" s="3473"/>
      <c r="G1" s="3473"/>
      <c r="H1" s="3473"/>
      <c r="I1" s="3473"/>
      <c r="J1" s="3473"/>
      <c r="K1" s="3473"/>
      <c r="L1" s="3473"/>
      <c r="M1" s="3473"/>
      <c r="N1" s="3473"/>
      <c r="O1" s="3473"/>
      <c r="P1" s="3473"/>
      <c r="Q1" s="3473"/>
      <c r="R1" s="3473"/>
      <c r="S1" s="3474"/>
      <c r="T1" s="1116" t="s">
        <v>2832</v>
      </c>
    </row>
    <row r="2" spans="1:45" s="666" customFormat="1">
      <c r="A2" s="1117"/>
      <c r="B2" s="662" t="s">
        <v>2833</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2834</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2835</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2836</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2837</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2838</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2839</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2840</v>
      </c>
      <c r="B17" s="2367" t="s">
        <v>2841</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2842</v>
      </c>
      <c r="E19" s="1527"/>
      <c r="F19" s="1527"/>
      <c r="G19" s="1527"/>
      <c r="H19" s="1192"/>
      <c r="I19" s="167"/>
      <c r="J19" s="167"/>
      <c r="K19" s="167"/>
      <c r="L19" s="167"/>
      <c r="M19" s="167"/>
      <c r="N19" s="167"/>
      <c r="O19" s="167"/>
      <c r="P19" s="167"/>
      <c r="Q19" s="167"/>
      <c r="R19" s="730"/>
      <c r="S19" s="137"/>
    </row>
    <row r="20" spans="1:45" ht="16.5" thickBot="1">
      <c r="A20" s="674" t="s">
        <v>2843</v>
      </c>
      <c r="B20" s="303" t="e">
        <f ca="1">IF(D20="——",S22,S22-F20)</f>
        <v>#REF!</v>
      </c>
      <c r="C20" s="167"/>
      <c r="D20" s="2369"/>
      <c r="E20" s="1528"/>
      <c r="F20" s="1116" t="e">
        <f ca="1">SUMIF(INDIRECT("'"&amp;H20&amp;"'"&amp;"!A:A"),"承租人权益价值",INDIRECT("'"&amp;H20&amp;"'"&amp;"!c:c"))</f>
        <v>#REF!</v>
      </c>
      <c r="G20" s="1116" t="s">
        <v>2844</v>
      </c>
      <c r="H20" s="2370"/>
      <c r="I20" s="167"/>
      <c r="J20" s="167"/>
      <c r="K20" s="167"/>
      <c r="L20" s="167"/>
      <c r="M20" s="167"/>
      <c r="N20" s="167"/>
      <c r="O20" s="167"/>
      <c r="P20" s="167"/>
      <c r="Q20" s="167"/>
      <c r="R20" s="730"/>
      <c r="S20" s="137"/>
    </row>
    <row r="21" spans="1:45" ht="15.75">
      <c r="A21" s="674" t="s">
        <v>2845</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2846</v>
      </c>
      <c r="B22" s="24">
        <f>SUM(B24:B10000)</f>
        <v>100</v>
      </c>
      <c r="C22" s="3469" t="s">
        <v>33</v>
      </c>
      <c r="D22" s="3470"/>
      <c r="E22" s="3470"/>
      <c r="F22" s="3470"/>
      <c r="G22" s="3470"/>
      <c r="H22" s="3470"/>
      <c r="I22" s="3470"/>
      <c r="J22" s="3470"/>
      <c r="K22" s="3470"/>
      <c r="L22" s="3470"/>
      <c r="M22" s="3470"/>
      <c r="N22" s="3470"/>
      <c r="O22" s="3470"/>
      <c r="P22" s="3470"/>
      <c r="Q22" s="3471"/>
      <c r="R22" s="675">
        <f>ROUND(S22*10000/B22,0)</f>
        <v>10000</v>
      </c>
      <c r="S22" s="24">
        <f>SUM(S24:S10000)</f>
        <v>100</v>
      </c>
    </row>
    <row r="23" spans="1:45" s="12" customFormat="1" ht="24">
      <c r="A23" s="11" t="s">
        <v>2847</v>
      </c>
      <c r="B23" s="11" t="s">
        <v>2848</v>
      </c>
      <c r="C23" s="11" t="s">
        <v>2849</v>
      </c>
      <c r="D23" s="11" t="str">
        <f>B5</f>
        <v>修正项2</v>
      </c>
      <c r="E23" s="11" t="s">
        <v>2849</v>
      </c>
      <c r="F23" s="11" t="str">
        <f>B7</f>
        <v>修正项3</v>
      </c>
      <c r="G23" s="11" t="s">
        <v>2849</v>
      </c>
      <c r="H23" s="11" t="str">
        <f>B9</f>
        <v>修正项4</v>
      </c>
      <c r="I23" s="11" t="s">
        <v>2849</v>
      </c>
      <c r="J23" s="11" t="str">
        <f>B11</f>
        <v>修正项5</v>
      </c>
      <c r="K23" s="11" t="s">
        <v>2849</v>
      </c>
      <c r="L23" s="11" t="str">
        <f>B13</f>
        <v>修正项6</v>
      </c>
      <c r="M23" s="11" t="s">
        <v>2849</v>
      </c>
      <c r="N23" s="11" t="str">
        <f>B15</f>
        <v>修正项7</v>
      </c>
      <c r="O23" s="11" t="s">
        <v>2849</v>
      </c>
      <c r="P23" s="11" t="str">
        <f>B17</f>
        <v>楼层</v>
      </c>
      <c r="Q23" s="11" t="s">
        <v>2849</v>
      </c>
      <c r="R23" s="676" t="s">
        <v>2850</v>
      </c>
      <c r="S23" s="11" t="s">
        <v>2851</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2852</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100496</v>
      </c>
      <c r="C2" s="2" t="s">
        <v>133</v>
      </c>
      <c r="D2" s="208"/>
      <c r="E2" s="208"/>
      <c r="F2" s="208"/>
      <c r="G2" s="208"/>
    </row>
    <row r="3" spans="1:7" s="209" customFormat="1" ht="18" customHeight="1" thickBot="1">
      <c r="A3" s="212" t="s">
        <v>85</v>
      </c>
      <c r="B3" s="213">
        <f ca="1">ROUND(B2*10000/'数据-汇总表'!E3,0)</f>
        <v>7019</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2720</v>
      </c>
      <c r="D10" s="956">
        <f>'数据-汇总表'!E6</f>
        <v>143180.50000000003</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2864</v>
      </c>
      <c r="D19" s="960">
        <f>'数据-汇总表'!E3</f>
        <v>143180.50000000003</v>
      </c>
      <c r="E19" s="220">
        <f>'数据-取费表'!B31</f>
        <v>200</v>
      </c>
      <c r="F19" s="240"/>
      <c r="G19" s="1" t="s">
        <v>1042</v>
      </c>
    </row>
    <row r="20" spans="1:7" s="223" customFormat="1" ht="13.5" customHeight="1">
      <c r="A20" s="887" t="s">
        <v>1025</v>
      </c>
      <c r="B20" s="219" t="s">
        <v>104</v>
      </c>
      <c r="C20" s="241">
        <f>ROUND((C5+C19)*F20,0)</f>
        <v>587</v>
      </c>
      <c r="D20" s="241"/>
      <c r="E20" s="241"/>
      <c r="F20" s="242">
        <f>'数据-取费表'!B37</f>
        <v>2.5000000000000001E-2</v>
      </c>
      <c r="G20" s="1201" t="s">
        <v>1036</v>
      </c>
    </row>
    <row r="21" spans="1:7" s="223" customFormat="1" ht="13.5" customHeight="1">
      <c r="A21" s="887" t="s">
        <v>1027</v>
      </c>
      <c r="B21" s="219" t="s">
        <v>105</v>
      </c>
      <c r="C21" s="244">
        <f>F21</f>
        <v>2.5000000000000001E-2</v>
      </c>
      <c r="D21" s="245" t="s">
        <v>126</v>
      </c>
      <c r="E21" s="241"/>
      <c r="F21" s="242">
        <f>'数据-取费表'!B38</f>
        <v>2.5000000000000001E-2</v>
      </c>
      <c r="G21" s="243" t="s">
        <v>106</v>
      </c>
    </row>
    <row r="22" spans="1:7" s="223" customFormat="1" ht="13.5" customHeight="1">
      <c r="A22" s="887" t="s">
        <v>786</v>
      </c>
      <c r="B22" s="219" t="s">
        <v>107</v>
      </c>
      <c r="C22" s="1266">
        <f ca="1">ROUND(SUM(C23:C25),0)</f>
        <v>2071</v>
      </c>
      <c r="D22" s="244">
        <f ca="1">C26</f>
        <v>1.1000000000000001E-3</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1796</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250</v>
      </c>
      <c r="D24" s="247"/>
      <c r="E24" s="247"/>
      <c r="F24" s="248"/>
      <c r="G24" s="249" t="s">
        <v>109</v>
      </c>
    </row>
    <row r="25" spans="1:7" s="223" customFormat="1" ht="24">
      <c r="A25" s="890" t="s">
        <v>793</v>
      </c>
      <c r="B25" s="224" t="s">
        <v>1026</v>
      </c>
      <c r="C25" s="1267">
        <f ca="1">ROUND(IF('数据-取费表'!B22&lt;=1,C20*F22*'数据-取费表'!B23/2,C20*(POWER((1+F22),'数据-取费表'!B23/2)-1)),0)</f>
        <v>25</v>
      </c>
      <c r="D25" s="247"/>
      <c r="E25" s="250"/>
      <c r="F25" s="248"/>
      <c r="G25" s="251" t="s">
        <v>110</v>
      </c>
    </row>
    <row r="26" spans="1:7" s="223" customFormat="1">
      <c r="A26" s="890" t="s">
        <v>795</v>
      </c>
      <c r="B26" s="224" t="s">
        <v>1028</v>
      </c>
      <c r="C26" s="247">
        <f ca="1">ROUND(IF('数据-取费表'!B22&lt;=1,F21*F22*'数据-取费表'!B23/2,F21*(POWER((1+F22),'数据-取费表'!B23/2)-1)),4)</f>
        <v>1.1000000000000001E-3</v>
      </c>
      <c r="D26" s="247"/>
      <c r="E26" s="250"/>
      <c r="F26" s="248"/>
      <c r="G26" s="252"/>
    </row>
    <row r="27" spans="1:7" s="223" customFormat="1" ht="24.75">
      <c r="A27" s="887" t="s">
        <v>787</v>
      </c>
      <c r="B27" s="253" t="s">
        <v>112</v>
      </c>
      <c r="C27" s="254">
        <f>C28</f>
        <v>2599</v>
      </c>
      <c r="D27" s="244">
        <f>C29</f>
        <v>2.7000000000000001E-3</v>
      </c>
      <c r="E27" s="245" t="s">
        <v>126</v>
      </c>
      <c r="F27" s="255">
        <f>'数据-取费表'!Q16</f>
        <v>0.12</v>
      </c>
      <c r="G27" s="256" t="s">
        <v>1037</v>
      </c>
    </row>
    <row r="28" spans="1:7" s="223" customFormat="1" ht="13.5" customHeight="1">
      <c r="A28" s="890" t="s">
        <v>794</v>
      </c>
      <c r="B28" s="257" t="s">
        <v>1030</v>
      </c>
      <c r="C28" s="258">
        <f>ROUND((C5+C19+C20)*F27*'数据-取费表'!B21/'数据-取费表'!B20,0)</f>
        <v>2599</v>
      </c>
      <c r="D28" s="244"/>
      <c r="E28" s="245"/>
      <c r="F28" s="255"/>
      <c r="G28" s="256"/>
    </row>
    <row r="29" spans="1:7" s="223" customFormat="1" ht="13.5" customHeight="1">
      <c r="A29" s="890" t="s">
        <v>792</v>
      </c>
      <c r="B29" s="257" t="s">
        <v>1031</v>
      </c>
      <c r="C29" s="247">
        <f>ROUND(C21*F27*'数据-取费表'!B21/'数据-取费表'!B20,4)</f>
        <v>2.7000000000000001E-3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31269</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53356</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47680</v>
      </c>
      <c r="D34" s="226"/>
      <c r="E34" s="229"/>
      <c r="F34" s="266">
        <f>IF('数据-取费表'!B24=0,1,'数据-取费表'!N16)</f>
        <v>0.9</v>
      </c>
      <c r="G34" s="228" t="s">
        <v>116</v>
      </c>
    </row>
    <row r="35" spans="1:7" ht="13.5" customHeight="1">
      <c r="A35" s="890" t="s">
        <v>796</v>
      </c>
      <c r="B35" s="224" t="s">
        <v>60</v>
      </c>
      <c r="C35" s="229">
        <f>ROUND(C34*F35,0)</f>
        <v>2384</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2577</v>
      </c>
      <c r="D37" s="226">
        <f>'数据-汇总表'!E3</f>
        <v>143180.50000000003</v>
      </c>
      <c r="E37" s="258">
        <f>'数据-取费表'!B35</f>
        <v>200</v>
      </c>
      <c r="F37" s="268"/>
      <c r="G37" s="270" t="s">
        <v>119</v>
      </c>
    </row>
    <row r="38" spans="1:7" ht="13.5" customHeight="1">
      <c r="A38" s="890" t="s">
        <v>799</v>
      </c>
      <c r="B38" s="224" t="s">
        <v>63</v>
      </c>
      <c r="C38" s="229">
        <f>ROUND(C34*F38,0)</f>
        <v>715</v>
      </c>
      <c r="D38" s="229"/>
      <c r="E38" s="229"/>
      <c r="F38" s="268">
        <f>'数据-取费表'!B36</f>
        <v>1.4999999999999999E-2</v>
      </c>
      <c r="G38" s="228" t="s">
        <v>117</v>
      </c>
    </row>
    <row r="39" spans="1:7" s="223" customFormat="1" ht="13.5" customHeight="1">
      <c r="A39" s="887" t="s">
        <v>783</v>
      </c>
      <c r="B39" s="219" t="s">
        <v>104</v>
      </c>
      <c r="C39" s="241">
        <f>ROUND(C33*F20,0)</f>
        <v>1334</v>
      </c>
      <c r="D39" s="241"/>
      <c r="E39" s="241"/>
      <c r="F39" s="242"/>
      <c r="G39" s="1201" t="s">
        <v>1039</v>
      </c>
    </row>
    <row r="40" spans="1:7" s="223" customFormat="1" ht="13.5" customHeight="1">
      <c r="A40" s="887" t="s">
        <v>784</v>
      </c>
      <c r="B40" s="219" t="s">
        <v>105</v>
      </c>
      <c r="C40" s="271">
        <f>F21</f>
        <v>2.5000000000000001E-2</v>
      </c>
      <c r="D40" s="245" t="s">
        <v>129</v>
      </c>
      <c r="E40" s="241"/>
      <c r="F40" s="242"/>
      <c r="G40" s="243" t="s">
        <v>120</v>
      </c>
    </row>
    <row r="41" spans="1:7" s="223" customFormat="1" ht="13.5" customHeight="1">
      <c r="A41" s="887" t="s">
        <v>785</v>
      </c>
      <c r="B41" s="219" t="s">
        <v>107</v>
      </c>
      <c r="C41" s="241">
        <f ca="1">ROUND(SUM(C42:C43),0)</f>
        <v>2333</v>
      </c>
      <c r="D41" s="244">
        <f ca="1">C44</f>
        <v>1.1000000000000001E-3</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2276</v>
      </c>
      <c r="D42" s="247"/>
      <c r="E42" s="247"/>
      <c r="F42" s="248"/>
      <c r="G42" s="3329" t="s">
        <v>121</v>
      </c>
    </row>
    <row r="43" spans="1:7" ht="13.5" customHeight="1">
      <c r="A43" s="890" t="s">
        <v>792</v>
      </c>
      <c r="B43" s="224" t="s">
        <v>1032</v>
      </c>
      <c r="C43" s="247">
        <f ca="1">ROUND(IF('数据-取费表'!B22&lt;=1,C39*F22*'数据-取费表'!B21/2,C39*(POWER((1+F22),'数据-取费表'!B21/2)-1)),0)</f>
        <v>57</v>
      </c>
      <c r="D43" s="247"/>
      <c r="E43" s="247"/>
      <c r="F43" s="248"/>
      <c r="G43" s="3330"/>
    </row>
    <row r="44" spans="1:7" ht="13.5" customHeight="1">
      <c r="A44" s="890" t="s">
        <v>793</v>
      </c>
      <c r="B44" s="224" t="s">
        <v>1034</v>
      </c>
      <c r="C44" s="247">
        <f ca="1">ROUND(IF('数据-取费表'!B22&lt;=1,C40*F22*'数据-取费表'!B21/2,C40*(POWER((1+F22),'数据-取费表'!B21/2)-1)),4)</f>
        <v>1.1000000000000001E-3</v>
      </c>
      <c r="D44" s="247"/>
      <c r="E44" s="247"/>
      <c r="F44" s="248"/>
      <c r="G44" s="3331"/>
    </row>
    <row r="45" spans="1:7" s="223" customFormat="1" ht="13.5" customHeight="1">
      <c r="A45" s="887" t="s">
        <v>786</v>
      </c>
      <c r="B45" s="253" t="s">
        <v>112</v>
      </c>
      <c r="C45" s="254">
        <f>C46</f>
        <v>6563</v>
      </c>
      <c r="D45" s="244">
        <f>C47</f>
        <v>3.0000000000000001E-3</v>
      </c>
      <c r="E45" s="245" t="s">
        <v>129</v>
      </c>
      <c r="F45" s="255"/>
      <c r="G45" s="256" t="s">
        <v>1040</v>
      </c>
    </row>
    <row r="46" spans="1:7" s="223" customFormat="1" ht="13.5" customHeight="1">
      <c r="A46" s="890" t="s">
        <v>794</v>
      </c>
      <c r="B46" s="257" t="s">
        <v>1033</v>
      </c>
      <c r="C46" s="258">
        <f>ROUND((C33+C39)*F27,0)</f>
        <v>6563</v>
      </c>
      <c r="D46" s="272"/>
      <c r="E46" s="245"/>
      <c r="F46" s="255"/>
      <c r="G46" s="256"/>
    </row>
    <row r="47" spans="1:7" s="223" customFormat="1" ht="13.5" customHeight="1">
      <c r="A47" s="890" t="s">
        <v>792</v>
      </c>
      <c r="B47" s="257" t="s">
        <v>1035</v>
      </c>
      <c r="C47" s="247">
        <f>ROUND(C40*F27,4)</f>
        <v>3.0000000000000001E-3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69227</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69227</v>
      </c>
      <c r="D51" s="241"/>
      <c r="E51" s="241"/>
      <c r="F51" s="273"/>
      <c r="G51" s="243" t="s">
        <v>64</v>
      </c>
    </row>
    <row r="52" spans="1:7" s="217" customFormat="1" ht="16.5" thickBot="1">
      <c r="A52" s="274" t="s">
        <v>65</v>
      </c>
      <c r="B52" s="275"/>
      <c r="C52" s="276">
        <f ca="1">C31+C51</f>
        <v>100496</v>
      </c>
      <c r="D52" s="275"/>
      <c r="E52" s="275"/>
      <c r="F52" s="275"/>
      <c r="G52" s="277"/>
    </row>
    <row r="55" spans="1:7" ht="15">
      <c r="B55" s="279" t="s">
        <v>66</v>
      </c>
      <c r="C55" s="280"/>
    </row>
    <row r="56" spans="1:7">
      <c r="B56" s="282" t="s">
        <v>67</v>
      </c>
      <c r="C56" s="283">
        <f ca="1">ROUND(C51/C52,3)</f>
        <v>0.68899999999999995</v>
      </c>
    </row>
    <row r="57" spans="1:7">
      <c r="B57" s="282" t="s">
        <v>68</v>
      </c>
      <c r="C57" s="284">
        <f ca="1">1-C56</f>
        <v>0.31100000000000005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5" t="s">
        <v>156</v>
      </c>
      <c r="B1" s="3475"/>
      <c r="C1" s="3475"/>
      <c r="D1" s="3475"/>
      <c r="E1" s="3475"/>
      <c r="F1" s="3475"/>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6" t="s">
        <v>169</v>
      </c>
      <c r="B2" s="3476"/>
      <c r="C2" s="3476"/>
      <c r="D2" s="3476"/>
      <c r="E2" s="3476"/>
      <c r="F2" s="3476"/>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7"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8"/>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5" t="s">
        <v>839</v>
      </c>
      <c r="B1" s="3475"/>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44166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9"/>
      <c r="B3" s="3139"/>
      <c r="C3" s="3139"/>
      <c r="D3" s="965" t="s">
        <v>1603</v>
      </c>
      <c r="E3" s="965" t="s">
        <v>1609</v>
      </c>
      <c r="F3" s="965" t="s">
        <v>1603</v>
      </c>
      <c r="G3" s="965" t="s">
        <v>1604</v>
      </c>
      <c r="H3" s="965" t="s">
        <v>1603</v>
      </c>
      <c r="I3" s="965" t="s">
        <v>1604</v>
      </c>
    </row>
    <row r="4" spans="1:9" ht="90">
      <c r="A4" s="1693" t="str">
        <f>项目基本情况!S2</f>
        <v>北京市房山区琉璃河镇中心区E-07地块1#综合厂房等3项、2#厂房等18项（中粮科技园标准厂房及配套附属设施建设项目）出让国有建设用地使用权及在建建筑物房地产</v>
      </c>
      <c r="B4" s="965">
        <f>项目基本情况!C17</f>
        <v>143180.50000000003</v>
      </c>
      <c r="C4" s="965">
        <f>项目基本情况!C18</f>
        <v>68983.08</v>
      </c>
      <c r="D4" s="965">
        <f ca="1">结果表!D118</f>
        <v>21615</v>
      </c>
      <c r="E4" s="965">
        <f ca="1">结果表!E118</f>
        <v>1510</v>
      </c>
      <c r="F4" s="965">
        <f ca="1">结果表!F118</f>
        <v>64502</v>
      </c>
      <c r="G4" s="965">
        <f ca="1">结果表!G118</f>
        <v>4505</v>
      </c>
      <c r="H4" s="965">
        <f ca="1">结果表!H118</f>
        <v>86117</v>
      </c>
      <c r="I4" s="965">
        <f ca="1">结果表!I118</f>
        <v>6015</v>
      </c>
    </row>
    <row r="5" spans="1:9" ht="30" customHeight="1">
      <c r="A5" s="3139" t="s">
        <v>1605</v>
      </c>
      <c r="B5" s="3139"/>
      <c r="C5" s="3139"/>
      <c r="D5" s="3140" t="str">
        <f ca="1">结果表!D119</f>
        <v>贰亿壹仟陆佰壹拾伍万元整</v>
      </c>
      <c r="E5" s="3140"/>
      <c r="F5" s="3140" t="str">
        <f ca="1">结果表!F119</f>
        <v>陆亿肆仟伍佰零贰万元整</v>
      </c>
      <c r="G5" s="3140"/>
      <c r="H5" s="3140" t="str">
        <f ca="1">结果表!H119</f>
        <v>捌亿陆仟壹佰壹拾柒万元整</v>
      </c>
      <c r="I5" s="3140"/>
    </row>
    <row r="6" spans="1:9" ht="15.75">
      <c r="A6" s="3141" t="str">
        <f>结果表!A120</f>
        <v>估价师知悉的法定优先受偿款</v>
      </c>
      <c r="B6" s="3141"/>
      <c r="C6" s="3141"/>
      <c r="D6" s="3141">
        <f>结果表!D120</f>
        <v>0</v>
      </c>
      <c r="E6" s="3141"/>
      <c r="F6" s="3141"/>
      <c r="G6" s="3141"/>
      <c r="H6" s="3141"/>
      <c r="I6" s="3141"/>
    </row>
    <row r="7" spans="1:9" ht="15">
      <c r="A7" s="3139" t="s">
        <v>1605</v>
      </c>
      <c r="B7" s="3139"/>
      <c r="C7" s="3139"/>
      <c r="D7" s="3142" t="str">
        <f>结果表!D121</f>
        <v>零元整</v>
      </c>
      <c r="E7" s="3143"/>
      <c r="F7" s="3143"/>
      <c r="G7" s="3143"/>
      <c r="H7" s="3143"/>
      <c r="I7" s="3144"/>
    </row>
    <row r="8" spans="1:9" ht="15.75">
      <c r="A8" s="3141" t="str">
        <f>结果表!A122</f>
        <v>房地产抵押价值</v>
      </c>
      <c r="B8" s="3141"/>
      <c r="C8" s="3141"/>
      <c r="D8" s="3141">
        <f ca="1">结果表!D122</f>
        <v>86117</v>
      </c>
      <c r="E8" s="3141"/>
      <c r="F8" s="3141"/>
      <c r="G8" s="3141"/>
      <c r="H8" s="3141"/>
      <c r="I8" s="3141"/>
    </row>
    <row r="9" spans="1:9" ht="15">
      <c r="A9" s="3139" t="s">
        <v>1605</v>
      </c>
      <c r="B9" s="3139"/>
      <c r="C9" s="3139"/>
      <c r="D9" s="3140" t="str">
        <f ca="1">结果表!D123</f>
        <v>捌亿陆仟壹佰壹拾柒万元整</v>
      </c>
      <c r="E9" s="3140"/>
      <c r="F9" s="3140"/>
      <c r="G9" s="3140"/>
      <c r="H9" s="3140"/>
      <c r="I9" s="3140"/>
    </row>
    <row r="10" spans="1:9" ht="15.75">
      <c r="A10" s="3141" t="str">
        <f>结果表!A124</f>
        <v/>
      </c>
      <c r="B10" s="3141"/>
      <c r="C10" s="3141"/>
      <c r="D10" s="3141" t="str">
        <f>结果表!D124</f>
        <v>——</v>
      </c>
      <c r="E10" s="3141"/>
      <c r="F10" s="3141"/>
      <c r="G10" s="3141"/>
      <c r="H10" s="3141"/>
      <c r="I10" s="3141"/>
    </row>
    <row r="11" spans="1:9" ht="15">
      <c r="A11" s="3139" t="s">
        <v>1605</v>
      </c>
      <c r="B11" s="3139"/>
      <c r="C11" s="3139"/>
      <c r="D11" s="3140" t="e">
        <f>结果表!D125</f>
        <v>#VALUE!</v>
      </c>
      <c r="E11" s="3140"/>
      <c r="F11" s="3140"/>
      <c r="G11" s="3140"/>
      <c r="H11" s="3140"/>
      <c r="I11" s="3140"/>
    </row>
    <row r="12" spans="1:9" ht="15.75">
      <c r="A12" s="3141" t="str">
        <f>结果表!A126</f>
        <v/>
      </c>
      <c r="B12" s="3141"/>
      <c r="C12" s="3141"/>
      <c r="D12" s="3141" t="str">
        <f>结果表!D126</f>
        <v>——</v>
      </c>
      <c r="E12" s="3141"/>
      <c r="F12" s="3141"/>
      <c r="G12" s="3141"/>
      <c r="H12" s="3141"/>
      <c r="I12" s="3141"/>
    </row>
    <row r="13" spans="1:9" ht="15.75" thickBot="1">
      <c r="A13" s="3145" t="s">
        <v>1605</v>
      </c>
      <c r="B13" s="3145"/>
      <c r="C13" s="3145"/>
      <c r="D13" s="3146" t="e">
        <f>结果表!D127</f>
        <v>#VALUE!</v>
      </c>
      <c r="E13" s="3146"/>
      <c r="F13" s="3146"/>
      <c r="G13" s="3146"/>
      <c r="H13" s="3146"/>
      <c r="I13" s="3146"/>
    </row>
    <row r="14" spans="1:9" ht="15" thickTop="1">
      <c r="A14" s="3147" t="s">
        <v>1610</v>
      </c>
      <c r="B14" s="3147"/>
      <c r="C14" s="3147"/>
      <c r="D14" s="3147"/>
      <c r="E14" s="3147"/>
      <c r="F14" s="3147"/>
      <c r="G14" s="3147"/>
      <c r="H14" s="3147"/>
      <c r="I14" s="3147"/>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topLeftCell="A61" workbookViewId="0">
      <selection activeCell="G98" sqref="G98"/>
    </sheetView>
  </sheetViews>
  <sheetFormatPr defaultRowHeight="13.5"/>
  <cols>
    <col min="1" max="1" width="17.5" customWidth="1"/>
    <col min="2" max="2" width="12.75" bestFit="1" customWidth="1"/>
  </cols>
  <sheetData>
    <row r="1" spans="1:4" ht="13.5" customHeight="1">
      <c r="A1" s="3479" t="s">
        <v>3257</v>
      </c>
      <c r="B1" s="3479" t="s">
        <v>3258</v>
      </c>
      <c r="C1" s="3481" t="s">
        <v>3259</v>
      </c>
    </row>
    <row r="2" spans="1:4" ht="13.5" customHeight="1">
      <c r="A2" s="3480"/>
      <c r="B2" s="3480"/>
      <c r="C2" s="3482"/>
      <c r="D2" s="3037" t="s">
        <v>3281</v>
      </c>
    </row>
    <row r="3" spans="1:4" ht="14.25">
      <c r="A3" s="3091" t="s">
        <v>3185</v>
      </c>
      <c r="B3" s="3092">
        <v>1933.74</v>
      </c>
      <c r="C3" s="3093">
        <v>1.5</v>
      </c>
    </row>
    <row r="4" spans="1:4" ht="14.25">
      <c r="A4" s="3091" t="s">
        <v>3185</v>
      </c>
      <c r="B4" s="3092">
        <v>1933.74</v>
      </c>
      <c r="C4" s="3094">
        <v>1.06</v>
      </c>
    </row>
    <row r="5" spans="1:4" ht="14.25">
      <c r="A5" s="3091" t="s">
        <v>3185</v>
      </c>
      <c r="B5" s="3092">
        <v>1933.74</v>
      </c>
      <c r="C5" s="3093">
        <v>1.17</v>
      </c>
      <c r="D5" s="3109">
        <f>ROUND(C5/C4-1,2)</f>
        <v>0.1</v>
      </c>
    </row>
    <row r="6" spans="1:4" ht="14.25">
      <c r="A6" s="3091" t="s">
        <v>3185</v>
      </c>
      <c r="B6" s="3092">
        <v>1933.74</v>
      </c>
      <c r="C6" s="3093">
        <v>1.29</v>
      </c>
      <c r="D6" s="3109">
        <f>ROUND(C6/C5-1,2)</f>
        <v>0.1</v>
      </c>
    </row>
    <row r="7" spans="1:4" ht="14.25">
      <c r="A7" s="3095" t="s">
        <v>3179</v>
      </c>
      <c r="B7" s="3095">
        <v>544.01</v>
      </c>
      <c r="C7" s="3096">
        <v>1.7</v>
      </c>
    </row>
    <row r="8" spans="1:4" ht="14.25">
      <c r="A8" s="3095" t="s">
        <v>3179</v>
      </c>
      <c r="B8" s="3095">
        <v>544.01</v>
      </c>
      <c r="C8" s="3097">
        <v>1.7</v>
      </c>
      <c r="D8" s="3109"/>
    </row>
    <row r="9" spans="1:4" ht="14.25">
      <c r="A9" s="3095" t="s">
        <v>3179</v>
      </c>
      <c r="B9" s="3095">
        <v>544.01</v>
      </c>
      <c r="C9" s="3097">
        <v>1.7</v>
      </c>
    </row>
    <row r="10" spans="1:4" ht="14.25">
      <c r="A10" s="3098" t="s">
        <v>3260</v>
      </c>
      <c r="B10" s="3098">
        <v>1028.4000000000001</v>
      </c>
      <c r="C10" s="3099">
        <v>1.25</v>
      </c>
    </row>
    <row r="11" spans="1:4" ht="14.25">
      <c r="A11" s="3091" t="s">
        <v>3261</v>
      </c>
      <c r="B11" s="3091">
        <v>349.74</v>
      </c>
      <c r="C11" s="3094">
        <v>1.3125</v>
      </c>
    </row>
    <row r="12" spans="1:4" ht="14.25">
      <c r="A12" s="3091" t="s">
        <v>3261</v>
      </c>
      <c r="B12" s="3091">
        <v>349.74</v>
      </c>
      <c r="C12" s="3093">
        <v>1.378125</v>
      </c>
      <c r="D12" s="3109">
        <f>ROUND(C12/C11-1,2)</f>
        <v>0.05</v>
      </c>
    </row>
    <row r="13" spans="1:4" ht="14.25">
      <c r="A13" s="3100" t="s">
        <v>3262</v>
      </c>
      <c r="B13" s="3100">
        <v>4908.82</v>
      </c>
      <c r="C13" s="3101">
        <v>0.56000010715964277</v>
      </c>
    </row>
    <row r="14" spans="1:4" ht="14.25">
      <c r="A14" s="3100" t="s">
        <v>3262</v>
      </c>
      <c r="B14" s="3100">
        <v>4908.82</v>
      </c>
      <c r="C14" s="3101">
        <v>0.90000035161757763</v>
      </c>
      <c r="D14" s="3109">
        <f>ROUND(C14/C13-1,2)</f>
        <v>0.61</v>
      </c>
    </row>
    <row r="15" spans="1:4" ht="14.25">
      <c r="A15" s="3100" t="s">
        <v>3262</v>
      </c>
      <c r="B15" s="3100">
        <v>4908.82</v>
      </c>
      <c r="C15" s="3101">
        <v>1.8800003996161678</v>
      </c>
      <c r="D15" s="3109">
        <f>ROUND(C15/C14-1,2)</f>
        <v>1.0900000000000001</v>
      </c>
    </row>
    <row r="16" spans="1:4" ht="14.25">
      <c r="A16" s="3091" t="s">
        <v>3164</v>
      </c>
      <c r="B16" s="3102">
        <v>1504.73</v>
      </c>
      <c r="C16" s="3094">
        <v>1.25</v>
      </c>
    </row>
    <row r="17" spans="1:4" ht="14.25">
      <c r="A17" s="3091" t="s">
        <v>3164</v>
      </c>
      <c r="B17" s="3091">
        <v>1504.73</v>
      </c>
      <c r="C17" s="3093">
        <v>1.31</v>
      </c>
      <c r="D17" s="3109">
        <f>ROUND(C17/C16-1,2)</f>
        <v>0.05</v>
      </c>
    </row>
    <row r="18" spans="1:4" ht="14.25">
      <c r="A18" s="3091" t="s">
        <v>3164</v>
      </c>
      <c r="B18" s="3091">
        <v>1504.73</v>
      </c>
      <c r="C18" s="3093">
        <v>1.38</v>
      </c>
      <c r="D18" s="3109">
        <f>ROUND(C18/C17-1,2)</f>
        <v>0.05</v>
      </c>
    </row>
    <row r="19" spans="1:4" ht="14.25">
      <c r="A19" s="3095" t="s">
        <v>3263</v>
      </c>
      <c r="B19" s="3103">
        <v>230.56</v>
      </c>
      <c r="C19" s="3096">
        <v>1.3</v>
      </c>
    </row>
    <row r="20" spans="1:4" ht="14.25">
      <c r="A20" s="3095" t="s">
        <v>3263</v>
      </c>
      <c r="B20" s="3104">
        <v>230.56</v>
      </c>
      <c r="C20" s="3105">
        <v>1.37</v>
      </c>
      <c r="D20" s="3109">
        <f>ROUND(C20/C19-1,2)</f>
        <v>0.05</v>
      </c>
    </row>
    <row r="21" spans="1:4" ht="14.25">
      <c r="A21" s="3095" t="s">
        <v>3263</v>
      </c>
      <c r="B21" s="3095">
        <v>230.56</v>
      </c>
      <c r="C21" s="3097">
        <v>1.44</v>
      </c>
      <c r="D21" s="3109">
        <f>ROUND(C21/C20-1,2)</f>
        <v>0.05</v>
      </c>
    </row>
    <row r="22" spans="1:4" ht="14.25">
      <c r="A22" s="3091" t="s">
        <v>3167</v>
      </c>
      <c r="B22" s="3102">
        <v>2538.83</v>
      </c>
      <c r="C22" s="3094">
        <v>1.3597502907493999</v>
      </c>
    </row>
    <row r="23" spans="1:4" ht="14.25">
      <c r="A23" s="3095" t="s">
        <v>3173</v>
      </c>
      <c r="B23" s="3103">
        <v>2430.77</v>
      </c>
      <c r="C23" s="3096">
        <v>1.3060628408995829</v>
      </c>
    </row>
    <row r="24" spans="1:4" ht="14.25">
      <c r="A24" s="3091" t="s">
        <v>3264</v>
      </c>
      <c r="B24" s="3102">
        <v>30760</v>
      </c>
      <c r="C24" s="3094">
        <v>1.45</v>
      </c>
    </row>
    <row r="25" spans="1:4" ht="14.25">
      <c r="A25" s="3091" t="s">
        <v>3264</v>
      </c>
      <c r="B25" s="3091">
        <v>30760</v>
      </c>
      <c r="C25" s="3093">
        <v>1.45</v>
      </c>
    </row>
    <row r="26" spans="1:4" ht="14.25">
      <c r="A26" s="3095" t="s">
        <v>3151</v>
      </c>
      <c r="B26" s="3103">
        <v>1546.13</v>
      </c>
      <c r="C26" s="3096">
        <v>0.99916666880782057</v>
      </c>
    </row>
    <row r="27" spans="1:4" ht="14.25">
      <c r="A27" s="3095" t="s">
        <v>3151</v>
      </c>
      <c r="B27" s="3095">
        <v>1546.13</v>
      </c>
      <c r="C27" s="3097">
        <v>1.1975000064234615</v>
      </c>
      <c r="D27" s="3109">
        <f>ROUND(C27/C26-1,2)</f>
        <v>0.2</v>
      </c>
    </row>
    <row r="28" spans="1:4" ht="14.25">
      <c r="A28" s="3095" t="s">
        <v>3151</v>
      </c>
      <c r="B28" s="3095">
        <v>1546.13</v>
      </c>
      <c r="C28" s="3097">
        <v>1.3449999995570026</v>
      </c>
      <c r="D28" s="3109">
        <f t="shared" ref="D28:D30" si="0">ROUND(C28/C27-1,2)</f>
        <v>0.12</v>
      </c>
    </row>
    <row r="29" spans="1:4" ht="14.25">
      <c r="A29" s="3095" t="s">
        <v>3151</v>
      </c>
      <c r="B29" s="3095">
        <v>1546.13</v>
      </c>
      <c r="C29" s="3097">
        <v>1.6175000081954514</v>
      </c>
      <c r="D29" s="3109">
        <f t="shared" si="0"/>
        <v>0.2</v>
      </c>
    </row>
    <row r="30" spans="1:4" ht="14.25">
      <c r="A30" s="3095" t="s">
        <v>3151</v>
      </c>
      <c r="B30" s="3095">
        <v>1546.13</v>
      </c>
      <c r="C30" s="3097">
        <v>1.8675000037654774</v>
      </c>
      <c r="D30" s="3109">
        <f t="shared" si="0"/>
        <v>0.15</v>
      </c>
    </row>
    <row r="31" spans="1:4" ht="14.25">
      <c r="A31" s="3091" t="s">
        <v>3265</v>
      </c>
      <c r="B31" s="3102">
        <v>322.44</v>
      </c>
      <c r="C31" s="3094">
        <v>1.0071895291552595</v>
      </c>
    </row>
    <row r="32" spans="1:4" ht="14.25">
      <c r="A32" s="3091" t="s">
        <v>3265</v>
      </c>
      <c r="B32" s="3091">
        <v>322.44</v>
      </c>
      <c r="C32" s="3093">
        <v>1.1173652781105714</v>
      </c>
      <c r="D32" s="3109">
        <f>ROUND(C32/C31-1,2)</f>
        <v>0.11</v>
      </c>
    </row>
    <row r="33" spans="1:4" ht="14.25">
      <c r="A33" s="3091" t="s">
        <v>3265</v>
      </c>
      <c r="B33" s="3091">
        <v>322.44</v>
      </c>
      <c r="C33" s="3093">
        <v>1.3620045271245114</v>
      </c>
      <c r="D33" s="3109">
        <f>ROUND(C33/C32-1,2)</f>
        <v>0.22</v>
      </c>
    </row>
    <row r="34" spans="1:4" ht="14.25">
      <c r="A34" s="3095" t="s">
        <v>3266</v>
      </c>
      <c r="B34" s="3103">
        <v>322.44</v>
      </c>
      <c r="C34" s="3096">
        <v>0.98389038716770916</v>
      </c>
    </row>
    <row r="35" spans="1:4" ht="14.25">
      <c r="A35" s="3095" t="s">
        <v>3266</v>
      </c>
      <c r="B35" s="3095">
        <v>322.44</v>
      </c>
      <c r="C35" s="3097">
        <v>1.1183333248364782</v>
      </c>
      <c r="D35" s="3109">
        <f>ROUND(C35/C34-1,2)</f>
        <v>0.14000000000000001</v>
      </c>
    </row>
    <row r="36" spans="1:4" ht="14.25">
      <c r="A36" s="3095" t="s">
        <v>3266</v>
      </c>
      <c r="B36" s="3095">
        <v>322.44</v>
      </c>
      <c r="C36" s="3097">
        <v>1.4046391980328081</v>
      </c>
      <c r="D36" s="3109">
        <f>ROUND(C36/C35-1,2)</f>
        <v>0.26</v>
      </c>
    </row>
    <row r="37" spans="1:4" ht="14.25">
      <c r="A37" s="3102" t="s">
        <v>3267</v>
      </c>
      <c r="B37" s="3091">
        <v>233.66</v>
      </c>
      <c r="C37" s="3093">
        <v>0.93267128564041657</v>
      </c>
    </row>
    <row r="38" spans="1:4" ht="14.25">
      <c r="A38" s="3095" t="s">
        <v>3148</v>
      </c>
      <c r="B38" s="3103">
        <v>2430.9899999999998</v>
      </c>
      <c r="C38" s="3096">
        <v>1.0266666711746673</v>
      </c>
    </row>
    <row r="39" spans="1:4" ht="14.25">
      <c r="A39" s="3095" t="s">
        <v>3148</v>
      </c>
      <c r="B39" s="3095">
        <v>2430.9899999999998</v>
      </c>
      <c r="C39" s="3097">
        <v>1.1366666615951664</v>
      </c>
      <c r="D39" s="3109">
        <f>ROUND(C39/C38-1,2)</f>
        <v>0.11</v>
      </c>
    </row>
    <row r="40" spans="1:4" ht="14.25">
      <c r="A40" s="3095" t="s">
        <v>3148</v>
      </c>
      <c r="B40" s="3095">
        <v>2430.9899999999998</v>
      </c>
      <c r="C40" s="3097">
        <v>1.3216666618769164</v>
      </c>
      <c r="D40" s="3109">
        <f t="shared" ref="D40:D42" si="1">ROUND(C40/C39-1,2)</f>
        <v>0.16</v>
      </c>
    </row>
    <row r="41" spans="1:4" ht="14.25">
      <c r="A41" s="3095" t="s">
        <v>3148</v>
      </c>
      <c r="B41" s="3095">
        <v>2430.9899999999998</v>
      </c>
      <c r="C41" s="3097">
        <v>1.6950000019722504</v>
      </c>
      <c r="D41" s="3109">
        <f t="shared" si="1"/>
        <v>0.28000000000000003</v>
      </c>
    </row>
    <row r="42" spans="1:4" ht="14.25">
      <c r="A42" s="3095" t="s">
        <v>3148</v>
      </c>
      <c r="B42" s="3095">
        <v>2430.9899999999998</v>
      </c>
      <c r="C42" s="3097">
        <v>1.8850000059167507</v>
      </c>
      <c r="D42" s="3109">
        <f t="shared" si="1"/>
        <v>0.11</v>
      </c>
    </row>
    <row r="43" spans="1:4" ht="14.25">
      <c r="A43" s="3091" t="s">
        <v>3182</v>
      </c>
      <c r="B43" s="3091">
        <v>2758.24</v>
      </c>
      <c r="C43" s="3093">
        <v>0.44166666335570753</v>
      </c>
    </row>
    <row r="44" spans="1:4" ht="14.25">
      <c r="A44" s="3091" t="s">
        <v>3182</v>
      </c>
      <c r="B44" s="3102">
        <v>2758.24</v>
      </c>
      <c r="C44" s="3094">
        <v>1.081666669315434</v>
      </c>
    </row>
    <row r="45" spans="1:4" ht="14.25">
      <c r="A45" s="3091" t="s">
        <v>3182</v>
      </c>
      <c r="B45" s="3091">
        <v>2758.24</v>
      </c>
      <c r="C45" s="3093">
        <v>1.2800000119194532</v>
      </c>
      <c r="D45" s="3109">
        <f>ROUND(C45/C44-1,2)</f>
        <v>0.18</v>
      </c>
    </row>
    <row r="46" spans="1:4" ht="14.25">
      <c r="A46" s="3091" t="s">
        <v>3182</v>
      </c>
      <c r="B46" s="3091">
        <v>2758.24</v>
      </c>
      <c r="C46" s="3093">
        <v>0.77000496445221767</v>
      </c>
      <c r="D46" s="3109"/>
    </row>
    <row r="47" spans="1:4" ht="14.25">
      <c r="A47" s="3095" t="s">
        <v>3268</v>
      </c>
      <c r="B47" s="3103">
        <v>3101.14</v>
      </c>
      <c r="C47" s="3096">
        <v>1.1499999999999999</v>
      </c>
    </row>
    <row r="48" spans="1:4" ht="14.25">
      <c r="A48" s="3095" t="s">
        <v>3268</v>
      </c>
      <c r="B48" s="3095">
        <v>3101.14</v>
      </c>
      <c r="C48" s="3097">
        <v>1.26</v>
      </c>
      <c r="D48" s="3109">
        <f>ROUND(C48/C47-1,2)</f>
        <v>0.1</v>
      </c>
    </row>
    <row r="49" spans="1:4" ht="14.25">
      <c r="A49" s="3095" t="s">
        <v>3268</v>
      </c>
      <c r="B49" s="3095">
        <v>3101.14</v>
      </c>
      <c r="C49" s="3097">
        <v>1.37</v>
      </c>
      <c r="D49" s="3109">
        <f t="shared" ref="D49:D68" si="2">ROUND(C49/C48-1,2)</f>
        <v>0.09</v>
      </c>
    </row>
    <row r="50" spans="1:4" ht="14.25">
      <c r="A50" s="3095" t="s">
        <v>3268</v>
      </c>
      <c r="B50" s="3095">
        <v>3101.14</v>
      </c>
      <c r="C50" s="3097">
        <v>1.63</v>
      </c>
      <c r="D50" s="3109">
        <f t="shared" si="2"/>
        <v>0.19</v>
      </c>
    </row>
    <row r="51" spans="1:4" ht="14.25">
      <c r="A51" s="3095" t="s">
        <v>3268</v>
      </c>
      <c r="B51" s="3095">
        <v>3101.14</v>
      </c>
      <c r="C51" s="3097">
        <v>1.91</v>
      </c>
      <c r="D51" s="3109">
        <f t="shared" si="2"/>
        <v>0.17</v>
      </c>
    </row>
    <row r="52" spans="1:4" ht="14.25">
      <c r="A52" s="3095" t="s">
        <v>3268</v>
      </c>
      <c r="B52" s="3095">
        <v>3101.14</v>
      </c>
      <c r="C52" s="3097">
        <v>1.99</v>
      </c>
      <c r="D52" s="3109">
        <f t="shared" si="2"/>
        <v>0.04</v>
      </c>
    </row>
    <row r="53" spans="1:4" ht="14.25">
      <c r="A53" s="3095" t="s">
        <v>3268</v>
      </c>
      <c r="B53" s="3095">
        <v>3101.14</v>
      </c>
      <c r="C53" s="3097">
        <v>2.0699999999999998</v>
      </c>
      <c r="D53" s="3109">
        <f t="shared" si="2"/>
        <v>0.04</v>
      </c>
    </row>
    <row r="54" spans="1:4" ht="14.25">
      <c r="A54" s="3095" t="s">
        <v>3268</v>
      </c>
      <c r="B54" s="3095">
        <v>3101.14</v>
      </c>
      <c r="C54" s="3097">
        <v>2.15</v>
      </c>
      <c r="D54" s="3109">
        <f t="shared" si="2"/>
        <v>0.04</v>
      </c>
    </row>
    <row r="55" spans="1:4" ht="14.25">
      <c r="A55" s="3095" t="s">
        <v>3268</v>
      </c>
      <c r="B55" s="3095">
        <v>3101.14</v>
      </c>
      <c r="C55" s="3097">
        <v>2.2400000000000002</v>
      </c>
      <c r="D55" s="3109">
        <f t="shared" si="2"/>
        <v>0.04</v>
      </c>
    </row>
    <row r="56" spans="1:4" ht="14.25">
      <c r="A56" s="3095" t="s">
        <v>3268</v>
      </c>
      <c r="B56" s="3095">
        <v>3101.14</v>
      </c>
      <c r="C56" s="3097">
        <v>2.33</v>
      </c>
      <c r="D56" s="3109">
        <f t="shared" si="2"/>
        <v>0.04</v>
      </c>
    </row>
    <row r="57" spans="1:4" ht="14.25">
      <c r="A57" s="3095" t="s">
        <v>3268</v>
      </c>
      <c r="B57" s="3095">
        <v>3101.14</v>
      </c>
      <c r="C57" s="3097">
        <v>2.42</v>
      </c>
      <c r="D57" s="3109">
        <f t="shared" si="2"/>
        <v>0.04</v>
      </c>
    </row>
    <row r="58" spans="1:4" ht="14.25">
      <c r="A58" s="3091" t="s">
        <v>3269</v>
      </c>
      <c r="B58" s="3102">
        <v>1531.22</v>
      </c>
      <c r="C58" s="3094">
        <v>1.1499999999999999</v>
      </c>
    </row>
    <row r="59" spans="1:4" ht="14.25">
      <c r="A59" s="3091" t="s">
        <v>3269</v>
      </c>
      <c r="B59" s="3091">
        <v>1531.22</v>
      </c>
      <c r="C59" s="3093">
        <v>1.26</v>
      </c>
      <c r="D59" s="3109">
        <f t="shared" si="2"/>
        <v>0.1</v>
      </c>
    </row>
    <row r="60" spans="1:4" ht="14.25">
      <c r="A60" s="3091" t="s">
        <v>3269</v>
      </c>
      <c r="B60" s="3091">
        <v>1531.22</v>
      </c>
      <c r="C60" s="3093">
        <v>1.37</v>
      </c>
      <c r="D60" s="3109">
        <f t="shared" si="2"/>
        <v>0.09</v>
      </c>
    </row>
    <row r="61" spans="1:4" ht="14.25">
      <c r="A61" s="3091" t="s">
        <v>3269</v>
      </c>
      <c r="B61" s="3091">
        <v>1531.22</v>
      </c>
      <c r="C61" s="3093">
        <v>1.63</v>
      </c>
      <c r="D61" s="3109">
        <f t="shared" si="2"/>
        <v>0.19</v>
      </c>
    </row>
    <row r="62" spans="1:4" ht="14.25">
      <c r="A62" s="3091" t="s">
        <v>3269</v>
      </c>
      <c r="B62" s="3091">
        <v>1531.22</v>
      </c>
      <c r="C62" s="3093">
        <v>1.91</v>
      </c>
      <c r="D62" s="3109">
        <f t="shared" si="2"/>
        <v>0.17</v>
      </c>
    </row>
    <row r="63" spans="1:4" ht="14.25">
      <c r="A63" s="3091" t="s">
        <v>3269</v>
      </c>
      <c r="B63" s="3091">
        <v>1531.22</v>
      </c>
      <c r="C63" s="3093">
        <v>1.99</v>
      </c>
      <c r="D63" s="3109">
        <f t="shared" si="2"/>
        <v>0.04</v>
      </c>
    </row>
    <row r="64" spans="1:4" ht="14.25">
      <c r="A64" s="3091" t="s">
        <v>3269</v>
      </c>
      <c r="B64" s="3091">
        <v>1531.22</v>
      </c>
      <c r="C64" s="3093">
        <v>2.0699999999999998</v>
      </c>
      <c r="D64" s="3109">
        <f t="shared" si="2"/>
        <v>0.04</v>
      </c>
    </row>
    <row r="65" spans="1:4" ht="14.25">
      <c r="A65" s="3091" t="s">
        <v>3269</v>
      </c>
      <c r="B65" s="3091">
        <v>1531.22</v>
      </c>
      <c r="C65" s="3093">
        <v>2.15</v>
      </c>
      <c r="D65" s="3109">
        <f t="shared" si="2"/>
        <v>0.04</v>
      </c>
    </row>
    <row r="66" spans="1:4" ht="14.25">
      <c r="A66" s="3091" t="s">
        <v>3269</v>
      </c>
      <c r="B66" s="3091">
        <v>1531.22</v>
      </c>
      <c r="C66" s="3093">
        <v>2.2400000000000002</v>
      </c>
      <c r="D66" s="3109">
        <f t="shared" si="2"/>
        <v>0.04</v>
      </c>
    </row>
    <row r="67" spans="1:4" ht="14.25">
      <c r="A67" s="3091" t="s">
        <v>3269</v>
      </c>
      <c r="B67" s="3091">
        <v>1531.22</v>
      </c>
      <c r="C67" s="3093">
        <v>2.33</v>
      </c>
      <c r="D67" s="3109">
        <f t="shared" si="2"/>
        <v>0.04</v>
      </c>
    </row>
    <row r="68" spans="1:4" ht="14.25">
      <c r="A68" s="3091" t="s">
        <v>3269</v>
      </c>
      <c r="B68" s="3091">
        <v>1531.22</v>
      </c>
      <c r="C68" s="3093">
        <v>2.42</v>
      </c>
      <c r="D68" s="3109">
        <f t="shared" si="2"/>
        <v>0.04</v>
      </c>
    </row>
    <row r="69" spans="1:4" ht="14.25">
      <c r="A69" s="3100" t="s">
        <v>3270</v>
      </c>
      <c r="B69" s="3106">
        <v>230.56</v>
      </c>
      <c r="C69" s="3107">
        <v>1.06</v>
      </c>
    </row>
    <row r="70" spans="1:4" ht="14.25">
      <c r="A70" s="3103" t="s">
        <v>3271</v>
      </c>
      <c r="B70" s="3095">
        <v>601.54999999999995</v>
      </c>
      <c r="C70" s="3097">
        <v>0.96</v>
      </c>
    </row>
    <row r="71" spans="1:4" ht="14.25">
      <c r="A71" s="3095" t="s">
        <v>3271</v>
      </c>
      <c r="B71" s="3095">
        <v>601.54999999999995</v>
      </c>
      <c r="C71" s="3097">
        <v>1.06</v>
      </c>
      <c r="D71" s="3109">
        <f t="shared" ref="D71:D74" si="3">ROUND(C71/C70-1,2)</f>
        <v>0.1</v>
      </c>
    </row>
    <row r="72" spans="1:4" ht="14.25">
      <c r="A72" s="3095" t="s">
        <v>3271</v>
      </c>
      <c r="B72" s="3095">
        <v>601.54999999999995</v>
      </c>
      <c r="C72" s="3097">
        <v>1.17</v>
      </c>
      <c r="D72" s="3109">
        <f t="shared" si="3"/>
        <v>0.1</v>
      </c>
    </row>
    <row r="73" spans="1:4" ht="14.25">
      <c r="A73" s="3095" t="s">
        <v>3271</v>
      </c>
      <c r="B73" s="3095">
        <v>601.54999999999995</v>
      </c>
      <c r="C73" s="3097">
        <v>1.4</v>
      </c>
      <c r="D73" s="3109">
        <f t="shared" si="3"/>
        <v>0.2</v>
      </c>
    </row>
    <row r="74" spans="1:4" ht="14.25">
      <c r="A74" s="3095" t="s">
        <v>3271</v>
      </c>
      <c r="B74" s="3095">
        <v>601.54999999999995</v>
      </c>
      <c r="C74" s="3097">
        <v>1.68</v>
      </c>
      <c r="D74" s="3109">
        <f t="shared" si="3"/>
        <v>0.2</v>
      </c>
    </row>
    <row r="75" spans="1:4" ht="14.25">
      <c r="A75" s="3095" t="s">
        <v>3271</v>
      </c>
      <c r="B75" s="3095">
        <v>601.54999999999995</v>
      </c>
      <c r="C75" s="3097">
        <v>1.75</v>
      </c>
    </row>
    <row r="76" spans="1:4" ht="14.25">
      <c r="A76" s="3091" t="s">
        <v>3272</v>
      </c>
      <c r="B76" s="3102">
        <v>31.5</v>
      </c>
      <c r="C76" s="3094">
        <v>3.6529680365296802</v>
      </c>
    </row>
    <row r="77" spans="1:4" ht="14.25">
      <c r="A77" s="3091" t="s">
        <v>3272</v>
      </c>
      <c r="B77" s="3091">
        <v>31.5</v>
      </c>
      <c r="C77" s="3093">
        <v>4.0182648401826482</v>
      </c>
      <c r="D77" s="3109">
        <f t="shared" ref="D77" si="4">ROUND(C77/C76-1,2)</f>
        <v>0.1</v>
      </c>
    </row>
    <row r="78" spans="1:4" ht="14.25">
      <c r="A78" s="3108" t="s">
        <v>3273</v>
      </c>
      <c r="B78" s="3095"/>
      <c r="C78" s="3097"/>
    </row>
    <row r="79" spans="1:4" ht="14.25">
      <c r="A79" s="3108" t="s">
        <v>3274</v>
      </c>
      <c r="B79" s="3095"/>
      <c r="C79" s="3097"/>
    </row>
    <row r="80" spans="1:4" ht="14.25">
      <c r="A80" s="3108" t="s">
        <v>3275</v>
      </c>
      <c r="B80" s="3095"/>
      <c r="C80" s="3097"/>
    </row>
    <row r="81" spans="1:4" ht="14.25">
      <c r="A81" s="3108" t="s">
        <v>3276</v>
      </c>
      <c r="B81" s="3095"/>
      <c r="C81" s="3097"/>
    </row>
    <row r="82" spans="1:4" ht="14.25">
      <c r="A82" s="3108" t="s">
        <v>3277</v>
      </c>
      <c r="B82" s="3095"/>
      <c r="C82" s="3097"/>
    </row>
    <row r="83" spans="1:4" ht="14.25">
      <c r="A83" s="3091" t="s">
        <v>3160</v>
      </c>
      <c r="B83" s="3102">
        <v>3094.55</v>
      </c>
      <c r="C83" s="3094">
        <v>1.06</v>
      </c>
    </row>
    <row r="84" spans="1:4" ht="14.25">
      <c r="A84" s="3091" t="s">
        <v>3160</v>
      </c>
      <c r="B84" s="3091">
        <v>3094.55</v>
      </c>
      <c r="C84" s="3093">
        <v>1.17</v>
      </c>
      <c r="D84" s="3109">
        <f t="shared" ref="D84:D105" si="5">ROUND(C84/C83-1,2)</f>
        <v>0.1</v>
      </c>
    </row>
    <row r="85" spans="1:4" ht="14.25">
      <c r="A85" s="3091" t="s">
        <v>3160</v>
      </c>
      <c r="B85" s="3091">
        <v>3094.55</v>
      </c>
      <c r="C85" s="3093">
        <v>1.28</v>
      </c>
      <c r="D85" s="3109">
        <f t="shared" si="5"/>
        <v>0.09</v>
      </c>
    </row>
    <row r="86" spans="1:4" ht="14.25">
      <c r="A86" s="3095" t="s">
        <v>3278</v>
      </c>
      <c r="B86" s="3103">
        <v>3025.67</v>
      </c>
      <c r="C86" s="3096">
        <v>1.1499999999999999</v>
      </c>
    </row>
    <row r="87" spans="1:4" ht="14.25">
      <c r="A87" s="3095" t="s">
        <v>3278</v>
      </c>
      <c r="B87" s="3095">
        <v>3025.67</v>
      </c>
      <c r="C87" s="3097">
        <v>1.26</v>
      </c>
      <c r="D87" s="3109">
        <f t="shared" si="5"/>
        <v>0.1</v>
      </c>
    </row>
    <row r="88" spans="1:4" ht="14.25">
      <c r="A88" s="3095" t="s">
        <v>3278</v>
      </c>
      <c r="B88" s="3095">
        <v>3025.67</v>
      </c>
      <c r="C88" s="3097">
        <v>1.37</v>
      </c>
      <c r="D88" s="3109">
        <f t="shared" si="5"/>
        <v>0.09</v>
      </c>
    </row>
    <row r="89" spans="1:4" ht="14.25">
      <c r="A89" s="3095" t="s">
        <v>3278</v>
      </c>
      <c r="B89" s="3095">
        <v>3025.67</v>
      </c>
      <c r="C89" s="3097">
        <v>1.63</v>
      </c>
      <c r="D89" s="3109">
        <f t="shared" si="5"/>
        <v>0.19</v>
      </c>
    </row>
    <row r="90" spans="1:4" ht="14.25">
      <c r="A90" s="3095" t="s">
        <v>3278</v>
      </c>
      <c r="B90" s="3095">
        <v>3025.67</v>
      </c>
      <c r="C90" s="3097">
        <v>1.91</v>
      </c>
      <c r="D90" s="3109">
        <f t="shared" si="5"/>
        <v>0.17</v>
      </c>
    </row>
    <row r="91" spans="1:4" ht="14.25">
      <c r="A91" s="3095" t="s">
        <v>3278</v>
      </c>
      <c r="B91" s="3095">
        <v>3025.67</v>
      </c>
      <c r="C91" s="3097">
        <v>1.99</v>
      </c>
      <c r="D91" s="3109">
        <f t="shared" si="5"/>
        <v>0.04</v>
      </c>
    </row>
    <row r="92" spans="1:4" ht="14.25">
      <c r="A92" s="3095" t="s">
        <v>3278</v>
      </c>
      <c r="B92" s="3095">
        <v>3025.67</v>
      </c>
      <c r="C92" s="3097">
        <v>2.0699999999999998</v>
      </c>
      <c r="D92" s="3109">
        <f t="shared" si="5"/>
        <v>0.04</v>
      </c>
    </row>
    <row r="93" spans="1:4" ht="14.25">
      <c r="A93" s="3095" t="s">
        <v>3278</v>
      </c>
      <c r="B93" s="3095">
        <v>3025.67</v>
      </c>
      <c r="C93" s="3097">
        <v>2.15</v>
      </c>
      <c r="D93" s="3109">
        <f t="shared" si="5"/>
        <v>0.04</v>
      </c>
    </row>
    <row r="94" spans="1:4" ht="14.25">
      <c r="A94" s="3095" t="s">
        <v>3278</v>
      </c>
      <c r="B94" s="3095">
        <v>3025.67</v>
      </c>
      <c r="C94" s="3097">
        <v>2.2400000000000002</v>
      </c>
      <c r="D94" s="3109">
        <f t="shared" si="5"/>
        <v>0.04</v>
      </c>
    </row>
    <row r="95" spans="1:4" ht="14.25">
      <c r="A95" s="3095" t="s">
        <v>3278</v>
      </c>
      <c r="B95" s="3095">
        <v>3025.67</v>
      </c>
      <c r="C95" s="3097">
        <v>2.33</v>
      </c>
      <c r="D95" s="3109">
        <f t="shared" si="5"/>
        <v>0.04</v>
      </c>
    </row>
    <row r="96" spans="1:4" ht="14.25">
      <c r="A96" s="3095" t="s">
        <v>3278</v>
      </c>
      <c r="B96" s="3095">
        <v>3025.67</v>
      </c>
      <c r="C96" s="3097">
        <v>2.42</v>
      </c>
      <c r="D96" s="3109">
        <f t="shared" si="5"/>
        <v>0.04</v>
      </c>
    </row>
    <row r="97" spans="1:4" ht="14.25">
      <c r="A97" s="3102" t="s">
        <v>3279</v>
      </c>
      <c r="B97" s="3102">
        <v>397.01</v>
      </c>
      <c r="C97" s="3094">
        <v>0.96</v>
      </c>
    </row>
    <row r="98" spans="1:4" ht="14.25">
      <c r="A98" s="3091" t="s">
        <v>3279</v>
      </c>
      <c r="B98" s="3091">
        <v>397.01</v>
      </c>
      <c r="C98" s="3093">
        <v>1.06</v>
      </c>
      <c r="D98" s="3109">
        <f t="shared" si="5"/>
        <v>0.1</v>
      </c>
    </row>
    <row r="99" spans="1:4" ht="14.25">
      <c r="A99" s="3091" t="s">
        <v>3279</v>
      </c>
      <c r="B99" s="3091">
        <v>397.01</v>
      </c>
      <c r="C99" s="3093">
        <v>1.17</v>
      </c>
      <c r="D99" s="3109">
        <f t="shared" si="5"/>
        <v>0.1</v>
      </c>
    </row>
    <row r="100" spans="1:4" ht="14.25">
      <c r="A100" s="3091" t="s">
        <v>3279</v>
      </c>
      <c r="B100" s="3091">
        <v>397.01</v>
      </c>
      <c r="C100" s="3093">
        <v>1.4</v>
      </c>
      <c r="D100" s="3109">
        <f t="shared" si="5"/>
        <v>0.2</v>
      </c>
    </row>
    <row r="101" spans="1:4" ht="14.25">
      <c r="A101" s="3091" t="s">
        <v>3279</v>
      </c>
      <c r="B101" s="3091">
        <v>397.01</v>
      </c>
      <c r="C101" s="3093">
        <v>1.68</v>
      </c>
      <c r="D101" s="3109">
        <f t="shared" si="5"/>
        <v>0.2</v>
      </c>
    </row>
    <row r="102" spans="1:4" ht="14.25">
      <c r="A102" s="3091" t="s">
        <v>3279</v>
      </c>
      <c r="B102" s="3091">
        <v>397.01</v>
      </c>
      <c r="C102" s="3093">
        <v>1.75</v>
      </c>
      <c r="D102" s="3109">
        <f t="shared" si="5"/>
        <v>0.04</v>
      </c>
    </row>
    <row r="103" spans="1:4" ht="14.25">
      <c r="A103" s="3095" t="s">
        <v>3280</v>
      </c>
      <c r="B103" s="3103">
        <v>42.8</v>
      </c>
      <c r="C103" s="3096">
        <v>1.53</v>
      </c>
    </row>
    <row r="104" spans="1:4" ht="14.25">
      <c r="A104" s="3095" t="s">
        <v>3280</v>
      </c>
      <c r="B104" s="3095">
        <v>42.8</v>
      </c>
      <c r="C104" s="3097">
        <v>1.61</v>
      </c>
      <c r="D104" s="3109">
        <f t="shared" si="5"/>
        <v>0.05</v>
      </c>
    </row>
    <row r="105" spans="1:4" ht="14.25">
      <c r="A105" s="3095" t="s">
        <v>3280</v>
      </c>
      <c r="B105" s="3095">
        <v>42.8</v>
      </c>
      <c r="C105" s="3097">
        <v>1.77</v>
      </c>
      <c r="D105" s="3109">
        <f t="shared" si="5"/>
        <v>0.1</v>
      </c>
    </row>
    <row r="106" spans="1:4">
      <c r="B106" s="3110">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48" t="s">
        <v>1627</v>
      </c>
      <c r="B1" s="3148"/>
      <c r="C1" s="3148"/>
      <c r="D1" s="3148"/>
    </row>
    <row r="2" spans="1:4" ht="18">
      <c r="A2" s="3149" t="s">
        <v>1611</v>
      </c>
      <c r="B2" s="3149"/>
      <c r="C2" s="3149"/>
      <c r="D2" s="3149"/>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49" t="s">
        <v>1617</v>
      </c>
      <c r="B6" s="3149"/>
      <c r="C6" s="3149"/>
      <c r="D6" s="3149"/>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0"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2"/>
      <c r="C12" s="3152"/>
      <c r="D12" s="3152"/>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2"/>
      <c r="C13" s="3152"/>
      <c r="D13" s="3152"/>
    </row>
    <row r="14" spans="1:4" ht="15.75" customHeight="1">
      <c r="A14" s="3151" t="str">
        <f>IF(项目基本情况!B8="抵押","4.本次评估估价师所知悉的法定优先受偿款情况说明如下：","——")</f>
        <v>4.本次评估估价师所知悉的法定优先受偿款情况说明如下：</v>
      </c>
      <c r="B14" s="3152"/>
      <c r="C14" s="3152"/>
      <c r="D14" s="3152"/>
    </row>
    <row r="15" spans="1:4" ht="42" customHeight="1">
      <c r="A15" s="315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4" t="s">
        <v>1621</v>
      </c>
      <c r="B16" s="3154"/>
      <c r="C16" s="3154"/>
      <c r="D16" s="3154"/>
    </row>
    <row r="17" spans="1:4" ht="144" customHeight="1">
      <c r="A17" s="3154" t="s">
        <v>1622</v>
      </c>
      <c r="B17" s="3154"/>
      <c r="C17" s="3154"/>
      <c r="D17" s="3154"/>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1"/>
      <c r="C20" s="3151"/>
      <c r="D20" s="3151"/>
    </row>
    <row r="21" spans="1:4" ht="57.75" customHeight="1">
      <c r="A21" s="31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5"/>
      <c r="C21" s="3155"/>
      <c r="D21" s="3155"/>
    </row>
    <row r="22" spans="1:4" ht="18.75" customHeight="1">
      <c r="A22" s="3156" t="s">
        <v>1623</v>
      </c>
      <c r="B22" s="3156"/>
      <c r="C22" s="3156"/>
      <c r="D22" s="3156"/>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3">
        <v>42551</v>
      </c>
      <c r="D31" s="31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2" t="s">
        <v>1634</v>
      </c>
      <c r="B15" s="3157" t="s">
        <v>136</v>
      </c>
      <c r="C15" s="3158"/>
    </row>
    <row r="16" spans="1:7" ht="13.5">
      <c r="A16" s="3163"/>
      <c r="B16" s="3157" t="s">
        <v>69</v>
      </c>
      <c r="C16" s="3158"/>
    </row>
    <row r="17" spans="1:3" ht="13.5">
      <c r="A17" s="3163"/>
      <c r="B17" s="3160" t="s">
        <v>1635</v>
      </c>
      <c r="C17" s="1720" t="s">
        <v>1634</v>
      </c>
    </row>
    <row r="18" spans="1:3" ht="13.5">
      <c r="A18" s="3163"/>
      <c r="B18" s="3160"/>
      <c r="C18" s="1720" t="s">
        <v>1636</v>
      </c>
    </row>
    <row r="19" spans="1:3" ht="13.5">
      <c r="A19" s="3163"/>
      <c r="B19" s="3160"/>
      <c r="C19" s="1720" t="s">
        <v>1637</v>
      </c>
    </row>
    <row r="20" spans="1:3" ht="13.5">
      <c r="A20" s="3164"/>
      <c r="B20" s="3159" t="s">
        <v>1638</v>
      </c>
      <c r="C20" s="3158"/>
    </row>
    <row r="21" spans="1:3" ht="13.5">
      <c r="A21" s="1721" t="s">
        <v>1639</v>
      </c>
      <c r="B21" s="1722"/>
      <c r="C21" s="1723"/>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20" t="s">
        <v>1645</v>
      </c>
    </row>
    <row r="26" spans="1:3" ht="13.5">
      <c r="A26" s="3161"/>
      <c r="B26" s="3160"/>
      <c r="C26" s="1720" t="s">
        <v>1646</v>
      </c>
    </row>
    <row r="27" spans="1:3" ht="13.5">
      <c r="A27" s="3161"/>
      <c r="B27" s="3160"/>
      <c r="C27" s="1720" t="s">
        <v>1647</v>
      </c>
    </row>
    <row r="28" spans="1:3" ht="13.5">
      <c r="A28" s="3161"/>
      <c r="B28" s="3160"/>
      <c r="C28" s="1720" t="s">
        <v>1648</v>
      </c>
    </row>
    <row r="29" spans="1:3" ht="13.5">
      <c r="A29" s="3161"/>
      <c r="B29" s="3160"/>
      <c r="C29" s="1720" t="s">
        <v>1649</v>
      </c>
    </row>
    <row r="30" spans="1:3" ht="13.5">
      <c r="A30" s="3161"/>
      <c r="B30" s="3160"/>
      <c r="C30" s="1720" t="s">
        <v>1650</v>
      </c>
    </row>
    <row r="31" spans="1:3" ht="13.5">
      <c r="A31" s="3161"/>
      <c r="B31" s="3160"/>
      <c r="C31" s="1720" t="s">
        <v>1651</v>
      </c>
    </row>
    <row r="32" spans="1:3" ht="13.5">
      <c r="A32" s="3161"/>
      <c r="B32" s="3160"/>
      <c r="C32" s="1720" t="s">
        <v>1652</v>
      </c>
    </row>
    <row r="33" spans="1:3" ht="13.5">
      <c r="A33" s="3161"/>
      <c r="B33" s="3160"/>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2889</v>
      </c>
      <c r="B2" s="2564">
        <f ca="1">TODAY()</f>
        <v>44166</v>
      </c>
      <c r="C2" s="2565" t="s">
        <v>2890</v>
      </c>
      <c r="D2" s="2565"/>
      <c r="E2" s="2565"/>
      <c r="F2" s="2561"/>
      <c r="G2" s="2561"/>
      <c r="H2" s="2561"/>
    </row>
    <row r="3" spans="1:8" ht="24" customHeight="1">
      <c r="A3" s="2566" t="s">
        <v>2891</v>
      </c>
      <c r="B3" s="2567" t="s">
        <v>2892</v>
      </c>
      <c r="C3" s="2567" t="s">
        <v>2893</v>
      </c>
      <c r="D3" s="2568" t="s">
        <v>2894</v>
      </c>
      <c r="E3" s="2569" t="s">
        <v>2895</v>
      </c>
      <c r="F3" s="1475" t="s">
        <v>2896</v>
      </c>
      <c r="G3" s="2567" t="s">
        <v>2893</v>
      </c>
      <c r="H3" s="2568" t="s">
        <v>2897</v>
      </c>
    </row>
    <row r="4" spans="1:8" ht="24" customHeight="1">
      <c r="A4" s="1475" t="s">
        <v>2898</v>
      </c>
      <c r="B4" s="1475">
        <f ca="1">IF(C4&lt;B2,"已过期",1119970066)</f>
        <v>1119970066</v>
      </c>
      <c r="C4" s="2570">
        <v>44876</v>
      </c>
      <c r="D4" s="2571" t="str">
        <f ca="1">A4&amp;"（注册号："&amp;B4&amp;"）"</f>
        <v>梁津（注册号：1119970066）</v>
      </c>
      <c r="E4" s="2572" t="s">
        <v>2898</v>
      </c>
      <c r="F4" s="1475">
        <f ca="1">IF(G4&lt;B2,"已过期",96010014)</f>
        <v>96010014</v>
      </c>
      <c r="G4" s="2573">
        <v>47118</v>
      </c>
      <c r="H4" s="2574" t="str">
        <f ca="1">E4&amp;"（注册号："&amp;F4&amp;"）"</f>
        <v>梁津（注册号：96010014）</v>
      </c>
    </row>
    <row r="5" spans="1:8" ht="24" customHeight="1">
      <c r="A5" s="1475" t="s">
        <v>2899</v>
      </c>
      <c r="B5" s="1475">
        <f ca="1">IF(C5&lt;B2,"已过期",1119970111)</f>
        <v>1119970111</v>
      </c>
      <c r="C5" s="2570">
        <v>44876</v>
      </c>
      <c r="D5" s="2571" t="str">
        <f t="shared" ref="D5:D15" ca="1" si="0">A5&amp;"（注册号："&amp;B5&amp;"）"</f>
        <v>叶凌（注册号：1119970111）</v>
      </c>
      <c r="E5" s="2572" t="s">
        <v>2899</v>
      </c>
      <c r="F5" s="1475">
        <f ca="1">IF(G5&lt;B2,"已过期",94010078)</f>
        <v>94010078</v>
      </c>
      <c r="G5" s="2573">
        <v>46387</v>
      </c>
      <c r="H5" s="2574" t="str">
        <f t="shared" ref="H5:H16" ca="1" si="1">E5&amp;"（注册号："&amp;F5&amp;"）"</f>
        <v>叶凌（注册号：94010078）</v>
      </c>
    </row>
    <row r="6" spans="1:8" ht="24" customHeight="1">
      <c r="A6" s="1475" t="s">
        <v>2900</v>
      </c>
      <c r="B6" s="1475">
        <f ca="1">IF(C6&lt;B2,"已过期",1120050019)</f>
        <v>1120050019</v>
      </c>
      <c r="C6" s="2570">
        <v>44395</v>
      </c>
      <c r="D6" s="2571" t="str">
        <f t="shared" ca="1" si="0"/>
        <v>王鹏（注册号：1120050019）</v>
      </c>
      <c r="E6" s="2572" t="s">
        <v>2900</v>
      </c>
      <c r="F6" s="1475">
        <f ca="1">IF(G6&lt;B2,"已过期",2002110030)</f>
        <v>2002110030</v>
      </c>
      <c r="G6" s="2573">
        <v>46387</v>
      </c>
      <c r="H6" s="2574" t="str">
        <f t="shared" ca="1" si="1"/>
        <v>王鹏（注册号：2002110030）</v>
      </c>
    </row>
    <row r="7" spans="1:8" ht="24" customHeight="1">
      <c r="A7" s="1475" t="s">
        <v>2901</v>
      </c>
      <c r="B7" s="1475">
        <f ca="1">IF(C7&lt;B2,"已过期",1120000080)</f>
        <v>1120000080</v>
      </c>
      <c r="C7" s="2570">
        <v>44876</v>
      </c>
      <c r="D7" s="2571" t="str">
        <f t="shared" ca="1" si="0"/>
        <v>欧红伟（注册号：1120000080）</v>
      </c>
      <c r="E7" s="2572" t="s">
        <v>2901</v>
      </c>
      <c r="F7" s="1475">
        <f ca="1">IF(G7&lt;B2,"已过期",2000110082)</f>
        <v>2000110082</v>
      </c>
      <c r="G7" s="2573">
        <v>46387</v>
      </c>
      <c r="H7" s="2574" t="str">
        <f t="shared" ca="1" si="1"/>
        <v>欧红伟（注册号：2000110082）</v>
      </c>
    </row>
    <row r="8" spans="1:8" ht="24" customHeight="1">
      <c r="A8" s="1475" t="s">
        <v>2902</v>
      </c>
      <c r="B8" s="1475">
        <f ca="1">IF(C8&lt;B2,"已过期",1419970001)</f>
        <v>1419970001</v>
      </c>
      <c r="C8" s="2570">
        <v>44899</v>
      </c>
      <c r="D8" s="2571" t="str">
        <f t="shared" ca="1" si="0"/>
        <v>吴薇（注册号：1419970001）</v>
      </c>
      <c r="E8" s="2572" t="s">
        <v>2902</v>
      </c>
      <c r="F8" s="1475">
        <f ca="1">IF(G8&lt;B2,"已过期",2002110125)</f>
        <v>2002110125</v>
      </c>
      <c r="G8" s="2573">
        <v>47118</v>
      </c>
      <c r="H8" s="2574" t="str">
        <f t="shared" ca="1" si="1"/>
        <v>吴薇（注册号：2002110125）</v>
      </c>
    </row>
    <row r="9" spans="1:8" ht="24" customHeight="1">
      <c r="A9" s="1475" t="s">
        <v>2903</v>
      </c>
      <c r="B9" s="1475">
        <f ca="1">IF(C9&lt;B2,"已过期",1120060040)</f>
        <v>1120060040</v>
      </c>
      <c r="C9" s="2575">
        <v>44554</v>
      </c>
      <c r="D9" s="2571" t="str">
        <f t="shared" ca="1" si="0"/>
        <v>陈颖（注册号：1120060040）</v>
      </c>
      <c r="E9" s="2572" t="s">
        <v>2903</v>
      </c>
      <c r="F9" s="1475">
        <f ca="1">IF(G9&lt;B2,"已过期",2004110096)</f>
        <v>2004110096</v>
      </c>
      <c r="G9" s="2573">
        <v>47118</v>
      </c>
      <c r="H9" s="2574" t="str">
        <f t="shared" ca="1" si="1"/>
        <v>陈颖（注册号：2004110096）</v>
      </c>
    </row>
    <row r="10" spans="1:8" ht="24" customHeight="1">
      <c r="A10" s="1475" t="s">
        <v>2904</v>
      </c>
      <c r="B10" s="1475">
        <f ca="1">IF(C10&lt;B2,"已过期",1120100036)</f>
        <v>1120100036</v>
      </c>
      <c r="C10" s="2575">
        <v>44675</v>
      </c>
      <c r="D10" s="2571" t="str">
        <f t="shared" ca="1" si="0"/>
        <v>崔锴（注册号：1120100036）</v>
      </c>
      <c r="E10" s="2572" t="s">
        <v>2904</v>
      </c>
      <c r="F10" s="1475">
        <f ca="1">IF(G10&lt;B2,"已过期",2010110070)</f>
        <v>2010110070</v>
      </c>
      <c r="G10" s="2573">
        <v>47907</v>
      </c>
      <c r="H10" s="2574" t="str">
        <f t="shared" ca="1" si="1"/>
        <v>崔锴（注册号：2010110070）</v>
      </c>
    </row>
    <row r="11" spans="1:8" ht="24" customHeight="1">
      <c r="A11" s="1475" t="s">
        <v>2905</v>
      </c>
      <c r="B11" s="1475">
        <f ca="1">IF(C11&lt;B2,"已过期",1120070131)</f>
        <v>1120070131</v>
      </c>
      <c r="C11" s="2570">
        <v>44849</v>
      </c>
      <c r="D11" s="2571" t="str">
        <f t="shared" ca="1" si="0"/>
        <v>郑燚（注册号：1120070131）</v>
      </c>
      <c r="E11" s="2572" t="s">
        <v>2905</v>
      </c>
      <c r="F11" s="1475">
        <f ca="1">IF(G11&lt;B2,"已过期",2014110011)</f>
        <v>2014110011</v>
      </c>
      <c r="G11" s="2573">
        <v>49302</v>
      </c>
      <c r="H11" s="2574" t="str">
        <f t="shared" ca="1" si="1"/>
        <v>郑燚（注册号：2014110011）</v>
      </c>
    </row>
    <row r="12" spans="1:8" ht="24" customHeight="1">
      <c r="A12" s="1475" t="s">
        <v>2906</v>
      </c>
      <c r="B12" s="1475">
        <f ca="1">IF(C12&lt;B2,"已过期",1120040230)</f>
        <v>1120040230</v>
      </c>
      <c r="C12" s="2575">
        <v>44864</v>
      </c>
      <c r="D12" s="2571" t="str">
        <f t="shared" ca="1" si="0"/>
        <v>苏海（注册号：1120040230）</v>
      </c>
      <c r="E12" s="2572" t="s">
        <v>2906</v>
      </c>
      <c r="F12" s="1475">
        <f ca="1">IF(G12&lt;B2,"已过期",98030020)</f>
        <v>98030020</v>
      </c>
      <c r="G12" s="2573">
        <v>47118</v>
      </c>
      <c r="H12" s="2574" t="str">
        <f t="shared" ca="1" si="1"/>
        <v>苏海（注册号：98030020）</v>
      </c>
    </row>
    <row r="13" spans="1:8" ht="24" customHeight="1">
      <c r="A13" s="1475" t="s">
        <v>2907</v>
      </c>
      <c r="B13" s="1475">
        <f ca="1">IF(C13&lt;B2,"已过期",1120020033)</f>
        <v>1120020033</v>
      </c>
      <c r="C13" s="2570">
        <v>44339</v>
      </c>
      <c r="D13" s="2571" t="str">
        <f t="shared" ca="1" si="0"/>
        <v>刘敬东（注册号：1120020033）</v>
      </c>
      <c r="E13" s="2572" t="s">
        <v>2907</v>
      </c>
      <c r="F13" s="1475">
        <f ca="1">IF(G13&lt;B2,"已过期",2000110137)</f>
        <v>2000110137</v>
      </c>
      <c r="G13" s="2573">
        <v>46387</v>
      </c>
      <c r="H13" s="2574" t="str">
        <f t="shared" ca="1" si="1"/>
        <v>刘敬东（注册号：2000110137）</v>
      </c>
    </row>
    <row r="14" spans="1:8" ht="24" customHeight="1">
      <c r="A14" s="1475" t="s">
        <v>2908</v>
      </c>
      <c r="B14" s="1475">
        <f ca="1">IF(C14&lt;B2,"已过期",1119980106)</f>
        <v>1119980106</v>
      </c>
      <c r="C14" s="2575">
        <v>44969</v>
      </c>
      <c r="D14" s="2571" t="str">
        <f t="shared" ca="1" si="0"/>
        <v>刘俊财（注册号：1119980106）</v>
      </c>
      <c r="E14" s="2572" t="s">
        <v>2908</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2909</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65" t="s">
        <v>2910</v>
      </c>
      <c r="B17" s="3165"/>
      <c r="C17" s="3165"/>
      <c r="D17" s="3165"/>
      <c r="E17" s="3165"/>
      <c r="F17" s="3165"/>
      <c r="G17" s="3165"/>
      <c r="H17" s="3165"/>
    </row>
    <row r="18" spans="1:8" ht="24" customHeight="1">
      <c r="A18" s="3166" t="s">
        <v>2911</v>
      </c>
      <c r="B18" s="3166"/>
      <c r="C18" s="3166"/>
      <c r="D18" s="2568"/>
      <c r="E18" s="3167" t="s">
        <v>2912</v>
      </c>
      <c r="F18" s="3166"/>
      <c r="G18" s="3166"/>
    </row>
    <row r="19" spans="1:8" s="2579" customFormat="1" ht="24" customHeight="1">
      <c r="A19" s="2578" t="s">
        <v>2913</v>
      </c>
      <c r="B19" s="2567" t="s">
        <v>2914</v>
      </c>
      <c r="C19" s="2567" t="s">
        <v>2893</v>
      </c>
      <c r="D19" s="2568"/>
      <c r="E19" s="2572" t="s">
        <v>2913</v>
      </c>
      <c r="F19" s="2567" t="s">
        <v>2914</v>
      </c>
      <c r="G19" s="2567" t="s">
        <v>2893</v>
      </c>
    </row>
    <row r="20" spans="1:8" s="2579" customFormat="1" ht="24" customHeight="1">
      <c r="A20" s="2580" t="s">
        <v>2915</v>
      </c>
      <c r="B20" s="2580" t="s">
        <v>2916</v>
      </c>
      <c r="C20" s="2573">
        <v>44820</v>
      </c>
      <c r="D20" s="2581"/>
      <c r="E20" s="2582" t="s">
        <v>2917</v>
      </c>
      <c r="F20" s="2580" t="s">
        <v>2918</v>
      </c>
      <c r="G20" s="2583">
        <v>44377</v>
      </c>
    </row>
    <row r="21" spans="1:8" s="2579" customFormat="1" ht="24" customHeight="1">
      <c r="A21" s="2580"/>
      <c r="B21" s="2580"/>
      <c r="C21" s="2584"/>
      <c r="D21" s="2585"/>
      <c r="E21" s="2582" t="s">
        <v>2919</v>
      </c>
      <c r="F21" s="2586" t="s">
        <v>2920</v>
      </c>
      <c r="G21" s="2587">
        <v>44012</v>
      </c>
    </row>
    <row r="22" spans="1:8" ht="24" customHeight="1">
      <c r="C22" s="2588"/>
      <c r="D22" s="2588"/>
      <c r="E22" s="2589"/>
      <c r="F22" s="2590"/>
      <c r="G22" s="2591"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2020-12-01T08:48:32Z</dcterms:modified>
</cp:coreProperties>
</file>