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住宅 (2)" sheetId="69" r:id="rId20"/>
    <sheet name="不动产比较法-商业 (2)" sheetId="70" r:id="rId21"/>
    <sheet name="剩余法-现房" sheetId="43" state="hidden" r:id="rId22"/>
    <sheet name="比较法-住宅、综合 (2)" sheetId="68"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收益法"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3" hidden="1">'比较法-工业'!$A$1:$L$45</definedName>
    <definedName name="_xlnm._FilterDatabase" localSheetId="17" hidden="1">'比较法-住宅、综合'!$A$1:$L$50</definedName>
    <definedName name="_xlnm._FilterDatabase" localSheetId="22" hidden="1">'比较法-住宅、综合 (2)'!$A$1:$L$50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0" hidden="1">'不动产比较法-商业 (2)'!$A$1:$L$49</definedName>
    <definedName name="_xlnm._FilterDatabase" localSheetId="35" hidden="1">'不动产比较法-住宅'!$A$1:$L$49</definedName>
    <definedName name="_xlnm._FilterDatabase" localSheetId="19" hidden="1">'不动产比较法-住宅 (2)'!$A$1:$L$49</definedName>
    <definedName name="_xlnm._FilterDatabase" localSheetId="10" hidden="1">'数据-基础表'!$A$12:$AT$572</definedName>
    <definedName name="_xlnm._FilterDatabase" localSheetId="9" hidden="1">项目基本情况!$A$48:$N$48</definedName>
    <definedName name="_xlnm.Print_Area" localSheetId="22">'比较法-住宅、综合 (2)'!$A$1:$N$134</definedName>
    <definedName name="八级">区片价!$P$1:$P$40</definedName>
    <definedName name="办公层高" localSheetId="22">'[1]不动产比较法-办公'!$B$119:$M$119</definedName>
    <definedName name="办公层高" localSheetId="20">'[1]不动产比较法-办公'!$B$119:$M$119</definedName>
    <definedName name="办公层高" localSheetId="19">'[1]不动产比较法-办公'!$B$119:$M$119</definedName>
    <definedName name="办公层高">'不动产比较法-办公'!$B$119:$M$119</definedName>
    <definedName name="办公朝向" localSheetId="22">'[1]不动产比较法-办公'!$B$91:$M$91</definedName>
    <definedName name="办公朝向" localSheetId="20">'[1]不动产比较法-办公'!$B$91:$M$91</definedName>
    <definedName name="办公朝向" localSheetId="19">'[1]不动产比较法-办公'!$B$91:$M$91</definedName>
    <definedName name="办公朝向">'不动产比较法-办公'!$B$91:$M$91</definedName>
    <definedName name="办公道路级别" localSheetId="22">'[1]不动产比较法-办公'!$B$87:$M$87</definedName>
    <definedName name="办公道路级别" localSheetId="20">'[1]不动产比较法-办公'!$B$87:$M$87</definedName>
    <definedName name="办公道路级别" localSheetId="19">'[1]不动产比较法-办公'!$B$87:$M$87</definedName>
    <definedName name="办公道路级别">'不动产比较法-办公'!$B$87:$M$87</definedName>
    <definedName name="办公公共部分装修" localSheetId="22">'[1]不动产比较法-办公'!$B$108:$M$108</definedName>
    <definedName name="办公公共部分装修" localSheetId="20">'[1]不动产比较法-办公'!$B$108:$M$108</definedName>
    <definedName name="办公公共部分装修" localSheetId="19">'[1]不动产比较法-办公'!$B$108:$M$108</definedName>
    <definedName name="办公公共部分装修">'不动产比较法-办公'!$B$108:$M$108</definedName>
    <definedName name="办公基础设施水平" localSheetId="22">'[1]不动产比较法-办公'!$B$117:$M$117</definedName>
    <definedName name="办公基础设施水平" localSheetId="20">'[1]不动产比较法-办公'!$B$117:$M$117</definedName>
    <definedName name="办公基础设施水平" localSheetId="19">'[1]不动产比较法-办公'!$B$117:$M$117</definedName>
    <definedName name="办公基础设施水平">'不动产比较法-办公'!$B$117:$M$117</definedName>
    <definedName name="办公集聚程度" localSheetId="22">[1]定义!$M$1:$M$6</definedName>
    <definedName name="办公集聚程度" localSheetId="20">[1]定义!$M$1:$M$6</definedName>
    <definedName name="办公集聚程度" localSheetId="19">[1]定义!$M$1:$M$6</definedName>
    <definedName name="办公集聚程度">定义!$M$1:$M$6</definedName>
    <definedName name="办公建筑结构" localSheetId="22">'[1]不动产比较法-办公'!$B$106:$M$106</definedName>
    <definedName name="办公建筑结构" localSheetId="20">'[1]不动产比较法-办公'!$B$106:$M$106</definedName>
    <definedName name="办公建筑结构" localSheetId="19">'[1]不动产比较法-办公'!$B$106:$M$106</definedName>
    <definedName name="办公建筑结构">'不动产比较法-办公'!$B$106:$M$106</definedName>
    <definedName name="办公建筑类型" localSheetId="22">'[1]不动产比较法-办公'!$B$101:$M$101</definedName>
    <definedName name="办公建筑类型" localSheetId="20">'[1]不动产比较法-办公'!$B$101:$M$101</definedName>
    <definedName name="办公建筑类型" localSheetId="19">'[1]不动产比较法-办公'!$B$101:$M$101</definedName>
    <definedName name="办公建筑类型">'不动产比较法-办公'!$B$101:$M$101</definedName>
    <definedName name="办公交易情况" localSheetId="22">'[1]不动产比较法-办公'!$A$62:$M$62</definedName>
    <definedName name="办公交易情况" localSheetId="20">'[1]不动产比较法-办公'!$A$62:$M$62</definedName>
    <definedName name="办公交易情况" localSheetId="19">'[1]不动产比较法-办公'!$A$62:$M$62</definedName>
    <definedName name="办公交易情况">'不动产比较法-办公'!$A$62:$M$62</definedName>
    <definedName name="办公楼层" localSheetId="22">'[1]不动产比较法-办公'!$B$89:$M$89</definedName>
    <definedName name="办公楼层" localSheetId="20">'[1]不动产比较法-办公'!$B$89:$M$89</definedName>
    <definedName name="办公楼层" localSheetId="19">'[1]不动产比较法-办公'!$B$89:$M$89</definedName>
    <definedName name="办公楼层">'不动产比较法-办公'!$B$89:$M$89</definedName>
    <definedName name="办公内部装修" localSheetId="22">'[1]不动产比较法-办公'!$B$123:$M$123</definedName>
    <definedName name="办公内部装修" localSheetId="20">'[1]不动产比较法-办公'!$B$123:$M$123</definedName>
    <definedName name="办公内部装修" localSheetId="19">'[1]不动产比较法-办公'!$B$123:$M$123</definedName>
    <definedName name="办公内部装修">'不动产比较法-办公'!$B$123:$M$123</definedName>
    <definedName name="办公物业管理" localSheetId="22">'[1]不动产比较法-办公'!$B$115:$M$115</definedName>
    <definedName name="办公物业管理" localSheetId="20">'[1]不动产比较法-办公'!$B$115:$M$115</definedName>
    <definedName name="办公物业管理" localSheetId="19">'[1]不动产比较法-办公'!$B$115:$M$115</definedName>
    <definedName name="办公物业管理">'不动产比较法-办公'!$B$115:$M$115</definedName>
    <definedName name="办公用途" localSheetId="22">'[1]不动产比较法-办公'!$B$64:$M$64</definedName>
    <definedName name="办公用途" localSheetId="20">'[1]不动产比较法-办公'!$B$64:$M$64</definedName>
    <definedName name="办公用途" localSheetId="19">'[1]不动产比较法-办公'!$B$64:$M$64</definedName>
    <definedName name="办公用途">'不动产比较法-办公'!$B$64:$M$64</definedName>
    <definedName name="仓储公共部分装修" localSheetId="22">'[1]不动产比较法-仓储'!$B$77:$M$77</definedName>
    <definedName name="仓储公共部分装修" localSheetId="20">'[1]不动产比较法-仓储'!$B$77:$M$77</definedName>
    <definedName name="仓储公共部分装修" localSheetId="19">'[1]不动产比较法-仓储'!$B$77:$M$77</definedName>
    <definedName name="仓储公共部分装修">'不动产比较法-仓储'!$B$77:$M$77</definedName>
    <definedName name="仓储交易情况" localSheetId="22">'[1]不动产比较法-仓储'!$A$49:$M$49</definedName>
    <definedName name="仓储交易情况" localSheetId="20">'[1]不动产比较法-仓储'!$A$49:$M$49</definedName>
    <definedName name="仓储交易情况" localSheetId="19">'[1]不动产比较法-仓储'!$A$49:$M$49</definedName>
    <definedName name="仓储交易情况">'不动产比较法-仓储'!$A$49:$M$49</definedName>
    <definedName name="仓储楼层" localSheetId="22">'[1]不动产比较法-仓储'!$B$69:$M$69</definedName>
    <definedName name="仓储楼层" localSheetId="20">'[1]不动产比较法-仓储'!$B$69:$M$69</definedName>
    <definedName name="仓储楼层" localSheetId="19">'[1]不动产比较法-仓储'!$B$69:$M$69</definedName>
    <definedName name="仓储楼层">'不动产比较法-仓储'!$B$69:$M$69</definedName>
    <definedName name="仓储物业等级" localSheetId="22">'[1]不动产比较法-仓储'!$B$82:$M$82</definedName>
    <definedName name="仓储物业等级" localSheetId="20">'[1]不动产比较法-仓储'!$B$82:$M$82</definedName>
    <definedName name="仓储物业等级" localSheetId="19">'[1]不动产比较法-仓储'!$B$82:$M$82</definedName>
    <definedName name="仓储物业等级">'不动产比较法-仓储'!$B$82:$M$82</definedName>
    <definedName name="仓储用途" localSheetId="22">'[1]不动产比较法-仓储'!$B$51:$M$51</definedName>
    <definedName name="仓储用途" localSheetId="20">'[1]不动产比较法-仓储'!$B$51:$M$51</definedName>
    <definedName name="仓储用途" localSheetId="19">'[1]不动产比较法-仓储'!$B$51:$M$51</definedName>
    <definedName name="仓储用途">'不动产比较法-仓储'!$B$51:$M$51</definedName>
    <definedName name="产业集聚程度" localSheetId="22">[1]定义!$N$1:$N$6</definedName>
    <definedName name="产业集聚程度" localSheetId="20">[1]定义!$N$1:$N$6</definedName>
    <definedName name="产业集聚程度" localSheetId="19">[1]定义!$N$1:$N$6</definedName>
    <definedName name="产业集聚程度">定义!$N$1:$N$6</definedName>
    <definedName name="车位公共部分装修" localSheetId="22">'[1]不动产比较法-车位'!$B$83:$M$83</definedName>
    <definedName name="车位公共部分装修" localSheetId="20">'[1]不动产比较法-车位'!$B$83:$M$83</definedName>
    <definedName name="车位公共部分装修" localSheetId="19">'[1]不动产比较法-车位'!$B$83:$M$83</definedName>
    <definedName name="车位公共部分装修">'不动产比较法-车位'!$B$83:$M$83</definedName>
    <definedName name="车位交易情况" localSheetId="22">'[1]不动产比较法-车位'!$A$51:$M$51</definedName>
    <definedName name="车位交易情况" localSheetId="20">'[1]不动产比较法-车位'!$A$51:$M$51</definedName>
    <definedName name="车位交易情况" localSheetId="19">'[1]不动产比较法-车位'!$A$51:$M$51</definedName>
    <definedName name="车位交易情况">'不动产比较法-车位'!$A$51:$M$51</definedName>
    <definedName name="车位类型" localSheetId="22">'[1]不动产比较法-车位'!$B$93:$M$93</definedName>
    <definedName name="车位类型" localSheetId="20">'[1]不动产比较法-车位'!$B$93:$M$93</definedName>
    <definedName name="车位类型" localSheetId="19">'[1]不动产比较法-车位'!$B$93:$M$93</definedName>
    <definedName name="车位类型">'不动产比较法-车位'!$B$93:$M$93</definedName>
    <definedName name="车位楼层" localSheetId="22">'[1]不动产比较法-车位'!$B$71:$M$71</definedName>
    <definedName name="车位楼层" localSheetId="20">'[1]不动产比较法-车位'!$B$71:$M$71</definedName>
    <definedName name="车位楼层" localSheetId="19">'[1]不动产比较法-车位'!$B$71:$M$71</definedName>
    <definedName name="车位楼层">'不动产比较法-车位'!$B$71:$M$71</definedName>
    <definedName name="车位配套类型" localSheetId="22">'[1]不动产比较法-车位'!$B$79:$M$79</definedName>
    <definedName name="车位配套类型" localSheetId="20">'[1]不动产比较法-车位'!$B$79:$M$79</definedName>
    <definedName name="车位配套类型" localSheetId="19">'[1]不动产比较法-车位'!$B$79:$M$79</definedName>
    <definedName name="车位配套类型">'不动产比较法-车位'!$B$79:$M$79</definedName>
    <definedName name="车位物业等级" localSheetId="22">'[1]不动产比较法-车位'!$B$88:$M$88</definedName>
    <definedName name="车位物业等级" localSheetId="20">'[1]不动产比较法-车位'!$B$88:$M$88</definedName>
    <definedName name="车位物业等级" localSheetId="19">'[1]不动产比较法-车位'!$B$88:$M$88</definedName>
    <definedName name="车位物业等级">'不动产比较法-车位'!$B$88:$M$88</definedName>
    <definedName name="车位用途" localSheetId="22">'[1]不动产比较法-车位'!$B$53:$M$53</definedName>
    <definedName name="车位用途" localSheetId="20">'[1]不动产比较法-车位'!$B$53:$M$53</definedName>
    <definedName name="车位用途" localSheetId="19">'[1]不动产比较法-车位'!$B$53:$M$53</definedName>
    <definedName name="车位用途">'不动产比较法-车位'!$B$53:$M$53</definedName>
    <definedName name="城镇土地纳税等级分级范围" localSheetId="22">'[1]数据-取费表'!$A$53:$A$63</definedName>
    <definedName name="城镇土地纳税等级分级范围" localSheetId="20">'[1]数据-取费表'!$A$53:$A$63</definedName>
    <definedName name="城镇土地纳税等级分级范围" localSheetId="19">'[1]数据-取费表'!$A$53:$A$63</definedName>
    <definedName name="城镇土地纳税等级分级范围">'数据-取费表'!$A$53:$A$63</definedName>
    <definedName name="单价内涵" localSheetId="22">[1]定义!$V$1:$V$3</definedName>
    <definedName name="单价内涵" localSheetId="20">[1]定义!$V$1:$V$3</definedName>
    <definedName name="单价内涵" localSheetId="19">[1]定义!$V$1:$V$3</definedName>
    <definedName name="单价内涵">定义!$V$1:$V$3</definedName>
    <definedName name="地类判定" localSheetId="22">[1]定义!$H$1:$H$9</definedName>
    <definedName name="地类判定" localSheetId="20">[1]定义!$H$1:$H$9</definedName>
    <definedName name="地类判定" localSheetId="19">[1]定义!$H$1:$H$9</definedName>
    <definedName name="地类判定">定义!$H$1:$H$9</definedName>
    <definedName name="二级">区片价!$J$1:$J$20</definedName>
    <definedName name="二级分类" localSheetId="22">[1]修正!$C$17:$C$39</definedName>
    <definedName name="二级分类" localSheetId="20">[1]修正!$C$17:$C$39</definedName>
    <definedName name="二级分类" localSheetId="19">[1]修正!$C$17:$C$39</definedName>
    <definedName name="二级分类">修正!$C$17:$C$39</definedName>
    <definedName name="法定最高年限" localSheetId="22">[1]定义!$G$2:$G$4</definedName>
    <definedName name="法定最高年限" localSheetId="20">[1]定义!$G$2:$G$4</definedName>
    <definedName name="法定最高年限" localSheetId="19">[1]定义!$G$2:$G$4</definedName>
    <definedName name="法定最高年限">定义!$G$2:$G$4</definedName>
    <definedName name="工业公共部分装修" localSheetId="22">'[1]不动产比较法-工业'!$B$95:$M$95</definedName>
    <definedName name="工业公共部分装修" localSheetId="20">'[1]不动产比较法-工业'!$B$95:$M$95</definedName>
    <definedName name="工业公共部分装修" localSheetId="19">'[1]不动产比较法-工业'!$B$95:$M$95</definedName>
    <definedName name="工业公共部分装修">'不动产比较法-工业'!$B$95:$M$95</definedName>
    <definedName name="工业基础设施水平" localSheetId="22">'[1]不动产比较法-工业'!$B$102:$M$102</definedName>
    <definedName name="工业基础设施水平" localSheetId="20">'[1]不动产比较法-工业'!$B$102:$M$102</definedName>
    <definedName name="工业基础设施水平" localSheetId="19">'[1]不动产比较法-工业'!$B$102:$M$102</definedName>
    <definedName name="工业基础设施水平">'不动产比较法-工业'!$B$102:$M$102</definedName>
    <definedName name="工业建筑结构" localSheetId="22">'[1]不动产比较法-工业'!$B$93:$M$93</definedName>
    <definedName name="工业建筑结构" localSheetId="20">'[1]不动产比较法-工业'!$B$93:$M$93</definedName>
    <definedName name="工业建筑结构" localSheetId="19">'[1]不动产比较法-工业'!$B$93:$M$93</definedName>
    <definedName name="工业建筑结构">'不动产比较法-工业'!$B$93:$M$93</definedName>
    <definedName name="工业建筑类型" localSheetId="22">'[1]不动产比较法-工业'!$B$88:$M$88</definedName>
    <definedName name="工业建筑类型" localSheetId="20">'[1]不动产比较法-工业'!$B$88:$M$88</definedName>
    <definedName name="工业建筑类型" localSheetId="19">'[1]不动产比较法-工业'!$B$88:$M$88</definedName>
    <definedName name="工业建筑类型">'不动产比较法-工业'!$B$88:$M$88</definedName>
    <definedName name="工业交易情况" localSheetId="22">'[1]不动产比较法-工业'!$A$55:$M$55</definedName>
    <definedName name="工业交易情况" localSheetId="20">'[1]不动产比较法-工业'!$A$55:$M$55</definedName>
    <definedName name="工业交易情况" localSheetId="19">'[1]不动产比较法-工业'!$A$55:$M$55</definedName>
    <definedName name="工业交易情况">'不动产比较法-工业'!$A$55:$M$55</definedName>
    <definedName name="工业内部装修" localSheetId="22">'[1]不动产比较法-工业'!$B$104:$M$104</definedName>
    <definedName name="工业内部装修" localSheetId="20">'[1]不动产比较法-工业'!$B$104:$M$104</definedName>
    <definedName name="工业内部装修" localSheetId="19">'[1]不动产比较法-工业'!$B$104:$M$104</definedName>
    <definedName name="工业内部装修">'不动产比较法-工业'!$B$104:$M$104</definedName>
    <definedName name="工业物业管理" localSheetId="22">'[1]不动产比较法-工业'!$B$100:$M$100</definedName>
    <definedName name="工业物业管理" localSheetId="20">'[1]不动产比较法-工业'!$B$100:$M$100</definedName>
    <definedName name="工业物业管理" localSheetId="19">'[1]不动产比较法-工业'!$B$100:$M$100</definedName>
    <definedName name="工业物业管理">'不动产比较法-工业'!$B$100:$M$100</definedName>
    <definedName name="工业用途" localSheetId="22">'[1]不动产比较法-工业'!$B$57:$M$57</definedName>
    <definedName name="工业用途" localSheetId="20">'[1]不动产比较法-工业'!$B$57:$M$57</definedName>
    <definedName name="工业用途" localSheetId="19">'[1]不动产比较法-工业'!$B$57:$M$57</definedName>
    <definedName name="工业用途">'不动产比较法-工业'!$B$57:$M$57</definedName>
    <definedName name="公共配套设施" localSheetId="22">[1]定义!$Q$1:$Q$6</definedName>
    <definedName name="公共配套设施" localSheetId="20">[1]定义!$Q$1:$Q$6</definedName>
    <definedName name="公共配套设施" localSheetId="19">[1]定义!$Q$1:$Q$6</definedName>
    <definedName name="公共配套设施">定义!$Q$1:$Q$6</definedName>
    <definedName name="估价方法" localSheetId="22">[1]定义!$B$1:$B$50</definedName>
    <definedName name="估价方法" localSheetId="20">[1]定义!$B$1:$B$50</definedName>
    <definedName name="估价方法" localSheetId="19">[1]定义!$B$1:$B$50</definedName>
    <definedName name="估价方法">定义!$B$1:$B$50</definedName>
    <definedName name="环境" localSheetId="22">[1]定义!$S$1:$S$6</definedName>
    <definedName name="环境" localSheetId="20">[1]定义!$S$1:$S$6</definedName>
    <definedName name="环境" localSheetId="19">[1]定义!$S$1:$S$6</definedName>
    <definedName name="环境">定义!$S$1:$S$6</definedName>
    <definedName name="基础设施水平" localSheetId="22">[1]定义!$R$1:$R$6</definedName>
    <definedName name="基础设施水平" localSheetId="20">[1]定义!$R$1:$R$6</definedName>
    <definedName name="基础设施水平" localSheetId="19">[1]定义!$R$1:$R$6</definedName>
    <definedName name="基础设施水平">定义!$R$1:$R$6</definedName>
    <definedName name="季度">基准地价!$N$19:$AG$19</definedName>
    <definedName name="季度2014">地价!$A$2:$A$20</definedName>
    <definedName name="价值类型2" localSheetId="22">[1]定义!$B$54:$B$56</definedName>
    <definedName name="价值类型2" localSheetId="20">[1]定义!$B$54:$B$56</definedName>
    <definedName name="价值类型2" localSheetId="19">[1]定义!$B$54:$B$56</definedName>
    <definedName name="价值类型2">定义!$B$54:$B$56</definedName>
    <definedName name="交通便捷度" localSheetId="22">[1]定义!$O$1:$O$6</definedName>
    <definedName name="交通便捷度" localSheetId="20">[1]定义!$O$1:$O$6</definedName>
    <definedName name="交通便捷度" localSheetId="19">[1]定义!$O$1:$O$6</definedName>
    <definedName name="交通便捷度">定义!$O$1:$O$6</definedName>
    <definedName name="九级">区片价!$Q$1:$Q$46</definedName>
    <definedName name="居住社区成熟度" localSheetId="22">[1]定义!$K$1:$K$6</definedName>
    <definedName name="居住社区成熟度" localSheetId="20">[1]定义!$K$1:$K$6</definedName>
    <definedName name="居住社区成熟度" localSheetId="19">[1]定义!$K$1:$K$6</definedName>
    <definedName name="居住社区成熟度">定义!$K$1:$K$6</definedName>
    <definedName name="类别" localSheetId="22">[1]定义!$J$1:$J$3</definedName>
    <definedName name="类别" localSheetId="20">[1]定义!$J$1:$J$3</definedName>
    <definedName name="类别" localSheetId="19">[1]定义!$J$1:$J$3</definedName>
    <definedName name="类别">定义!$J$1:$J$3</definedName>
    <definedName name="临街状况" localSheetId="22">[1]定义!$T$1:$T$5</definedName>
    <definedName name="临街状况" localSheetId="20">[1]定义!$T$1:$T$5</definedName>
    <definedName name="临街状况" localSheetId="19">[1]定义!$T$1:$T$5</definedName>
    <definedName name="临街状况">定义!$T$1:$T$5</definedName>
    <definedName name="六级">区片价!$N$1:$N$49</definedName>
    <definedName name="内部装修维护情况" localSheetId="22">[1]定义!$U$1:$U$6</definedName>
    <definedName name="内部装修维护情况" localSheetId="20">[1]定义!$U$1:$U$6</definedName>
    <definedName name="内部装修维护情况" localSheetId="19">[1]定义!$U$1:$U$6</definedName>
    <definedName name="内部装修维护情况">定义!$U$1:$U$6</definedName>
    <definedName name="判定" localSheetId="22">[1]定义!$D$1:$D$4</definedName>
    <definedName name="判定" localSheetId="20">[1]定义!$D$1:$D$4</definedName>
    <definedName name="判定" localSheetId="19">[1]定义!$D$1:$D$4</definedName>
    <definedName name="判定">定义!$D$1:$D$4</definedName>
    <definedName name="七级">区片价!$O$1:$O$49</definedName>
    <definedName name="七通一平" localSheetId="22">[1]修正!$A$6:$A$14</definedName>
    <definedName name="七通一平" localSheetId="20">[1]修正!$A$6:$A$14</definedName>
    <definedName name="七通一平" localSheetId="19">[1]修正!$A$6:$A$14</definedName>
    <definedName name="七通一平">修正!$A$6:$A$14</definedName>
    <definedName name="区域土地利用方向" localSheetId="22">[1]定义!$P$1:$P$6</definedName>
    <definedName name="区域土地利用方向" localSheetId="20">[1]定义!$P$1:$P$6</definedName>
    <definedName name="区域土地利用方向" localSheetId="19">[1]定义!$P$1:$P$6</definedName>
    <definedName name="区域土地利用方向">定义!$P$1:$P$6</definedName>
    <definedName name="三级">区片价!$K$1:$K$21</definedName>
    <definedName name="商业层高" localSheetId="22">'[1]不动产比较法-商业'!$B$116:$M$116</definedName>
    <definedName name="商业层高" localSheetId="20">'不动产比较法-商业 (2)'!$B$116:$M$116</definedName>
    <definedName name="商业层高" localSheetId="19">'[1]不动产比较法-商业'!$B$116:$M$116</definedName>
    <definedName name="商业层高">'不动产比较法-商业'!$B$116:$M$116</definedName>
    <definedName name="商业成新度" localSheetId="20">'不动产比较法-商业 (2)'!$B$109:$M$109</definedName>
    <definedName name="商业成新度">'不动产比较法-商业'!$B$109:$M$109</definedName>
    <definedName name="商业繁华度" localSheetId="22">[1]定义!$L$1:$L$6</definedName>
    <definedName name="商业繁华度" localSheetId="20">[1]定义!$L$1:$L$6</definedName>
    <definedName name="商业繁华度" localSheetId="19">[1]定义!$L$1:$L$6</definedName>
    <definedName name="商业繁华度">定义!$L$1:$L$6</definedName>
    <definedName name="商业公共部分装修" localSheetId="22">'[1]不动产比较法-商业'!$B$107:$M$107</definedName>
    <definedName name="商业公共部分装修" localSheetId="20">'不动产比较法-商业 (2)'!$B$107:$M$107</definedName>
    <definedName name="商业公共部分装修" localSheetId="19">'[1]不动产比较法-商业'!$B$107:$M$107</definedName>
    <definedName name="商业公共部分装修">'不动产比较法-商业'!$B$107:$M$107</definedName>
    <definedName name="商业基础设施水平" localSheetId="22">'[1]不动产比较法-商业'!$B$112:$M$112</definedName>
    <definedName name="商业基础设施水平" localSheetId="20">'不动产比较法-商业 (2)'!$B$112:$M$112</definedName>
    <definedName name="商业基础设施水平" localSheetId="19">'[1]不动产比较法-商业'!$B$112:$M$112</definedName>
    <definedName name="商业基础设施水平">'不动产比较法-商业'!$B$112:$M$112</definedName>
    <definedName name="商业建筑结构" localSheetId="22">'[1]不动产比较法-商业'!$B$105:$M$105</definedName>
    <definedName name="商业建筑结构" localSheetId="20">'不动产比较法-商业 (2)'!$B$105:$M$105</definedName>
    <definedName name="商业建筑结构" localSheetId="19">'[1]不动产比较法-商业'!$B$105:$M$105</definedName>
    <definedName name="商业建筑结构">'不动产比较法-商业'!$B$105:$M$105</definedName>
    <definedName name="商业交易情况" localSheetId="22">'[1]不动产比较法-商业'!$A$61:$M$61</definedName>
    <definedName name="商业交易情况" localSheetId="20">'不动产比较法-商业 (2)'!$A$61:$M$61</definedName>
    <definedName name="商业交易情况" localSheetId="19">'[1]不动产比较法-商业'!$A$61:$M$61</definedName>
    <definedName name="商业交易情况">'不动产比较法-商业'!$A$61:$M$61</definedName>
    <definedName name="商业街名称" localSheetId="22">[1]修正!$C$59:$C$119</definedName>
    <definedName name="商业街名称" localSheetId="20">[1]修正!$C$59:$C$119</definedName>
    <definedName name="商业街名称" localSheetId="19">[1]修正!$C$59:$C$119</definedName>
    <definedName name="商业街名称">修正!$C$59:$C$119</definedName>
    <definedName name="商业进深比" localSheetId="22">'[1]不动产比较法-商业'!$B$120:$M$120</definedName>
    <definedName name="商业进深比" localSheetId="20">'不动产比较法-商业 (2)'!$B$120:$M$120</definedName>
    <definedName name="商业进深比" localSheetId="19">'[1]不动产比较法-商业'!$B$120:$M$120</definedName>
    <definedName name="商业进深比">'不动产比较法-商业'!$B$120:$M$120</definedName>
    <definedName name="商业类型" localSheetId="22">'[1]不动产比较法-商业'!$B$100:$M$100</definedName>
    <definedName name="商业类型" localSheetId="20">'不动产比较法-商业 (2)'!$B$100:$M$100</definedName>
    <definedName name="商业类型" localSheetId="19">'[1]不动产比较法-商业'!$B$100:$M$100</definedName>
    <definedName name="商业类型">'不动产比较法-商业'!$B$100:$M$100</definedName>
    <definedName name="商业临街状况" localSheetId="22">'[1]不动产比较法-商业'!$B$86:$M$86</definedName>
    <definedName name="商业临街状况" localSheetId="20">'不动产比较法-商业 (2)'!$B$86:$M$86</definedName>
    <definedName name="商业临街状况" localSheetId="19">'[1]不动产比较法-商业'!$B$86:$M$86</definedName>
    <definedName name="商业临街状况">'不动产比较法-商业'!$B$86:$M$86</definedName>
    <definedName name="商业楼层" localSheetId="22">'[1]不动产比较法-商业'!$B$92:$M$92</definedName>
    <definedName name="商业楼层" localSheetId="20">'不动产比较法-商业 (2)'!$B$92:$M$92</definedName>
    <definedName name="商业楼层" localSheetId="19">'[1]不动产比较法-商业'!$B$92:$M$92</definedName>
    <definedName name="商业楼层">'不动产比较法-商业'!$B$92:$M$92</definedName>
    <definedName name="商业内部装修" localSheetId="22">'[1]不动产比较法-商业'!$B$122:$M$122</definedName>
    <definedName name="商业内部装修" localSheetId="20">'不动产比较法-商业 (2)'!$B$122:$M$122</definedName>
    <definedName name="商业内部装修" localSheetId="19">'[1]不动产比较法-商业'!$B$122:$M$122</definedName>
    <definedName name="商业内部装修">'不动产比较法-商业'!$B$122:$M$122</definedName>
    <definedName name="商业人流量" localSheetId="22">'[1]不动产比较法-商业'!$B$90:$M$90</definedName>
    <definedName name="商业人流量" localSheetId="20">'不动产比较法-商业 (2)'!$B$90:$M$90</definedName>
    <definedName name="商业人流量" localSheetId="19">'[1]不动产比较法-商业'!$B$90:$M$90</definedName>
    <definedName name="商业人流量">'不动产比较法-商业'!$B$90:$M$90</definedName>
    <definedName name="商业业态" localSheetId="22">'[1]不动产比较法-商业'!$B$114:$M$114</definedName>
    <definedName name="商业业态" localSheetId="20">'不动产比较法-商业 (2)'!$B$114:$M$114</definedName>
    <definedName name="商业业态" localSheetId="19">'[1]不动产比较法-商业'!$B$114:$M$114</definedName>
    <definedName name="商业业态">'不动产比较法-商业'!$B$114:$M$114</definedName>
    <definedName name="商业用途" localSheetId="22">'[1]不动产比较法-商业'!$B$63:$M$63</definedName>
    <definedName name="商业用途" localSheetId="20">'不动产比较法-商业 (2)'!$B$63:$M$63</definedName>
    <definedName name="商业用途" localSheetId="1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2">'[1]不动产比较法-仓储'!$B$89:$M$89</definedName>
    <definedName name="是否封闭" localSheetId="20">'[1]不动产比较法-仓储'!$B$89:$M$89</definedName>
    <definedName name="是否封闭" localSheetId="19">'[1]不动产比较法-仓储'!$B$89:$M$89</definedName>
    <definedName name="是否封闭">'不动产比较法-仓储'!$B$89:$M$89</definedName>
    <definedName name="是否直接入户" localSheetId="22">'[1]不动产比较法-车位'!$B$95:$M$95</definedName>
    <definedName name="是否直接入户" localSheetId="20">'[1]不动产比较法-车位'!$B$95:$M$95</definedName>
    <definedName name="是否直接入户" localSheetId="19">'[1]不动产比较法-车位'!$B$95:$M$95</definedName>
    <definedName name="是否直接入户">'不动产比较法-车位'!$B$95:$M$95</definedName>
    <definedName name="四级">区片价!$L$1:$L$28</definedName>
    <definedName name="套工交易情况" localSheetId="22">'比较法-住宅、综合 (2)'!$A$75:$M$75</definedName>
    <definedName name="套工交易情况" localSheetId="20">'[1]比较法-住宅、综合'!$A$75:$M$75</definedName>
    <definedName name="套工交易情况" localSheetId="19">'[1]比较法-住宅、综合'!$A$75:$M$75</definedName>
    <definedName name="套工交易情况">'比较法-住宅、综合'!$A$75:$M$75</definedName>
    <definedName name="套工土地级别" localSheetId="22">'[1]比较法-工业'!$B$101:$M$101</definedName>
    <definedName name="套工土地级别" localSheetId="20">'[1]比较法-工业'!$B$101:$M$101</definedName>
    <definedName name="套工土地级别" localSheetId="19">'[1]比较法-工业'!$B$101:$M$101</definedName>
    <definedName name="套工土地级别">'比较法-工业'!$B$101:$M$101</definedName>
    <definedName name="套工用途" localSheetId="22">'[1]比较法-工业'!$B$72:$M$72</definedName>
    <definedName name="套工用途" localSheetId="20">'[1]比较法-工业'!$B$72:$M$72</definedName>
    <definedName name="套工用途" localSheetId="19">'[1]比较法-工业'!$B$72:$M$72</definedName>
    <definedName name="套工用途">'比较法-工业'!$B$72:$M$72</definedName>
    <definedName name="套综道路等级" localSheetId="22">'比较法-住宅、综合 (2)'!$B$108:$M$108</definedName>
    <definedName name="套综道路等级" localSheetId="20">'[1]比较法-住宅、综合'!$B$108:$M$108</definedName>
    <definedName name="套综道路等级" localSheetId="19">'[1]比较法-住宅、综合'!$B$108:$M$108</definedName>
    <definedName name="套综道路等级">'比较法-住宅、综合'!$B$108:$M$108</definedName>
    <definedName name="套综工程地质条件" localSheetId="22">'比较法-住宅、综合 (2)'!$B$127:$M$127</definedName>
    <definedName name="套综工程地质条件" localSheetId="20">'[1]比较法-住宅、综合'!$B$127:$M$127</definedName>
    <definedName name="套综工程地质条件" localSheetId="19">'[1]比较法-住宅、综合'!$B$127:$M$127</definedName>
    <definedName name="套综工程地质条件">'比较法-住宅、综合'!$B$127:$M$127</definedName>
    <definedName name="套综交易情况" localSheetId="22">'比较法-住宅、综合 (2)'!$A$75:$M$75</definedName>
    <definedName name="套综交易情况" localSheetId="20">'[1]比较法-住宅、综合'!$A$75:$M$75</definedName>
    <definedName name="套综交易情况" localSheetId="19">'[1]比较法-住宅、综合'!$A$75:$M$75</definedName>
    <definedName name="套综交易情况">'比较法-住宅、综合'!$A$75:$M$75</definedName>
    <definedName name="套综临街宽度及深度" localSheetId="22">'比较法-住宅、综合 (2)'!$B$123:$M$123</definedName>
    <definedName name="套综临街宽度及深度" localSheetId="20">'[1]比较法-住宅、综合'!$B$123:$M$123</definedName>
    <definedName name="套综临街宽度及深度" localSheetId="19">'[1]比较法-住宅、综合'!$B$123:$M$123</definedName>
    <definedName name="套综临街宽度及深度">'比较法-住宅、综合'!$B$123:$M$123</definedName>
    <definedName name="套综土地级别" localSheetId="22">'比较法-住宅、综合 (2)'!$B$110:$M$110</definedName>
    <definedName name="套综土地级别" localSheetId="20">'[1]比较法-住宅、综合'!$B$110:$M$110</definedName>
    <definedName name="套综土地级别" localSheetId="19">'[1]比较法-住宅、综合'!$B$110:$M$110</definedName>
    <definedName name="套综土地级别">'比较法-住宅、综合'!$B$110:$M$110</definedName>
    <definedName name="套综用途" localSheetId="22">'比较法-住宅、综合 (2)'!$B$77:$M$77</definedName>
    <definedName name="套综用途" localSheetId="20">'[1]比较法-住宅、综合'!$B$77:$M$77</definedName>
    <definedName name="套综用途" localSheetId="19">'[1]比较法-住宅、综合'!$B$77:$M$77</definedName>
    <definedName name="套综用途">'比较法-住宅、综合'!$B$77:$M$77</definedName>
    <definedName name="套综宗地内开发程度" localSheetId="22">'比较法-住宅、综合 (2)'!$B$125:$M$125</definedName>
    <definedName name="套综宗地内开发程度" localSheetId="20">'[1]比较法-住宅、综合'!$B$125:$M$125</definedName>
    <definedName name="套综宗地内开发程度" localSheetId="19">'[1]比较法-住宅、综合'!$B$125:$M$125</definedName>
    <definedName name="套综宗地内开发程度">'比较法-住宅、综合'!$B$125:$M$125</definedName>
    <definedName name="套综宗地形状" localSheetId="22">'比较法-住宅、综合 (2)'!$B$121:$M$121</definedName>
    <definedName name="套综宗地形状" localSheetId="20">'[1]比较法-住宅、综合'!$B$121:$M$121</definedName>
    <definedName name="套综宗地形状" localSheetId="19">'[1]比较法-住宅、综合'!$B$121:$M$121</definedName>
    <definedName name="套综宗地形状">'比较法-住宅、综合'!$B$121:$M$121</definedName>
    <definedName name="土地估价师" localSheetId="22">[1]估价师及机构信息!$D$3:$D$24</definedName>
    <definedName name="土地估价师" localSheetId="20">[1]估价师及机构信息!$D$3:$D$24</definedName>
    <definedName name="土地估价师" localSheetId="19">[1]估价师及机构信息!$D$3:$D$24</definedName>
    <definedName name="土地估价师">估价师及机构信息!$D$3:$D$24</definedName>
    <definedName name="土地级别" localSheetId="22">[1]定义!$C$1:$C$14</definedName>
    <definedName name="土地级别" localSheetId="20">[1]定义!$C$1:$C$14</definedName>
    <definedName name="土地级别" localSheetId="19">[1]定义!$C$1:$C$14</definedName>
    <definedName name="土地级别">定义!$C$1:$C$14</definedName>
    <definedName name="土地利用方向">定义!$P$1:$P$6</definedName>
    <definedName name="土地年限区间" localSheetId="22">[1]定义!$I$1:$I$8</definedName>
    <definedName name="土地年限区间" localSheetId="20">[1]定义!$I$1:$I$8</definedName>
    <definedName name="土地年限区间" localSheetId="19">[1]定义!$I$1:$I$8</definedName>
    <definedName name="土地年限区间">定义!$I$1:$I$8</definedName>
    <definedName name="位置" localSheetId="22">[1]定义!$E$2:$E$4</definedName>
    <definedName name="位置" localSheetId="20">[1]定义!$E$2:$E$4</definedName>
    <definedName name="位置" localSheetId="19">[1]定义!$E$2:$E$4</definedName>
    <definedName name="位置">定义!$E$2:$E$4</definedName>
    <definedName name="五等判定" localSheetId="22">[1]定义!$W$1:$W$6</definedName>
    <definedName name="五等判定" localSheetId="20">[1]定义!$W$1:$W$6</definedName>
    <definedName name="五等判定" localSheetId="19">[1]定义!$W$1:$W$6</definedName>
    <definedName name="五等判定">定义!$W$1:$W$6</definedName>
    <definedName name="五级">区片价!$M$1:$M$35</definedName>
    <definedName name="项目类型" localSheetId="22">'[1]数据-汇总表'!$C$17:$C$26</definedName>
    <definedName name="项目类型" localSheetId="20">'[1]数据-汇总表'!$C$17:$C$26</definedName>
    <definedName name="项目类型" localSheetId="19">'[1]数据-汇总表'!$C$17:$C$26</definedName>
    <definedName name="项目类型">'数据-汇总表'!$C$17:$C$26</definedName>
    <definedName name="写字楼等级" localSheetId="22">'[1]不动产比较法-办公'!$B$113:$M$113</definedName>
    <definedName name="写字楼等级" localSheetId="20">'[1]不动产比较法-办公'!$B$113:$M$113</definedName>
    <definedName name="写字楼等级" localSheetId="19">'[1]不动产比较法-办公'!$B$113:$M$113</definedName>
    <definedName name="写字楼等级">'不动产比较法-办公'!$B$113:$M$113</definedName>
    <definedName name="一级">区片价!$I$1:$I$6</definedName>
    <definedName name="一修多修正项2" localSheetId="22">[1]典型户型修正!$5:$5</definedName>
    <definedName name="一修多修正项2" localSheetId="20">[1]典型户型修正!$5:$5</definedName>
    <definedName name="一修多修正项2" localSheetId="19">[1]典型户型修正!$5:$5</definedName>
    <definedName name="一修多修正项2">典型户型修正!$5:$5</definedName>
    <definedName name="一修多修正项3" localSheetId="22">[1]典型户型修正!$7:$7</definedName>
    <definedName name="一修多修正项3" localSheetId="20">[1]典型户型修正!$7:$7</definedName>
    <definedName name="一修多修正项3" localSheetId="19">[1]典型户型修正!$7:$7</definedName>
    <definedName name="一修多修正项3">典型户型修正!$7:$7</definedName>
    <definedName name="一修多修正项4" localSheetId="22">[1]典型户型修正!$9:$9</definedName>
    <definedName name="一修多修正项4" localSheetId="20">[1]典型户型修正!$9:$9</definedName>
    <definedName name="一修多修正项4" localSheetId="19">[1]典型户型修正!$9:$9</definedName>
    <definedName name="一修多修正项4">典型户型修正!$9:$9</definedName>
    <definedName name="一修多修正项5" localSheetId="22">[1]典型户型修正!$11:$11</definedName>
    <definedName name="一修多修正项5" localSheetId="20">[1]典型户型修正!$11:$11</definedName>
    <definedName name="一修多修正项5" localSheetId="19">[1]典型户型修正!$11:$11</definedName>
    <definedName name="一修多修正项5">典型户型修正!$11:$11</definedName>
    <definedName name="一修多修正项6" localSheetId="22">[1]典型户型修正!$13:$13</definedName>
    <definedName name="一修多修正项6" localSheetId="20">[1]典型户型修正!$13:$13</definedName>
    <definedName name="一修多修正项6" localSheetId="19">[1]典型户型修正!$13:$13</definedName>
    <definedName name="一修多修正项6">典型户型修正!$13:$13</definedName>
    <definedName name="一修多修正项7" localSheetId="22">[1]典型户型修正!$15:$15</definedName>
    <definedName name="一修多修正项7" localSheetId="20">[1]典型户型修正!$15:$15</definedName>
    <definedName name="一修多修正项7" localSheetId="19">[1]典型户型修正!$15:$15</definedName>
    <definedName name="一修多修正项7">典型户型修正!$15:$15</definedName>
    <definedName name="一修多修正项8" localSheetId="22">[1]典型户型修正!$17:$17</definedName>
    <definedName name="一修多修正项8" localSheetId="20">[1]典型户型修正!$17:$17</definedName>
    <definedName name="一修多修正项8" localSheetId="19">[1]典型户型修正!$17:$17</definedName>
    <definedName name="一修多修正项8">典型户型修正!$17:$17</definedName>
    <definedName name="用途类型" localSheetId="22">[1]定义!$A$1:$A$50</definedName>
    <definedName name="用途类型" localSheetId="20">[1]定义!$A$1:$A$50</definedName>
    <definedName name="用途类型" localSheetId="19">[1]定义!$A$1:$A$50</definedName>
    <definedName name="用途类型">定义!$A$1:$A$50</definedName>
    <definedName name="有无电梯" localSheetId="22">'[1]不动产比较法-仓储'!$B$84:$M$84</definedName>
    <definedName name="有无电梯" localSheetId="20">'[1]不动产比较法-仓储'!$B$84:$M$84</definedName>
    <definedName name="有无电梯" localSheetId="19">'[1]不动产比较法-仓储'!$B$84:$M$84</definedName>
    <definedName name="有无电梯">'不动产比较法-仓储'!$B$84:$M$84</definedName>
    <definedName name="主用途" localSheetId="22">[1]定义!$F$1:$F$10</definedName>
    <definedName name="主用途" localSheetId="20">[1]定义!$F$1:$F$10</definedName>
    <definedName name="主用途" localSheetId="19">[1]定义!$F$1:$F$10</definedName>
    <definedName name="主用途">定义!$F$1:$F$10</definedName>
    <definedName name="住宅朝向" localSheetId="22">'[1]不动产比较法-住宅'!$B$88:$M$88</definedName>
    <definedName name="住宅朝向" localSheetId="20">'[1]不动产比较法-住宅'!$B$88:$M$88</definedName>
    <definedName name="住宅朝向" localSheetId="19">'不动产比较法-住宅 (2)'!$B$88:$M$88</definedName>
    <definedName name="住宅朝向">'不动产比较法-住宅'!$B$88:$M$88</definedName>
    <definedName name="住宅房型" localSheetId="22">'[1]不动产比较法-住宅'!$B$118:$M$118</definedName>
    <definedName name="住宅房型" localSheetId="20">'[1]不动产比较法-住宅'!$B$118:$M$118</definedName>
    <definedName name="住宅房型" localSheetId="19">'不动产比较法-住宅 (2)'!$B$118:$M$118</definedName>
    <definedName name="住宅房型">'不动产比较法-住宅'!$B$118:$M$118</definedName>
    <definedName name="住宅公共部分装修" localSheetId="22">'[1]不动产比较法-住宅'!$B$109:$M$109</definedName>
    <definedName name="住宅公共部分装修" localSheetId="20">'[1]不动产比较法-住宅'!$B$109:$M$109</definedName>
    <definedName name="住宅公共部分装修" localSheetId="19">'不动产比较法-住宅 (2)'!$B$109:$M$109</definedName>
    <definedName name="住宅公共部分装修">'不动产比较法-住宅'!$B$109:$M$109</definedName>
    <definedName name="住宅基础设施水平" localSheetId="22">'[1]不动产比较法-住宅'!$B$116:$M$116</definedName>
    <definedName name="住宅基础设施水平" localSheetId="20">'[1]不动产比较法-住宅'!$B$116:$M$116</definedName>
    <definedName name="住宅基础设施水平" localSheetId="19">'不动产比较法-住宅 (2)'!$B$116:$M$116</definedName>
    <definedName name="住宅基础设施水平">'不动产比较法-住宅'!$B$116:$M$116</definedName>
    <definedName name="住宅建筑结构" localSheetId="22">'[1]不动产比较法-住宅'!$B$105:$M$105</definedName>
    <definedName name="住宅建筑结构" localSheetId="20">'[1]不动产比较法-住宅'!$B$105:$M$105</definedName>
    <definedName name="住宅建筑结构" localSheetId="19">'不动产比较法-住宅 (2)'!$B$105:$M$105</definedName>
    <definedName name="住宅建筑结构">'不动产比较法-住宅'!$B$105:$M$105</definedName>
    <definedName name="住宅建筑类型" localSheetId="22">'[1]不动产比较法-住宅'!$B$100:$M$100</definedName>
    <definedName name="住宅建筑类型" localSheetId="20">'[1]不动产比较法-住宅'!$B$100:$M$100</definedName>
    <definedName name="住宅建筑类型" localSheetId="19">'不动产比较法-住宅 (2)'!$B$100:$M$100</definedName>
    <definedName name="住宅建筑类型">'不动产比较法-住宅'!$B$100:$M$100</definedName>
    <definedName name="住宅建筑品质" localSheetId="22">'[1]不动产比较法-住宅'!$B$107:$M$107</definedName>
    <definedName name="住宅建筑品质" localSheetId="20">'[1]不动产比较法-住宅'!$B$107:$M$107</definedName>
    <definedName name="住宅建筑品质" localSheetId="19">'不动产比较法-住宅 (2)'!$B$107:$M$107</definedName>
    <definedName name="住宅建筑品质">'不动产比较法-住宅'!$B$107:$M$107</definedName>
    <definedName name="住宅交易情况" localSheetId="22">'[1]不动产比较法-住宅'!$A$61:$M$61</definedName>
    <definedName name="住宅交易情况" localSheetId="20">'[1]不动产比较法-住宅'!$A$61:$M$61</definedName>
    <definedName name="住宅交易情况" localSheetId="19">'不动产比较法-住宅 (2)'!$A$61:$M$61</definedName>
    <definedName name="住宅交易情况">'不动产比较法-住宅'!$A$61:$M$61</definedName>
    <definedName name="住宅楼层" localSheetId="22">'[1]不动产比较法-住宅'!$B$86:$M$86</definedName>
    <definedName name="住宅楼层" localSheetId="20">'[1]不动产比较法-住宅'!$B$86:$M$86</definedName>
    <definedName name="住宅楼层" localSheetId="19">'不动产比较法-住宅 (2)'!$B$86:$M$86</definedName>
    <definedName name="住宅楼层">'不动产比较法-住宅'!$B$86:$M$86</definedName>
    <definedName name="住宅内部装修" localSheetId="22">'[1]不动产比较法-住宅'!$B$122:$M$122</definedName>
    <definedName name="住宅内部装修" localSheetId="20">'[1]不动产比较法-住宅'!$B$122:$M$122</definedName>
    <definedName name="住宅内部装修" localSheetId="19">'不动产比较法-住宅 (2)'!$B$122:$M$122</definedName>
    <definedName name="住宅内部装修">'不动产比较法-住宅'!$B$122:$M$122</definedName>
    <definedName name="住宅物业管理" localSheetId="22">'[1]不动产比较法-住宅'!$B$114:$M$114</definedName>
    <definedName name="住宅物业管理" localSheetId="20">'[1]不动产比较法-住宅'!$B$114:$M$114</definedName>
    <definedName name="住宅物业管理" localSheetId="19">'不动产比较法-住宅 (2)'!$B$114:$M$114</definedName>
    <definedName name="住宅物业管理">'不动产比较法-住宅'!$B$114:$M$114</definedName>
    <definedName name="住宅用途" localSheetId="22">'[1]不动产比较法-住宅'!$B$63:$M$63</definedName>
    <definedName name="住宅用途" localSheetId="20">'[1]不动产比较法-住宅'!$B$63:$M$63</definedName>
    <definedName name="住宅用途" localSheetId="19">'不动产比较法-住宅 (2)'!$B$63:$M$63</definedName>
    <definedName name="住宅用途">'不动产比较法-住宅'!$B$63:$M$63</definedName>
    <definedName name="住宅主力户型面积" localSheetId="19">'不动产比较法-住宅 (2)'!$B$120:$M$120</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5" i="66" l="1"/>
  <c r="G15" i="66"/>
  <c r="C15" i="66"/>
  <c r="B15" i="66"/>
  <c r="E40" i="39"/>
  <c r="F40" i="39"/>
  <c r="AA40" i="39"/>
  <c r="D126" i="39"/>
  <c r="E126" i="39"/>
  <c r="F126" i="39"/>
  <c r="F43" i="39"/>
  <c r="AA43" i="39"/>
  <c r="D122" i="39"/>
  <c r="E122" i="39"/>
  <c r="F41" i="39"/>
  <c r="AA41" i="39"/>
  <c r="R49" i="39"/>
  <c r="G40" i="39"/>
  <c r="H40" i="39"/>
  <c r="AB40" i="39"/>
  <c r="H43" i="39"/>
  <c r="AB43" i="39"/>
  <c r="H41" i="39"/>
  <c r="AB41" i="39"/>
  <c r="T49" i="39"/>
  <c r="I40" i="39"/>
  <c r="J40" i="39"/>
  <c r="AC40" i="39"/>
  <c r="J43" i="39"/>
  <c r="AC43" i="39"/>
  <c r="J41" i="39"/>
  <c r="AC41" i="39"/>
  <c r="V49" i="39"/>
  <c r="R50" i="39"/>
  <c r="C50" i="39"/>
  <c r="F68" i="39"/>
  <c r="B2" i="39"/>
  <c r="C19" i="9"/>
  <c r="C7" i="69"/>
  <c r="C58" i="69"/>
  <c r="D58" i="69"/>
  <c r="E58" i="69"/>
  <c r="F58" i="69"/>
  <c r="G58" i="69"/>
  <c r="H58" i="69"/>
  <c r="I58" i="69"/>
  <c r="J58" i="69"/>
  <c r="K58" i="69"/>
  <c r="L58" i="69"/>
  <c r="M58" i="69"/>
  <c r="N58" i="69"/>
  <c r="O58" i="69"/>
  <c r="F7" i="69"/>
  <c r="AA7" i="69"/>
  <c r="C11" i="69"/>
  <c r="F11" i="69"/>
  <c r="AA11" i="69"/>
  <c r="C33" i="69"/>
  <c r="F33" i="69"/>
  <c r="AA33" i="69"/>
  <c r="R48" i="69"/>
  <c r="H7" i="69"/>
  <c r="AB7" i="69"/>
  <c r="H11" i="69"/>
  <c r="AB11" i="69"/>
  <c r="H33" i="69"/>
  <c r="AB33" i="69"/>
  <c r="T48" i="69"/>
  <c r="J7" i="69"/>
  <c r="AC7" i="69"/>
  <c r="J11" i="69"/>
  <c r="AC11" i="69"/>
  <c r="J33" i="69"/>
  <c r="AC33" i="69"/>
  <c r="V48" i="69"/>
  <c r="R49" i="69"/>
  <c r="C49" i="69"/>
  <c r="C8" i="12"/>
  <c r="C10" i="12"/>
  <c r="C7" i="70"/>
  <c r="C58" i="70"/>
  <c r="D58" i="70"/>
  <c r="E58" i="70"/>
  <c r="F58" i="70"/>
  <c r="G58" i="70"/>
  <c r="H58" i="70"/>
  <c r="I58" i="70"/>
  <c r="J58" i="70"/>
  <c r="K58" i="70"/>
  <c r="L58" i="70"/>
  <c r="M58" i="70"/>
  <c r="N58" i="70"/>
  <c r="O58" i="70"/>
  <c r="F7" i="70"/>
  <c r="AA7" i="70"/>
  <c r="C11" i="70"/>
  <c r="F11" i="70"/>
  <c r="AA11" i="70"/>
  <c r="E29" i="70"/>
  <c r="C29" i="70"/>
  <c r="F29" i="70"/>
  <c r="AA29" i="70"/>
  <c r="F38" i="70"/>
  <c r="AA38" i="70"/>
  <c r="R48" i="70"/>
  <c r="H7" i="70"/>
  <c r="AB7" i="70"/>
  <c r="H11" i="70"/>
  <c r="AB11" i="70"/>
  <c r="G29" i="70"/>
  <c r="H29" i="70"/>
  <c r="AB29" i="70"/>
  <c r="H38" i="70"/>
  <c r="AB38" i="70"/>
  <c r="T48" i="70"/>
  <c r="J7" i="70"/>
  <c r="AC7" i="70"/>
  <c r="J11" i="70"/>
  <c r="AC11" i="70"/>
  <c r="I29" i="70"/>
  <c r="J29" i="70"/>
  <c r="AC29" i="70"/>
  <c r="J38" i="70"/>
  <c r="AC38" i="70"/>
  <c r="V48" i="70"/>
  <c r="R49" i="70"/>
  <c r="C49" i="70"/>
  <c r="D8" i="12"/>
  <c r="D10" i="12"/>
  <c r="C6" i="12"/>
  <c r="C13" i="12"/>
  <c r="C14" i="12"/>
  <c r="C15" i="12"/>
  <c r="D16" i="12"/>
  <c r="C16" i="12"/>
  <c r="C17" i="12"/>
  <c r="C18" i="12"/>
  <c r="D19" i="12"/>
  <c r="C19" i="12"/>
  <c r="D21" i="12"/>
  <c r="C21" i="12"/>
  <c r="D22" i="12"/>
  <c r="C22" i="12"/>
  <c r="C20" i="12"/>
  <c r="C23" i="12"/>
  <c r="C24" i="12"/>
  <c r="I6" i="65"/>
  <c r="I1" i="65"/>
  <c r="I5" i="65"/>
  <c r="E2" i="65"/>
  <c r="B40" i="1"/>
  <c r="F26" i="12"/>
  <c r="C28" i="12"/>
  <c r="C26" i="12"/>
  <c r="B43" i="1"/>
  <c r="B41" i="1"/>
  <c r="F29" i="12"/>
  <c r="C29" i="12"/>
  <c r="C31" i="12"/>
  <c r="C30" i="12"/>
  <c r="F33" i="12"/>
  <c r="C35" i="12"/>
  <c r="C33" i="12"/>
  <c r="C27" i="12"/>
  <c r="D26" i="12"/>
  <c r="C32" i="12"/>
  <c r="D30" i="12"/>
  <c r="C34" i="12"/>
  <c r="D33" i="12"/>
  <c r="C36" i="12"/>
  <c r="B2" i="12"/>
  <c r="D19" i="9"/>
  <c r="G19" i="9"/>
  <c r="D83" i="39"/>
  <c r="E83" i="39"/>
  <c r="F13" i="39"/>
  <c r="AA13" i="39"/>
  <c r="D91" i="39"/>
  <c r="E91" i="39"/>
  <c r="F17" i="39"/>
  <c r="AA17" i="39"/>
  <c r="D93" i="39"/>
  <c r="E93" i="39"/>
  <c r="F19" i="39"/>
  <c r="AA19" i="39"/>
  <c r="D97" i="39"/>
  <c r="E97" i="39"/>
  <c r="F23" i="39"/>
  <c r="AA23" i="39"/>
  <c r="F83" i="39"/>
  <c r="G83" i="39"/>
  <c r="H13" i="39"/>
  <c r="AB13" i="39"/>
  <c r="H17" i="39"/>
  <c r="AB17" i="39"/>
  <c r="H19" i="39"/>
  <c r="AB19" i="39"/>
  <c r="H23" i="39"/>
  <c r="AB23" i="39"/>
  <c r="J13" i="39"/>
  <c r="AC13" i="39"/>
  <c r="J17" i="39"/>
  <c r="AC17" i="39"/>
  <c r="J19" i="39"/>
  <c r="AC19" i="39"/>
  <c r="J23" i="39"/>
  <c r="AC23" i="39"/>
  <c r="D14" i="9"/>
  <c r="B130" i="70"/>
  <c r="B128" i="70"/>
  <c r="B126" i="70"/>
  <c r="D125" i="70"/>
  <c r="E125" i="70"/>
  <c r="F125" i="70"/>
  <c r="G125" i="70"/>
  <c r="D123" i="70"/>
  <c r="E123" i="70"/>
  <c r="F123" i="70"/>
  <c r="G123" i="70"/>
  <c r="H123" i="70"/>
  <c r="I123" i="70"/>
  <c r="J123" i="70"/>
  <c r="K123" i="70"/>
  <c r="L123" i="70"/>
  <c r="M123" i="70"/>
  <c r="D121" i="70"/>
  <c r="E121" i="70"/>
  <c r="F121" i="70"/>
  <c r="G121" i="70"/>
  <c r="H121" i="70"/>
  <c r="I121" i="70"/>
  <c r="J121" i="70"/>
  <c r="K121" i="70"/>
  <c r="L121" i="70"/>
  <c r="M121" i="70"/>
  <c r="D117" i="70"/>
  <c r="E117" i="70"/>
  <c r="F117" i="70"/>
  <c r="G117" i="70"/>
  <c r="D115" i="70"/>
  <c r="E115" i="70"/>
  <c r="F115" i="70"/>
  <c r="G115" i="70"/>
  <c r="H115" i="70"/>
  <c r="I115" i="70"/>
  <c r="J115" i="70"/>
  <c r="K115" i="70"/>
  <c r="L115" i="70"/>
  <c r="M115" i="70"/>
  <c r="D113" i="70"/>
  <c r="E113" i="70"/>
  <c r="F113" i="70"/>
  <c r="G113" i="70"/>
  <c r="H113" i="70"/>
  <c r="I113" i="70"/>
  <c r="J113" i="70"/>
  <c r="K113" i="70"/>
  <c r="L113" i="70"/>
  <c r="M113" i="70"/>
  <c r="D111" i="70"/>
  <c r="E111" i="70"/>
  <c r="F111" i="70"/>
  <c r="G111" i="70"/>
  <c r="H111" i="70"/>
  <c r="I111" i="70"/>
  <c r="J111" i="70"/>
  <c r="K111" i="70"/>
  <c r="L111" i="70"/>
  <c r="M111" i="70"/>
  <c r="G109" i="70"/>
  <c r="F109" i="70"/>
  <c r="E109" i="70"/>
  <c r="D109" i="70"/>
  <c r="C109"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D91" i="70"/>
  <c r="E91" i="70"/>
  <c r="F91" i="70"/>
  <c r="G91" i="70"/>
  <c r="H91" i="70"/>
  <c r="I91" i="70"/>
  <c r="J91" i="70"/>
  <c r="K91" i="70"/>
  <c r="L91" i="70"/>
  <c r="M91" i="70"/>
  <c r="B90" i="70"/>
  <c r="B88" i="70"/>
  <c r="D87" i="70"/>
  <c r="E87" i="70"/>
  <c r="F87" i="70"/>
  <c r="G87" i="70"/>
  <c r="H87" i="70"/>
  <c r="I87" i="70"/>
  <c r="J87" i="70"/>
  <c r="K87" i="70"/>
  <c r="L87" i="70"/>
  <c r="M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G66" i="70"/>
  <c r="H66" i="70"/>
  <c r="I66" i="70"/>
  <c r="C63" i="70"/>
  <c r="I54" i="70"/>
  <c r="J54" i="70"/>
  <c r="G54" i="70"/>
  <c r="H54" i="70"/>
  <c r="E54" i="70"/>
  <c r="F54" i="70"/>
  <c r="V47" i="70"/>
  <c r="J8" i="70"/>
  <c r="AC8" i="70"/>
  <c r="J9" i="70"/>
  <c r="AC9" i="70"/>
  <c r="J10" i="70"/>
  <c r="AC10"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30" i="70"/>
  <c r="AC30" i="70"/>
  <c r="J31" i="70"/>
  <c r="AC31" i="70"/>
  <c r="J32" i="70"/>
  <c r="AC32" i="70"/>
  <c r="J33" i="70"/>
  <c r="AC33" i="70"/>
  <c r="J34" i="70"/>
  <c r="AC34" i="70"/>
  <c r="J35" i="70"/>
  <c r="AC35" i="70"/>
  <c r="J36" i="70"/>
  <c r="AC36" i="70"/>
  <c r="J37" i="70"/>
  <c r="AC37" i="70"/>
  <c r="J39" i="70"/>
  <c r="AC39" i="70"/>
  <c r="J40" i="70"/>
  <c r="AC40" i="70"/>
  <c r="J41" i="70"/>
  <c r="AC41" i="70"/>
  <c r="J42" i="70"/>
  <c r="AC42" i="70"/>
  <c r="J43" i="70"/>
  <c r="AC43" i="70"/>
  <c r="J44" i="70"/>
  <c r="AC44" i="70"/>
  <c r="J45" i="70"/>
  <c r="AC45" i="70"/>
  <c r="J46" i="70"/>
  <c r="AC46" i="70"/>
  <c r="I48" i="70"/>
  <c r="R47" i="70"/>
  <c r="F8" i="70"/>
  <c r="AA8" i="70"/>
  <c r="F9" i="70"/>
  <c r="AA9" i="70"/>
  <c r="F10" i="70"/>
  <c r="AA10" i="70"/>
  <c r="F12" i="70"/>
  <c r="AA12" i="70"/>
  <c r="F13" i="70"/>
  <c r="AA13" i="70"/>
  <c r="F14" i="70"/>
  <c r="AA14" i="70"/>
  <c r="F15" i="70"/>
  <c r="AA15" i="70"/>
  <c r="F17" i="70"/>
  <c r="AA17" i="70"/>
  <c r="F19" i="70"/>
  <c r="AA19" i="70"/>
  <c r="F21" i="70"/>
  <c r="AA21" i="70"/>
  <c r="F23" i="70"/>
  <c r="AA23" i="70"/>
  <c r="F25" i="70"/>
  <c r="AA25" i="70"/>
  <c r="F26" i="70"/>
  <c r="AA26" i="70"/>
  <c r="F27" i="70"/>
  <c r="AA27" i="70"/>
  <c r="F28" i="70"/>
  <c r="AA28" i="70"/>
  <c r="F30" i="70"/>
  <c r="AA30" i="70"/>
  <c r="F31" i="70"/>
  <c r="AA31" i="70"/>
  <c r="F32" i="70"/>
  <c r="AA32" i="70"/>
  <c r="F33" i="70"/>
  <c r="AA33" i="70"/>
  <c r="F34" i="70"/>
  <c r="AA34" i="70"/>
  <c r="F35" i="70"/>
  <c r="AA35" i="70"/>
  <c r="F36" i="70"/>
  <c r="AA36" i="70"/>
  <c r="F37" i="70"/>
  <c r="AA37" i="70"/>
  <c r="F39" i="70"/>
  <c r="AA39" i="70"/>
  <c r="F40" i="70"/>
  <c r="AA40" i="70"/>
  <c r="F41" i="70"/>
  <c r="AA41" i="70"/>
  <c r="F42" i="70"/>
  <c r="AA42" i="70"/>
  <c r="F43" i="70"/>
  <c r="AA43" i="70"/>
  <c r="F44" i="70"/>
  <c r="AA44" i="70"/>
  <c r="F45" i="70"/>
  <c r="AA45" i="70"/>
  <c r="F46" i="70"/>
  <c r="AA46" i="70"/>
  <c r="E48" i="70"/>
  <c r="I53" i="70"/>
  <c r="J53" i="70"/>
  <c r="T47" i="70"/>
  <c r="H8" i="70"/>
  <c r="AB8" i="70"/>
  <c r="H9" i="70"/>
  <c r="AB9" i="70"/>
  <c r="H10" i="70"/>
  <c r="AB10"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30" i="70"/>
  <c r="AB30" i="70"/>
  <c r="H31" i="70"/>
  <c r="AB31" i="70"/>
  <c r="H32" i="70"/>
  <c r="AB32" i="70"/>
  <c r="H33" i="70"/>
  <c r="AB33" i="70"/>
  <c r="H34" i="70"/>
  <c r="AB34" i="70"/>
  <c r="H35" i="70"/>
  <c r="AB35" i="70"/>
  <c r="H36" i="70"/>
  <c r="AB36" i="70"/>
  <c r="H37" i="70"/>
  <c r="AB37" i="70"/>
  <c r="H39" i="70"/>
  <c r="AB39" i="70"/>
  <c r="H40" i="70"/>
  <c r="AB40" i="70"/>
  <c r="H41" i="70"/>
  <c r="AB41" i="70"/>
  <c r="H42" i="70"/>
  <c r="AB42" i="70"/>
  <c r="H43" i="70"/>
  <c r="AB43" i="70"/>
  <c r="H44" i="70"/>
  <c r="AB44" i="70"/>
  <c r="H45" i="70"/>
  <c r="AB45" i="70"/>
  <c r="H46" i="70"/>
  <c r="AB46"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D3" i="70"/>
  <c r="B3" i="70"/>
  <c r="B2" i="70"/>
  <c r="J140" i="69"/>
  <c r="C145" i="69"/>
  <c r="K139" i="69"/>
  <c r="K145" i="69"/>
  <c r="K144" i="69"/>
  <c r="K143" i="69"/>
  <c r="J142" i="69"/>
  <c r="K141" i="69"/>
  <c r="B130" i="69"/>
  <c r="B128" i="69"/>
  <c r="B126" i="69"/>
  <c r="D125" i="69"/>
  <c r="E125" i="69"/>
  <c r="F125" i="69"/>
  <c r="G125" i="69"/>
  <c r="D123" i="69"/>
  <c r="E123" i="69"/>
  <c r="F123" i="69"/>
  <c r="G123" i="69"/>
  <c r="H123" i="69"/>
  <c r="I123" i="69"/>
  <c r="J123" i="69"/>
  <c r="K123" i="69"/>
  <c r="L123" i="69"/>
  <c r="M123"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D113" i="69"/>
  <c r="E113" i="69"/>
  <c r="F113" i="69"/>
  <c r="G113"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B98" i="69"/>
  <c r="B96" i="69"/>
  <c r="B94" i="69"/>
  <c r="B92" i="69"/>
  <c r="B90" i="69"/>
  <c r="D89" i="69"/>
  <c r="E89" i="69"/>
  <c r="F89" i="69"/>
  <c r="G89" i="69"/>
  <c r="H89" i="69"/>
  <c r="I89" i="69"/>
  <c r="J89" i="69"/>
  <c r="K89" i="69"/>
  <c r="L89" i="69"/>
  <c r="M89" i="69"/>
  <c r="M87" i="69"/>
  <c r="L87" i="69"/>
  <c r="K87" i="69"/>
  <c r="J87" i="69"/>
  <c r="I87" i="69"/>
  <c r="H87" i="69"/>
  <c r="G87" i="69"/>
  <c r="F87" i="69"/>
  <c r="E87" i="69"/>
  <c r="D87" i="69"/>
  <c r="D85" i="69"/>
  <c r="E85" i="69"/>
  <c r="F85" i="69"/>
  <c r="G85" i="69"/>
  <c r="D83" i="69"/>
  <c r="E83" i="69"/>
  <c r="F83" i="69"/>
  <c r="G83" i="69"/>
  <c r="D81" i="69"/>
  <c r="E81" i="69"/>
  <c r="F81" i="69"/>
  <c r="G81" i="69"/>
  <c r="D79" i="69"/>
  <c r="E79" i="69"/>
  <c r="F79" i="69"/>
  <c r="G79" i="69"/>
  <c r="D77" i="69"/>
  <c r="E77" i="69"/>
  <c r="F77" i="69"/>
  <c r="G77" i="69"/>
  <c r="B74" i="69"/>
  <c r="B72" i="69"/>
  <c r="B70" i="69"/>
  <c r="D69"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C63" i="69"/>
  <c r="I54" i="69"/>
  <c r="J54" i="69"/>
  <c r="G54" i="69"/>
  <c r="H54" i="69"/>
  <c r="E54" i="69"/>
  <c r="F54" i="69"/>
  <c r="V47" i="69"/>
  <c r="J8" i="69"/>
  <c r="AC8" i="69"/>
  <c r="J9" i="69"/>
  <c r="AC9" i="69"/>
  <c r="J10" i="69"/>
  <c r="AC10" i="69"/>
  <c r="J12" i="69"/>
  <c r="AC12" i="69"/>
  <c r="J13" i="69"/>
  <c r="AC13" i="69"/>
  <c r="J14" i="69"/>
  <c r="AC14" i="69"/>
  <c r="J15" i="69"/>
  <c r="AC15" i="69"/>
  <c r="J17" i="69"/>
  <c r="AC17" i="69"/>
  <c r="J19" i="69"/>
  <c r="AC19" i="69"/>
  <c r="J21" i="69"/>
  <c r="AC21" i="69"/>
  <c r="J23" i="69"/>
  <c r="AC23" i="69"/>
  <c r="J25" i="69"/>
  <c r="AC25" i="69"/>
  <c r="J26" i="69"/>
  <c r="AC26" i="69"/>
  <c r="J27" i="69"/>
  <c r="AC27" i="69"/>
  <c r="J28" i="69"/>
  <c r="AC28" i="69"/>
  <c r="J29" i="69"/>
  <c r="AC29" i="69"/>
  <c r="J30" i="69"/>
  <c r="AC30" i="69"/>
  <c r="J31" i="69"/>
  <c r="AC31" i="69"/>
  <c r="J32" i="69"/>
  <c r="AC32" i="69"/>
  <c r="J34" i="69"/>
  <c r="AC34" i="69"/>
  <c r="J35" i="69"/>
  <c r="AC35" i="69"/>
  <c r="J36" i="69"/>
  <c r="AC36" i="69"/>
  <c r="J37" i="69"/>
  <c r="AC37" i="69"/>
  <c r="J38" i="69"/>
  <c r="AC38" i="69"/>
  <c r="J39" i="69"/>
  <c r="AC39" i="69"/>
  <c r="J40" i="69"/>
  <c r="AC40" i="69"/>
  <c r="J41" i="69"/>
  <c r="AC41" i="69"/>
  <c r="J42" i="69"/>
  <c r="AC42" i="69"/>
  <c r="J43" i="69"/>
  <c r="AC43" i="69"/>
  <c r="J44" i="69"/>
  <c r="AC44" i="69"/>
  <c r="J45" i="69"/>
  <c r="AC45" i="69"/>
  <c r="J46" i="69"/>
  <c r="AC46" i="69"/>
  <c r="I48" i="69"/>
  <c r="R47" i="69"/>
  <c r="F8" i="69"/>
  <c r="AA8" i="69"/>
  <c r="F9" i="69"/>
  <c r="AA9" i="69"/>
  <c r="F10" i="69"/>
  <c r="AA10" i="69"/>
  <c r="F12" i="69"/>
  <c r="AA12" i="69"/>
  <c r="F13" i="69"/>
  <c r="AA13" i="69"/>
  <c r="F14" i="69"/>
  <c r="AA14" i="69"/>
  <c r="F15" i="69"/>
  <c r="AA15" i="69"/>
  <c r="F17" i="69"/>
  <c r="AA17" i="69"/>
  <c r="F19" i="69"/>
  <c r="AA19" i="69"/>
  <c r="F21" i="69"/>
  <c r="AA21" i="69"/>
  <c r="F23" i="69"/>
  <c r="AA23" i="69"/>
  <c r="F25" i="69"/>
  <c r="AA25" i="69"/>
  <c r="F26" i="69"/>
  <c r="AA26" i="69"/>
  <c r="F27" i="69"/>
  <c r="AA27" i="69"/>
  <c r="F28" i="69"/>
  <c r="AA28" i="69"/>
  <c r="F29" i="69"/>
  <c r="AA29" i="69"/>
  <c r="F30" i="69"/>
  <c r="AA30" i="69"/>
  <c r="F31" i="69"/>
  <c r="AA31" i="69"/>
  <c r="F32" i="69"/>
  <c r="AA32" i="69"/>
  <c r="F34" i="69"/>
  <c r="AA34" i="69"/>
  <c r="F35" i="69"/>
  <c r="AA35" i="69"/>
  <c r="F36" i="69"/>
  <c r="AA36" i="69"/>
  <c r="F37" i="69"/>
  <c r="AA37" i="69"/>
  <c r="F38" i="69"/>
  <c r="AA38" i="69"/>
  <c r="F39" i="69"/>
  <c r="AA39" i="69"/>
  <c r="F40" i="69"/>
  <c r="AA40" i="69"/>
  <c r="F41" i="69"/>
  <c r="AA41" i="69"/>
  <c r="F42" i="69"/>
  <c r="AA42" i="69"/>
  <c r="F43" i="69"/>
  <c r="AA43" i="69"/>
  <c r="F44" i="69"/>
  <c r="AA44" i="69"/>
  <c r="F45" i="69"/>
  <c r="AA45" i="69"/>
  <c r="F46" i="69"/>
  <c r="AA46" i="69"/>
  <c r="E48" i="69"/>
  <c r="I53" i="69"/>
  <c r="J53" i="69"/>
  <c r="T47" i="69"/>
  <c r="H8" i="69"/>
  <c r="AB8" i="69"/>
  <c r="H9" i="69"/>
  <c r="AB9" i="69"/>
  <c r="H10" i="69"/>
  <c r="AB10" i="69"/>
  <c r="H12" i="69"/>
  <c r="AB12" i="69"/>
  <c r="H13" i="69"/>
  <c r="AB13" i="69"/>
  <c r="H14" i="69"/>
  <c r="AB14" i="69"/>
  <c r="H15" i="69"/>
  <c r="AB15" i="69"/>
  <c r="H17" i="69"/>
  <c r="AB17" i="69"/>
  <c r="H19" i="69"/>
  <c r="AB19" i="69"/>
  <c r="H21" i="69"/>
  <c r="AB21" i="69"/>
  <c r="H23" i="69"/>
  <c r="AB23" i="69"/>
  <c r="H25" i="69"/>
  <c r="AB25" i="69"/>
  <c r="H26" i="69"/>
  <c r="AB26" i="69"/>
  <c r="H27" i="69"/>
  <c r="AB27" i="69"/>
  <c r="H28" i="69"/>
  <c r="AB28" i="69"/>
  <c r="H29" i="69"/>
  <c r="AB29" i="69"/>
  <c r="H30" i="69"/>
  <c r="AB30" i="69"/>
  <c r="H31" i="69"/>
  <c r="AB31" i="69"/>
  <c r="H32" i="69"/>
  <c r="AB32" i="69"/>
  <c r="H34" i="69"/>
  <c r="AB34" i="69"/>
  <c r="H35" i="69"/>
  <c r="AB35" i="69"/>
  <c r="H36" i="69"/>
  <c r="AB36" i="69"/>
  <c r="H37" i="69"/>
  <c r="AB37" i="69"/>
  <c r="H38" i="69"/>
  <c r="AB38" i="69"/>
  <c r="H39" i="69"/>
  <c r="AB39" i="69"/>
  <c r="H40" i="69"/>
  <c r="AB40" i="69"/>
  <c r="H41" i="69"/>
  <c r="AB41" i="69"/>
  <c r="H42" i="69"/>
  <c r="AB42" i="69"/>
  <c r="H43" i="69"/>
  <c r="AB43" i="69"/>
  <c r="H44" i="69"/>
  <c r="AB44" i="69"/>
  <c r="H45" i="69"/>
  <c r="AB45" i="69"/>
  <c r="H46" i="69"/>
  <c r="AB46" i="69"/>
  <c r="G48" i="69"/>
  <c r="G53" i="69"/>
  <c r="H53" i="69"/>
  <c r="E53" i="69"/>
  <c r="F53" i="69"/>
  <c r="I52" i="69"/>
  <c r="J52" i="69"/>
  <c r="G52" i="69"/>
  <c r="H52" i="69"/>
  <c r="E52" i="69"/>
  <c r="F52" i="69"/>
  <c r="P49" i="69"/>
  <c r="P48" i="69"/>
  <c r="C48" i="69"/>
  <c r="P47" i="69"/>
  <c r="Q46" i="69"/>
  <c r="Z46" i="69"/>
  <c r="W46" i="69"/>
  <c r="U46" i="69"/>
  <c r="S46" i="69"/>
  <c r="Q45" i="69"/>
  <c r="Z45" i="69"/>
  <c r="W45" i="69"/>
  <c r="U45" i="69"/>
  <c r="S45" i="69"/>
  <c r="Q44" i="69"/>
  <c r="Z44" i="69"/>
  <c r="W44" i="69"/>
  <c r="U44" i="69"/>
  <c r="S44" i="69"/>
  <c r="Q43" i="69"/>
  <c r="Z43" i="69"/>
  <c r="W43" i="69"/>
  <c r="U43" i="69"/>
  <c r="S43" i="69"/>
  <c r="Q42" i="69"/>
  <c r="Z42" i="69"/>
  <c r="W42" i="69"/>
  <c r="U42" i="69"/>
  <c r="S42" i="69"/>
  <c r="Q41" i="69"/>
  <c r="Z41" i="69"/>
  <c r="W41" i="69"/>
  <c r="U41" i="69"/>
  <c r="S41" i="69"/>
  <c r="Q40" i="69"/>
  <c r="Z40" i="69"/>
  <c r="W40" i="69"/>
  <c r="U40" i="69"/>
  <c r="S40" i="69"/>
  <c r="Q39" i="69"/>
  <c r="Z39" i="69"/>
  <c r="W39" i="69"/>
  <c r="U39" i="69"/>
  <c r="S39" i="69"/>
  <c r="Q38" i="69"/>
  <c r="Z38" i="69"/>
  <c r="W38" i="69"/>
  <c r="U38" i="69"/>
  <c r="S38" i="69"/>
  <c r="Q37" i="69"/>
  <c r="Z37" i="69"/>
  <c r="W37" i="69"/>
  <c r="U37" i="69"/>
  <c r="S37" i="69"/>
  <c r="Q36" i="69"/>
  <c r="Z36" i="69"/>
  <c r="W36" i="69"/>
  <c r="U36" i="69"/>
  <c r="S36" i="69"/>
  <c r="Q35" i="69"/>
  <c r="Z35" i="69"/>
  <c r="W35" i="69"/>
  <c r="U35" i="69"/>
  <c r="S35" i="69"/>
  <c r="Q34" i="69"/>
  <c r="Z34" i="69"/>
  <c r="W34" i="69"/>
  <c r="U34" i="69"/>
  <c r="S34" i="69"/>
  <c r="Q33" i="69"/>
  <c r="Z33" i="69"/>
  <c r="W33" i="69"/>
  <c r="U33" i="69"/>
  <c r="S33" i="69"/>
  <c r="Q32" i="69"/>
  <c r="Z32" i="69"/>
  <c r="W32" i="69"/>
  <c r="U32" i="69"/>
  <c r="S32" i="69"/>
  <c r="Q31" i="69"/>
  <c r="Z31" i="69"/>
  <c r="W31" i="69"/>
  <c r="U31" i="69"/>
  <c r="S31" i="69"/>
  <c r="Q30" i="69"/>
  <c r="Z30" i="69"/>
  <c r="W30" i="69"/>
  <c r="U30" i="69"/>
  <c r="S30" i="69"/>
  <c r="Q29" i="69"/>
  <c r="Z29" i="69"/>
  <c r="W29" i="69"/>
  <c r="U29" i="69"/>
  <c r="S29" i="69"/>
  <c r="Q28" i="69"/>
  <c r="Z28" i="69"/>
  <c r="W28" i="69"/>
  <c r="U28" i="69"/>
  <c r="S28" i="69"/>
  <c r="Q27" i="69"/>
  <c r="Z27" i="69"/>
  <c r="W27" i="69"/>
  <c r="U27" i="69"/>
  <c r="S27" i="69"/>
  <c r="Q26" i="69"/>
  <c r="Z26" i="69"/>
  <c r="W26" i="69"/>
  <c r="U26" i="69"/>
  <c r="S26" i="69"/>
  <c r="Q25" i="69"/>
  <c r="Z25" i="69"/>
  <c r="W25" i="69"/>
  <c r="U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c r="W13" i="69"/>
  <c r="U13" i="69"/>
  <c r="S13" i="69"/>
  <c r="Q12" i="69"/>
  <c r="Z12" i="69"/>
  <c r="W12" i="69"/>
  <c r="U12" i="69"/>
  <c r="S12" i="69"/>
  <c r="Q11" i="69"/>
  <c r="Z11" i="69"/>
  <c r="W11" i="69"/>
  <c r="U11" i="69"/>
  <c r="S11" i="69"/>
  <c r="Q10" i="69"/>
  <c r="Z10" i="69"/>
  <c r="W10" i="69"/>
  <c r="U10" i="69"/>
  <c r="S10" i="69"/>
  <c r="Q9" i="69"/>
  <c r="Z9" i="69"/>
  <c r="W9" i="69"/>
  <c r="U9" i="69"/>
  <c r="S9" i="69"/>
  <c r="W8" i="69"/>
  <c r="U8" i="69"/>
  <c r="S8" i="69"/>
  <c r="W7" i="69"/>
  <c r="U7" i="69"/>
  <c r="S7" i="69"/>
  <c r="D3" i="69"/>
  <c r="B3" i="69"/>
  <c r="B2" i="69"/>
  <c r="I7" i="39"/>
  <c r="G7" i="39"/>
  <c r="E7" i="39"/>
  <c r="G13" i="68"/>
  <c r="B133" i="68"/>
  <c r="B131" i="68"/>
  <c r="B129" i="68"/>
  <c r="D128" i="68"/>
  <c r="E128" i="68"/>
  <c r="F128" i="68"/>
  <c r="G128" i="68"/>
  <c r="H128" i="68"/>
  <c r="I128" i="68"/>
  <c r="J128" i="68"/>
  <c r="K128" i="68"/>
  <c r="L128" i="68"/>
  <c r="M128" i="68"/>
  <c r="D126" i="68"/>
  <c r="E126" i="68"/>
  <c r="F126" i="68"/>
  <c r="G126" i="68"/>
  <c r="H126" i="68"/>
  <c r="I126" i="68"/>
  <c r="J126" i="68"/>
  <c r="K126" i="68"/>
  <c r="L126" i="68"/>
  <c r="M126" i="68"/>
  <c r="D124" i="68"/>
  <c r="E124" i="68"/>
  <c r="F124" i="68"/>
  <c r="G124" i="68"/>
  <c r="H124" i="68"/>
  <c r="I124" i="68"/>
  <c r="J124" i="68"/>
  <c r="K124" i="68"/>
  <c r="L124" i="68"/>
  <c r="M124" i="68"/>
  <c r="D122" i="68"/>
  <c r="E122" i="68"/>
  <c r="F122" i="68"/>
  <c r="G122" i="68"/>
  <c r="H122" i="68"/>
  <c r="I122" i="68"/>
  <c r="J122" i="68"/>
  <c r="K122" i="68"/>
  <c r="L122" i="68"/>
  <c r="M122" i="68"/>
  <c r="M118" i="68"/>
  <c r="L118" i="68"/>
  <c r="K118" i="68"/>
  <c r="J118" i="68"/>
  <c r="I118" i="68"/>
  <c r="H118" i="68"/>
  <c r="G118" i="68"/>
  <c r="F118" i="68"/>
  <c r="E118" i="68"/>
  <c r="D118" i="68"/>
  <c r="C118" i="68"/>
  <c r="B116" i="68"/>
  <c r="B114" i="68"/>
  <c r="B112" i="68"/>
  <c r="D111" i="68"/>
  <c r="E111" i="68"/>
  <c r="F111" i="68"/>
  <c r="G111" i="68"/>
  <c r="H111" i="68"/>
  <c r="I111" i="68"/>
  <c r="J111" i="68"/>
  <c r="K111" i="68"/>
  <c r="L111" i="68"/>
  <c r="M111" i="68"/>
  <c r="D109" i="68"/>
  <c r="E109" i="68"/>
  <c r="F109" i="68"/>
  <c r="G109" i="68"/>
  <c r="H109" i="68"/>
  <c r="I109" i="68"/>
  <c r="J109" i="68"/>
  <c r="K109" i="68"/>
  <c r="L109" i="68"/>
  <c r="M109" i="68"/>
  <c r="D107" i="68"/>
  <c r="E107" i="68"/>
  <c r="F107" i="68"/>
  <c r="G107" i="68"/>
  <c r="H107" i="68"/>
  <c r="I107" i="68"/>
  <c r="J107" i="68"/>
  <c r="K107" i="68"/>
  <c r="L107" i="68"/>
  <c r="M107" i="68"/>
  <c r="B106" i="68"/>
  <c r="D105" i="68"/>
  <c r="E105" i="68"/>
  <c r="F105" i="68"/>
  <c r="G105" i="68"/>
  <c r="D103" i="68"/>
  <c r="E103" i="68"/>
  <c r="F103" i="68"/>
  <c r="G103" i="68"/>
  <c r="D101" i="68"/>
  <c r="E101" i="68"/>
  <c r="F101" i="68"/>
  <c r="G101" i="68"/>
  <c r="D99" i="68"/>
  <c r="E99" i="68"/>
  <c r="F99" i="68"/>
  <c r="G99" i="68"/>
  <c r="D97" i="68"/>
  <c r="E97" i="68"/>
  <c r="F97" i="68"/>
  <c r="G97" i="68"/>
  <c r="D95" i="68"/>
  <c r="E95" i="68"/>
  <c r="F95" i="68"/>
  <c r="G95" i="68"/>
  <c r="D93" i="68"/>
  <c r="E93" i="68"/>
  <c r="F93" i="68"/>
  <c r="G93" i="68"/>
  <c r="D91" i="68"/>
  <c r="E91" i="68"/>
  <c r="F91" i="68"/>
  <c r="G91" i="68"/>
  <c r="B88" i="68"/>
  <c r="B86" i="68"/>
  <c r="B84" i="68"/>
  <c r="D83" i="68"/>
  <c r="E83" i="68"/>
  <c r="F83" i="68"/>
  <c r="G83" i="68"/>
  <c r="H83" i="68"/>
  <c r="I83" i="68"/>
  <c r="J83" i="68"/>
  <c r="K83" i="68"/>
  <c r="L83" i="68"/>
  <c r="M83" i="68"/>
  <c r="M81" i="68"/>
  <c r="L81" i="68"/>
  <c r="K81" i="68"/>
  <c r="J81" i="68"/>
  <c r="I81" i="68"/>
  <c r="H81" i="68"/>
  <c r="G81" i="68"/>
  <c r="F81" i="68"/>
  <c r="E81" i="68"/>
  <c r="D81" i="68"/>
  <c r="C81" i="68"/>
  <c r="D73" i="68"/>
  <c r="E73" i="68"/>
  <c r="F73" i="68"/>
  <c r="G73" i="68"/>
  <c r="H73" i="68"/>
  <c r="I73" i="68"/>
  <c r="J73" i="68"/>
  <c r="K73" i="68"/>
  <c r="L73" i="68"/>
  <c r="M73" i="68"/>
  <c r="N73" i="68"/>
  <c r="B73" i="68"/>
  <c r="C9" i="68"/>
  <c r="C70" i="68"/>
  <c r="D70" i="68"/>
  <c r="E70" i="68"/>
  <c r="F70" i="68"/>
  <c r="G70" i="68"/>
  <c r="H70" i="68"/>
  <c r="I70" i="68"/>
  <c r="J70" i="68"/>
  <c r="K70" i="68"/>
  <c r="L70" i="68"/>
  <c r="M70" i="68"/>
  <c r="N70" i="68"/>
  <c r="N72" i="68"/>
  <c r="M72" i="68"/>
  <c r="L72" i="68"/>
  <c r="K72" i="68"/>
  <c r="J72" i="68"/>
  <c r="I72" i="68"/>
  <c r="H72" i="68"/>
  <c r="G72" i="68"/>
  <c r="F72" i="68"/>
  <c r="E72" i="68"/>
  <c r="D72" i="68"/>
  <c r="C72" i="68"/>
  <c r="E48" i="68"/>
  <c r="R48" i="68"/>
  <c r="E9" i="68"/>
  <c r="F9" i="68"/>
  <c r="AA9" i="68"/>
  <c r="F10" i="68"/>
  <c r="AA10" i="68"/>
  <c r="F11" i="68"/>
  <c r="AA11" i="68"/>
  <c r="F12" i="68"/>
  <c r="AA12" i="68"/>
  <c r="E13" i="68"/>
  <c r="C13" i="68"/>
  <c r="F13" i="68"/>
  <c r="AA13" i="68"/>
  <c r="F14" i="68"/>
  <c r="AA14" i="68"/>
  <c r="F15" i="68"/>
  <c r="AA15" i="68"/>
  <c r="F16" i="68"/>
  <c r="AA16" i="68"/>
  <c r="F17" i="68"/>
  <c r="AA17" i="68"/>
  <c r="F19" i="68"/>
  <c r="AA19" i="68"/>
  <c r="F21" i="68"/>
  <c r="AA21" i="68"/>
  <c r="F23" i="68"/>
  <c r="AA23" i="68"/>
  <c r="F25" i="68"/>
  <c r="AA25" i="68"/>
  <c r="F27" i="68"/>
  <c r="AA27" i="68"/>
  <c r="F29" i="68"/>
  <c r="AA29" i="68"/>
  <c r="F31" i="68"/>
  <c r="AA31" i="68"/>
  <c r="F33" i="68"/>
  <c r="AA33" i="68"/>
  <c r="F34" i="68"/>
  <c r="AA34" i="68"/>
  <c r="F36" i="68"/>
  <c r="AA36" i="68"/>
  <c r="F37" i="68"/>
  <c r="AA37" i="68"/>
  <c r="F38" i="68"/>
  <c r="AA38" i="68"/>
  <c r="F39" i="68"/>
  <c r="AA39" i="68"/>
  <c r="E40" i="68"/>
  <c r="C40" i="68"/>
  <c r="F40" i="68"/>
  <c r="AA40" i="68"/>
  <c r="F41" i="68"/>
  <c r="AA41" i="68"/>
  <c r="F42" i="68"/>
  <c r="AA42" i="68"/>
  <c r="F43" i="68"/>
  <c r="AA43" i="68"/>
  <c r="F44" i="68"/>
  <c r="AA44" i="68"/>
  <c r="F45" i="68"/>
  <c r="AA45" i="68"/>
  <c r="F46" i="68"/>
  <c r="AA46" i="68"/>
  <c r="F47" i="68"/>
  <c r="AA47" i="68"/>
  <c r="R49" i="68"/>
  <c r="G48" i="68"/>
  <c r="T48" i="68"/>
  <c r="G9" i="68"/>
  <c r="H9" i="68"/>
  <c r="AB9" i="68"/>
  <c r="H10" i="68"/>
  <c r="AB10" i="68"/>
  <c r="H11" i="68"/>
  <c r="AB11" i="68"/>
  <c r="H12" i="68"/>
  <c r="AB12" i="68"/>
  <c r="H13" i="68"/>
  <c r="AB13" i="68"/>
  <c r="H14" i="68"/>
  <c r="AB14" i="68"/>
  <c r="H15" i="68"/>
  <c r="AB15" i="68"/>
  <c r="H16" i="68"/>
  <c r="AB16" i="68"/>
  <c r="H17" i="68"/>
  <c r="AB17" i="68"/>
  <c r="H19" i="68"/>
  <c r="AB19" i="68"/>
  <c r="H21" i="68"/>
  <c r="AB21" i="68"/>
  <c r="H23" i="68"/>
  <c r="AB23" i="68"/>
  <c r="H25" i="68"/>
  <c r="AB25" i="68"/>
  <c r="H27" i="68"/>
  <c r="AB27" i="68"/>
  <c r="H29" i="68"/>
  <c r="AB29" i="68"/>
  <c r="H31" i="68"/>
  <c r="AB31" i="68"/>
  <c r="H33" i="68"/>
  <c r="AB33" i="68"/>
  <c r="H34" i="68"/>
  <c r="AB34" i="68"/>
  <c r="H36" i="68"/>
  <c r="AB36" i="68"/>
  <c r="H37" i="68"/>
  <c r="AB37" i="68"/>
  <c r="H38" i="68"/>
  <c r="AB38" i="68"/>
  <c r="H39" i="68"/>
  <c r="AB39" i="68"/>
  <c r="G40" i="68"/>
  <c r="H40" i="68"/>
  <c r="AB40" i="68"/>
  <c r="H41" i="68"/>
  <c r="AB41" i="68"/>
  <c r="H42" i="68"/>
  <c r="AB42" i="68"/>
  <c r="H43" i="68"/>
  <c r="AB43" i="68"/>
  <c r="H44" i="68"/>
  <c r="AB44" i="68"/>
  <c r="H45" i="68"/>
  <c r="AB45" i="68"/>
  <c r="H46" i="68"/>
  <c r="AB46" i="68"/>
  <c r="H47" i="68"/>
  <c r="AB47" i="68"/>
  <c r="T49" i="68"/>
  <c r="I48" i="68"/>
  <c r="V48" i="68"/>
  <c r="I9" i="68"/>
  <c r="J9" i="68"/>
  <c r="AC9" i="68"/>
  <c r="J10" i="68"/>
  <c r="AC10" i="68"/>
  <c r="J11" i="68"/>
  <c r="AC11" i="68"/>
  <c r="J12" i="68"/>
  <c r="AC12" i="68"/>
  <c r="I13" i="68"/>
  <c r="J13" i="68"/>
  <c r="AC13" i="68"/>
  <c r="J14" i="68"/>
  <c r="AC14" i="68"/>
  <c r="J15" i="68"/>
  <c r="AC15" i="68"/>
  <c r="J16" i="68"/>
  <c r="AC16" i="68"/>
  <c r="J17" i="68"/>
  <c r="AC17" i="68"/>
  <c r="J19" i="68"/>
  <c r="AC19" i="68"/>
  <c r="J21" i="68"/>
  <c r="AC21" i="68"/>
  <c r="J23" i="68"/>
  <c r="AC23" i="68"/>
  <c r="J25" i="68"/>
  <c r="AC25" i="68"/>
  <c r="J27" i="68"/>
  <c r="AC27" i="68"/>
  <c r="J29" i="68"/>
  <c r="AC29" i="68"/>
  <c r="J31" i="68"/>
  <c r="AC31" i="68"/>
  <c r="J33" i="68"/>
  <c r="AC33" i="68"/>
  <c r="J34" i="68"/>
  <c r="AC34" i="68"/>
  <c r="J36" i="68"/>
  <c r="AC36" i="68"/>
  <c r="J37" i="68"/>
  <c r="AC37" i="68"/>
  <c r="J38" i="68"/>
  <c r="AC38" i="68"/>
  <c r="J39" i="68"/>
  <c r="AC39" i="68"/>
  <c r="I40" i="68"/>
  <c r="J40" i="68"/>
  <c r="AC40" i="68"/>
  <c r="J41" i="68"/>
  <c r="AC41" i="68"/>
  <c r="J42" i="68"/>
  <c r="AC42" i="68"/>
  <c r="J43" i="68"/>
  <c r="AC43" i="68"/>
  <c r="J44" i="68"/>
  <c r="AC44" i="68"/>
  <c r="J45" i="68"/>
  <c r="AC45" i="68"/>
  <c r="J46" i="68"/>
  <c r="AC46" i="68"/>
  <c r="J47" i="68"/>
  <c r="AC47" i="68"/>
  <c r="V49" i="68"/>
  <c r="R50" i="68"/>
  <c r="C50" i="68"/>
  <c r="E68" i="68"/>
  <c r="F68" i="68"/>
  <c r="H67" i="68"/>
  <c r="I67" i="68"/>
  <c r="C67" i="68"/>
  <c r="B67" i="68"/>
  <c r="E67" i="68"/>
  <c r="F67" i="68"/>
  <c r="H66" i="68"/>
  <c r="I66" i="68"/>
  <c r="C66" i="68"/>
  <c r="B66" i="68"/>
  <c r="E66" i="68"/>
  <c r="F66" i="68"/>
  <c r="H65" i="68"/>
  <c r="I65" i="68"/>
  <c r="C65" i="68"/>
  <c r="B65" i="68"/>
  <c r="E65" i="68"/>
  <c r="F65" i="68"/>
  <c r="H64" i="68"/>
  <c r="I64" i="68"/>
  <c r="C64" i="68"/>
  <c r="B64" i="68"/>
  <c r="E64" i="68"/>
  <c r="F64" i="68"/>
  <c r="H63" i="68"/>
  <c r="I63" i="68"/>
  <c r="C63" i="68"/>
  <c r="B63" i="68"/>
  <c r="E63" i="68"/>
  <c r="F63" i="68"/>
  <c r="H62" i="68"/>
  <c r="I62" i="68"/>
  <c r="C62" i="68"/>
  <c r="B62" i="68"/>
  <c r="F62" i="68"/>
  <c r="H61" i="68"/>
  <c r="I61" i="68"/>
  <c r="C61" i="68"/>
  <c r="B61" i="68"/>
  <c r="F61" i="68"/>
  <c r="H60" i="68"/>
  <c r="I60" i="68"/>
  <c r="C60" i="68"/>
  <c r="B60" i="68"/>
  <c r="F60" i="68"/>
  <c r="H59" i="68"/>
  <c r="I59" i="68"/>
  <c r="C59" i="68"/>
  <c r="B59" i="68"/>
  <c r="F59" i="68"/>
  <c r="B58" i="68"/>
  <c r="E58" i="68"/>
  <c r="F58" i="68"/>
  <c r="J57" i="68"/>
  <c r="I55" i="68"/>
  <c r="J55" i="68"/>
  <c r="G55" i="68"/>
  <c r="H55" i="68"/>
  <c r="E55" i="68"/>
  <c r="F55" i="68"/>
  <c r="I49" i="68"/>
  <c r="E49" i="68"/>
  <c r="I54" i="68"/>
  <c r="J54" i="68"/>
  <c r="G49" i="68"/>
  <c r="G54" i="68"/>
  <c r="H54" i="68"/>
  <c r="E54" i="68"/>
  <c r="F54" i="68"/>
  <c r="I53" i="68"/>
  <c r="J53" i="68"/>
  <c r="G53" i="68"/>
  <c r="H53" i="68"/>
  <c r="E53" i="68"/>
  <c r="F53" i="68"/>
  <c r="P50" i="68"/>
  <c r="P49" i="68"/>
  <c r="C49" i="68"/>
  <c r="P48" i="68"/>
  <c r="Q47" i="68"/>
  <c r="Z47" i="68"/>
  <c r="W47" i="68"/>
  <c r="U47" i="68"/>
  <c r="S47" i="68"/>
  <c r="Q46" i="68"/>
  <c r="Z46" i="68"/>
  <c r="W46" i="68"/>
  <c r="U46" i="68"/>
  <c r="S46" i="68"/>
  <c r="Q45" i="68"/>
  <c r="Z45" i="68"/>
  <c r="W45" i="68"/>
  <c r="U45" i="68"/>
  <c r="S45" i="68"/>
  <c r="Q44" i="68"/>
  <c r="Z44" i="68"/>
  <c r="W44" i="68"/>
  <c r="U44" i="68"/>
  <c r="S44" i="68"/>
  <c r="Q43" i="68"/>
  <c r="Z43" i="68"/>
  <c r="W43" i="68"/>
  <c r="U43" i="68"/>
  <c r="S43" i="68"/>
  <c r="Q42" i="68"/>
  <c r="Z42" i="68"/>
  <c r="W42" i="68"/>
  <c r="U42" i="68"/>
  <c r="S42" i="68"/>
  <c r="Q41" i="68"/>
  <c r="Z41" i="68"/>
  <c r="W41" i="68"/>
  <c r="U41" i="68"/>
  <c r="S41" i="68"/>
  <c r="Q40" i="68"/>
  <c r="Z40" i="68"/>
  <c r="W40" i="68"/>
  <c r="U40" i="68"/>
  <c r="S40" i="68"/>
  <c r="Q39" i="68"/>
  <c r="Z39" i="68"/>
  <c r="W39" i="68"/>
  <c r="U39" i="68"/>
  <c r="S39" i="68"/>
  <c r="Q38" i="68"/>
  <c r="Z38" i="68"/>
  <c r="W38" i="68"/>
  <c r="U38" i="68"/>
  <c r="S38" i="68"/>
  <c r="Q37" i="68"/>
  <c r="Z37" i="68"/>
  <c r="W37" i="68"/>
  <c r="U37" i="68"/>
  <c r="S37" i="68"/>
  <c r="Q36" i="68"/>
  <c r="Z36" i="68"/>
  <c r="W36" i="68"/>
  <c r="U36" i="68"/>
  <c r="S36" i="68"/>
  <c r="Q34" i="68"/>
  <c r="Z34" i="68"/>
  <c r="W34" i="68"/>
  <c r="U34" i="68"/>
  <c r="S34" i="68"/>
  <c r="Q33" i="68"/>
  <c r="Z33" i="68"/>
  <c r="W33" i="68"/>
  <c r="U33" i="68"/>
  <c r="S33" i="68"/>
  <c r="Q31" i="68"/>
  <c r="Z31" i="68"/>
  <c r="W31" i="68"/>
  <c r="U31" i="68"/>
  <c r="S31" i="68"/>
  <c r="C31" i="68"/>
  <c r="Q29" i="68"/>
  <c r="Z29" i="68"/>
  <c r="W29" i="68"/>
  <c r="U29" i="68"/>
  <c r="S29" i="68"/>
  <c r="C29" i="68"/>
  <c r="Q27" i="68"/>
  <c r="Z27" i="68"/>
  <c r="W27" i="68"/>
  <c r="U27" i="68"/>
  <c r="S27" i="68"/>
  <c r="C27" i="68"/>
  <c r="Q25" i="68"/>
  <c r="Z25" i="68"/>
  <c r="W25" i="68"/>
  <c r="U25" i="68"/>
  <c r="S25" i="68"/>
  <c r="C25" i="68"/>
  <c r="Q23" i="68"/>
  <c r="Z23" i="68"/>
  <c r="W23" i="68"/>
  <c r="U23" i="68"/>
  <c r="S23" i="68"/>
  <c r="C23" i="68"/>
  <c r="Q21" i="68"/>
  <c r="Z21" i="68"/>
  <c r="W21" i="68"/>
  <c r="U21" i="68"/>
  <c r="S21" i="68"/>
  <c r="C21" i="68"/>
  <c r="Q19" i="68"/>
  <c r="Z19" i="68"/>
  <c r="W19" i="68"/>
  <c r="U19" i="68"/>
  <c r="S19" i="68"/>
  <c r="C19" i="68"/>
  <c r="Q17" i="68"/>
  <c r="Z17" i="68"/>
  <c r="W17" i="68"/>
  <c r="U17" i="68"/>
  <c r="S17" i="68"/>
  <c r="C17" i="68"/>
  <c r="Q16" i="68"/>
  <c r="Z16" i="68"/>
  <c r="W16" i="68"/>
  <c r="U16" i="68"/>
  <c r="S16" i="68"/>
  <c r="Q15" i="68"/>
  <c r="Z15" i="68"/>
  <c r="W15" i="68"/>
  <c r="U15" i="68"/>
  <c r="S15" i="68"/>
  <c r="Q14" i="68"/>
  <c r="Z14" i="68"/>
  <c r="W14" i="68"/>
  <c r="U14" i="68"/>
  <c r="S14" i="68"/>
  <c r="Q13" i="68"/>
  <c r="Z13" i="68"/>
  <c r="W13" i="68"/>
  <c r="U13" i="68"/>
  <c r="S13" i="68"/>
  <c r="Q12" i="68"/>
  <c r="Z12" i="68"/>
  <c r="W12" i="68"/>
  <c r="U12" i="68"/>
  <c r="S12" i="68"/>
  <c r="C12" i="68"/>
  <c r="Q11" i="68"/>
  <c r="Z11" i="68"/>
  <c r="W11" i="68"/>
  <c r="U11" i="68"/>
  <c r="S11" i="68"/>
  <c r="W10" i="68"/>
  <c r="U10" i="68"/>
  <c r="S10" i="68"/>
  <c r="W9" i="68"/>
  <c r="U9" i="68"/>
  <c r="S9" i="68"/>
  <c r="I7" i="68"/>
  <c r="G7" i="68"/>
  <c r="E7" i="68"/>
  <c r="B2" i="68"/>
  <c r="B5" i="68"/>
  <c r="B4" i="68"/>
  <c r="B3" i="68"/>
  <c r="F20" i="6"/>
  <c r="F19" i="6"/>
  <c r="C11" i="4"/>
  <c r="B7" i="4"/>
  <c r="D3" i="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J5" i="59"/>
  <c r="J4" i="59"/>
  <c r="K5" i="59"/>
  <c r="K4" i="59"/>
  <c r="L5" i="59"/>
  <c r="L4" i="59"/>
  <c r="I5" i="59"/>
  <c r="I4" i="59"/>
  <c r="Q4" i="59"/>
  <c r="Q8" i="59"/>
  <c r="F8" i="59"/>
  <c r="Q7" i="59"/>
  <c r="F7" i="59"/>
  <c r="Q6" i="59"/>
  <c r="F6" i="59"/>
  <c r="Q5" i="59"/>
  <c r="F5" i="59"/>
  <c r="F4" i="59"/>
  <c r="P4" i="59"/>
  <c r="P8" i="59"/>
  <c r="E8" i="59"/>
  <c r="P7" i="59"/>
  <c r="E7" i="59"/>
  <c r="P6" i="59"/>
  <c r="E6" i="59"/>
  <c r="P5" i="59"/>
  <c r="E5" i="59"/>
  <c r="E4" i="59"/>
  <c r="O4" i="59"/>
  <c r="O8" i="59"/>
  <c r="C8" i="59"/>
  <c r="O7" i="59"/>
  <c r="C7" i="59"/>
  <c r="O6" i="59"/>
  <c r="C6" i="59"/>
  <c r="O5" i="59"/>
  <c r="C5" i="59"/>
  <c r="C4" i="59"/>
  <c r="D4" i="59"/>
  <c r="N4" i="59"/>
  <c r="N8" i="59"/>
  <c r="B8" i="59"/>
  <c r="N7" i="59"/>
  <c r="B7" i="59"/>
  <c r="N6" i="59"/>
  <c r="B6" i="59"/>
  <c r="N5" i="59"/>
  <c r="B5" i="59"/>
  <c r="B4" i="59"/>
  <c r="L4" i="9"/>
  <c r="M4" i="9"/>
  <c r="A30" i="64"/>
  <c r="A30" i="51"/>
  <c r="K59" i="15"/>
  <c r="P62" i="15"/>
  <c r="P75" i="15"/>
  <c r="Q74" i="44"/>
  <c r="Q61" i="44"/>
  <c r="Q60" i="44"/>
  <c r="Q53" i="44"/>
  <c r="J51" i="44"/>
  <c r="J52" i="44"/>
  <c r="M48" i="44"/>
  <c r="A16" i="55"/>
  <c r="A15" i="55"/>
  <c r="A14" i="55"/>
  <c r="L24" i="4"/>
  <c r="L25" i="4"/>
  <c r="L26" i="4"/>
  <c r="A11" i="55"/>
  <c r="A10" i="55"/>
  <c r="A9" i="55"/>
  <c r="A8" i="55"/>
  <c r="A6" i="54"/>
  <c r="A8" i="54"/>
  <c r="A7" i="54"/>
  <c r="C57" i="10"/>
  <c r="A28" i="51"/>
  <c r="A27" i="51"/>
  <c r="D5" i="46"/>
  <c r="D8" i="59"/>
  <c r="B12" i="67"/>
  <c r="F8" i="67"/>
  <c r="E11" i="67"/>
  <c r="B8" i="67"/>
  <c r="F11" i="67"/>
  <c r="E10" i="67"/>
  <c r="E12" i="67"/>
  <c r="B14" i="67"/>
  <c r="B13" i="67"/>
  <c r="B10" i="67"/>
  <c r="F13" i="67"/>
  <c r="B11" i="67"/>
  <c r="F14" i="67"/>
  <c r="F12" i="67"/>
  <c r="E14" i="67"/>
  <c r="B9" i="67"/>
  <c r="E8" i="67"/>
  <c r="F9" i="67"/>
  <c r="E9" i="67"/>
  <c r="F10" i="67"/>
  <c r="E13"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D7"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D6" i="59"/>
  <c r="D5" i="59"/>
  <c r="S2" i="31"/>
  <c r="M2" i="31"/>
  <c r="N2" i="31"/>
  <c r="O2" i="31"/>
  <c r="P2" i="31"/>
  <c r="Q2" i="31"/>
  <c r="R2" i="31"/>
  <c r="C3" i="65"/>
  <c r="C1" i="65"/>
  <c r="N1" i="65"/>
  <c r="N7" i="65"/>
  <c r="H1" i="65"/>
  <c r="B76" i="63"/>
  <c r="N4" i="65"/>
  <c r="N6" i="65"/>
  <c r="N3" i="65"/>
  <c r="I3" i="65"/>
  <c r="I7" i="65"/>
  <c r="N5" i="65"/>
  <c r="I4" i="65"/>
  <c r="J6" i="65"/>
  <c r="J3" i="65"/>
  <c r="J4" i="65"/>
  <c r="J7" i="65"/>
  <c r="J5"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G126" i="39"/>
  <c r="H126" i="39"/>
  <c r="I126" i="39"/>
  <c r="J126" i="39"/>
  <c r="K126" i="39"/>
  <c r="L126" i="39"/>
  <c r="M126"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F93" i="39"/>
  <c r="G93"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M7" i="1"/>
  <c r="O7" i="1"/>
  <c r="P7" i="1"/>
  <c r="C20" i="43"/>
  <c r="F6" i="1"/>
  <c r="AP6" i="1"/>
  <c r="G11" i="1"/>
  <c r="M22" i="44"/>
  <c r="F32" i="15"/>
  <c r="F59" i="15"/>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M20" i="46"/>
  <c r="C19" i="46"/>
  <c r="F3" i="35"/>
  <c r="K1" i="43"/>
  <c r="K1" i="12"/>
  <c r="G1" i="44"/>
  <c r="I4" i="6"/>
  <c r="G3" i="46"/>
  <c r="H22" i="46"/>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16" i="15"/>
  <c r="M28" i="44"/>
  <c r="F15" i="44"/>
  <c r="F9" i="44"/>
  <c r="M11" i="44"/>
  <c r="AG6" i="1"/>
  <c r="M29" i="44"/>
  <c r="F38" i="44"/>
  <c r="F13" i="15"/>
  <c r="L49" i="44"/>
  <c r="M30" i="44"/>
  <c r="F38" i="15"/>
  <c r="F40" i="44"/>
  <c r="F11" i="44"/>
  <c r="L47" i="15"/>
  <c r="F8" i="15"/>
  <c r="M26" i="44"/>
  <c r="M8" i="15"/>
  <c r="M24" i="15"/>
  <c r="M6" i="15"/>
  <c r="M31" i="44"/>
  <c r="J15" i="15"/>
  <c r="M28" i="15"/>
  <c r="L48" i="15"/>
  <c r="F6" i="15"/>
  <c r="F43" i="44"/>
  <c r="F26" i="15"/>
  <c r="M22" i="15"/>
  <c r="M9" i="15"/>
  <c r="M8" i="44"/>
  <c r="F45" i="44"/>
  <c r="F37" i="15"/>
  <c r="M24" i="44"/>
  <c r="L48" i="44"/>
  <c r="J36" i="15"/>
  <c r="F36" i="15"/>
  <c r="F7" i="15"/>
  <c r="F8" i="44"/>
  <c r="M10" i="44"/>
  <c r="F40" i="15"/>
  <c r="F9" i="15"/>
  <c r="F28" i="44"/>
  <c r="M25" i="44"/>
  <c r="J17" i="44"/>
  <c r="M27" i="15"/>
  <c r="M26" i="15"/>
  <c r="M29" i="15"/>
  <c r="F10" i="44"/>
  <c r="F18" i="44"/>
  <c r="F42" i="15"/>
  <c r="F43" i="15"/>
  <c r="M23" i="15"/>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F30" i="6"/>
  <c r="E28" i="6"/>
  <c r="E13" i="6"/>
  <c r="E11" i="6"/>
  <c r="H70" i="46"/>
  <c r="H72" i="46"/>
  <c r="F24" i="15"/>
  <c r="C24" i="15"/>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F33" i="44"/>
  <c r="F41" i="15"/>
  <c r="F58" i="15"/>
  <c r="C18" i="44"/>
  <c r="F31" i="15"/>
  <c r="C16" i="15"/>
  <c r="M19" i="44"/>
  <c r="F46" i="44"/>
  <c r="M17" i="15"/>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F31" i="6"/>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E46" i="37"/>
  <c r="F46" i="37"/>
  <c r="C48" i="33"/>
  <c r="C49" i="33"/>
  <c r="B3" i="33"/>
  <c r="B2" i="33"/>
  <c r="F7" i="67"/>
  <c r="L52" i="44"/>
  <c r="C34" i="44"/>
  <c r="U7" i="37"/>
  <c r="AB7" i="37"/>
  <c r="T42" i="37"/>
  <c r="G42" i="37"/>
  <c r="E6" i="3"/>
  <c r="Q69" i="44"/>
  <c r="L58" i="44"/>
  <c r="L61" i="44"/>
  <c r="D113" i="46"/>
  <c r="J22" i="46"/>
  <c r="E4" i="67"/>
  <c r="E41" i="36"/>
  <c r="F41" i="36"/>
  <c r="I47" i="37"/>
  <c r="J47" i="37"/>
  <c r="G47" i="37"/>
  <c r="H47" i="37"/>
  <c r="E53" i="33"/>
  <c r="F53" i="33"/>
  <c r="I53" i="33"/>
  <c r="J53" i="33"/>
  <c r="L27" i="6"/>
  <c r="E38" i="35"/>
  <c r="I43" i="35"/>
  <c r="J43" i="35"/>
  <c r="I41" i="36"/>
  <c r="J41" i="36"/>
  <c r="R37" i="36"/>
  <c r="C26" i="46"/>
  <c r="C26" i="43"/>
  <c r="D24" i="43"/>
  <c r="M14" i="1"/>
  <c r="K16" i="1"/>
  <c r="M20" i="6"/>
  <c r="I20" i="6"/>
  <c r="S20" i="6"/>
  <c r="S7" i="1"/>
  <c r="K27" i="6"/>
  <c r="M19" i="6"/>
  <c r="S6" i="1"/>
  <c r="M21" i="6"/>
  <c r="I21" i="6"/>
  <c r="S21" i="6"/>
  <c r="S8" i="1"/>
  <c r="M22" i="6"/>
  <c r="I22" i="6"/>
  <c r="S22" i="6"/>
  <c r="S9" i="1"/>
  <c r="B1" i="66"/>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E7" i="67"/>
  <c r="C17" i="15"/>
  <c r="G46" i="37"/>
  <c r="H46" i="37"/>
  <c r="E47" i="37"/>
  <c r="F47" i="37"/>
  <c r="L47" i="44"/>
  <c r="Q59" i="44"/>
  <c r="Q68" i="44"/>
  <c r="E3" i="67"/>
  <c r="B2" i="46"/>
  <c r="D4" i="46"/>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7" i="67"/>
  <c r="B2" i="66"/>
  <c r="E68" i="39"/>
  <c r="E63" i="40"/>
  <c r="B2" i="67"/>
  <c r="B4" i="46"/>
  <c r="B3" i="46"/>
  <c r="T10" i="1"/>
  <c r="T9" i="1"/>
  <c r="T6" i="1"/>
  <c r="T11" i="1"/>
  <c r="T8" i="1"/>
  <c r="T12" i="1"/>
  <c r="O16" i="1"/>
  <c r="P14" i="1"/>
  <c r="P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4" i="15"/>
  <c r="C16" i="44"/>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3" i="44"/>
  <c r="M21" i="15"/>
  <c r="F37" i="44"/>
  <c r="F35" i="15"/>
  <c r="C21" i="44"/>
  <c r="C22" i="44"/>
  <c r="C25" i="44"/>
  <c r="C19" i="15"/>
  <c r="J20" i="15"/>
  <c r="C36" i="44"/>
  <c r="C34" i="15"/>
  <c r="F62" i="15"/>
  <c r="C61" i="15"/>
  <c r="J22" i="44"/>
  <c r="C20" i="15"/>
  <c r="C23" i="15"/>
  <c r="R16" i="1"/>
  <c r="D31" i="6"/>
  <c r="I6" i="6"/>
  <c r="R27" i="6"/>
  <c r="C18" i="43"/>
  <c r="K70" i="39"/>
  <c r="J72" i="39"/>
  <c r="K65" i="40"/>
  <c r="J67" i="40"/>
  <c r="C65" i="15"/>
  <c r="C59" i="15"/>
  <c r="C28" i="44"/>
  <c r="C31" i="44"/>
  <c r="C35" i="44"/>
  <c r="I5" i="6"/>
  <c r="C26" i="15"/>
  <c r="C29" i="15"/>
  <c r="J59" i="15"/>
  <c r="J60" i="15"/>
  <c r="Q49" i="15"/>
  <c r="C19" i="43"/>
  <c r="C22" i="43"/>
  <c r="C21" i="43"/>
  <c r="K67" i="40"/>
  <c r="L65" i="40"/>
  <c r="K72" i="39"/>
  <c r="L70" i="39"/>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C44" i="44"/>
  <c r="C45" i="44"/>
  <c r="B2" i="44"/>
  <c r="B4" i="44"/>
  <c r="C30" i="15"/>
  <c r="C39" i="15"/>
  <c r="C58" i="15"/>
  <c r="Q70" i="44"/>
  <c r="Q49" i="44"/>
  <c r="Q55" i="44"/>
  <c r="Q58" i="44"/>
  <c r="Q64" i="44"/>
  <c r="C57" i="15"/>
  <c r="C66" i="15"/>
  <c r="C67" i="15"/>
  <c r="C70" i="15"/>
  <c r="Q70" i="15"/>
  <c r="Q69" i="15"/>
  <c r="B3" i="12"/>
  <c r="B4" i="12"/>
  <c r="L44" i="9"/>
  <c r="B5" i="12"/>
  <c r="B3" i="43"/>
  <c r="B5" i="43"/>
  <c r="B4" i="43"/>
  <c r="J9" i="40"/>
  <c r="F9" i="40"/>
  <c r="H9" i="40"/>
  <c r="J9" i="39"/>
  <c r="H9" i="39"/>
  <c r="F9" i="39"/>
  <c r="D20" i="9"/>
  <c r="D21" i="9"/>
  <c r="C40" i="15"/>
  <c r="Q48" i="15"/>
  <c r="Q54" i="15"/>
  <c r="J39" i="15"/>
  <c r="J40" i="15"/>
  <c r="B5" i="44"/>
  <c r="B3" i="44"/>
  <c r="S9" i="39"/>
  <c r="AA9" i="39"/>
  <c r="W9" i="39"/>
  <c r="AC9" i="39"/>
  <c r="AA9" i="40"/>
  <c r="R44" i="40"/>
  <c r="S9" i="40"/>
  <c r="U9" i="39"/>
  <c r="AB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L46" i="15"/>
  <c r="B2" i="15"/>
  <c r="B3" i="15"/>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Y18" i="59"/>
  <c r="Z18" i="59"/>
  <c r="X18" i="59"/>
  <c r="AA18" i="59"/>
  <c r="AB18" i="59"/>
  <c r="AB17" i="59"/>
  <c r="AA17" i="59"/>
  <c r="Y17" i="59"/>
  <c r="Z17" i="59"/>
  <c r="X17" i="59"/>
  <c r="AB16" i="59"/>
  <c r="AA16" i="59"/>
  <c r="Y16" i="59"/>
  <c r="Z16" i="59"/>
  <c r="X16" i="59"/>
  <c r="AB15" i="59"/>
  <c r="AA15" i="59"/>
  <c r="Y15" i="59"/>
  <c r="Z15" i="59"/>
  <c r="X15" i="59"/>
  <c r="AB14" i="59"/>
  <c r="AA14" i="59"/>
  <c r="Y14" i="59"/>
  <c r="Z14" i="59"/>
  <c r="X14" i="59"/>
  <c r="AB13" i="59"/>
  <c r="AA13" i="59"/>
  <c r="Y13" i="59"/>
  <c r="Z13" i="59"/>
  <c r="X13" i="59"/>
  <c r="AB12" i="59"/>
  <c r="AA12" i="59"/>
  <c r="Y12" i="59"/>
  <c r="Z12" i="59"/>
  <c r="X12" i="59"/>
  <c r="AB11" i="59"/>
  <c r="AA11" i="59"/>
  <c r="Y11" i="59"/>
  <c r="Z11" i="59"/>
  <c r="X11" i="59"/>
  <c r="AB10" i="59"/>
  <c r="AA10" i="59"/>
  <c r="Y10" i="59"/>
  <c r="Z10" i="59"/>
  <c r="X10" i="59"/>
  <c r="AB9" i="59"/>
  <c r="AA9" i="59"/>
  <c r="Y9" i="59"/>
  <c r="Z9" i="59"/>
  <c r="X9" i="59"/>
  <c r="S5" i="46"/>
  <c r="T5" i="46"/>
  <c r="V5" i="46"/>
  <c r="S6" i="46"/>
  <c r="T6" i="46"/>
  <c r="V6" i="46"/>
  <c r="S4" i="46"/>
  <c r="T4" i="46"/>
  <c r="V4" i="46"/>
  <c r="S7" i="46"/>
  <c r="T7" i="46"/>
  <c r="V7" i="46"/>
  <c r="S3" i="46"/>
  <c r="T3" i="46"/>
  <c r="V3" i="46"/>
  <c r="S2" i="46"/>
  <c r="T2" i="46"/>
  <c r="V2" i="46"/>
  <c r="G16" i="1"/>
  <c r="F12" i="39"/>
  <c r="AA12" i="39"/>
  <c r="H12" i="39"/>
  <c r="AB12" i="39"/>
  <c r="J12" i="39"/>
  <c r="AC12" i="3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B67" i="39"/>
  <c r="F67" i="39"/>
  <c r="B60" i="39"/>
  <c r="F60" i="39"/>
  <c r="B62" i="39"/>
  <c r="F62" i="39"/>
  <c r="B63" i="39"/>
  <c r="F63" i="39"/>
  <c r="B58" i="39"/>
  <c r="F58" i="39"/>
  <c r="B59" i="39"/>
  <c r="F59" i="39"/>
  <c r="B65" i="39"/>
  <c r="F65" i="39"/>
  <c r="B61" i="39"/>
  <c r="F61" i="39"/>
  <c r="B64" i="39"/>
  <c r="F64" i="39"/>
  <c r="B66" i="39"/>
  <c r="F66" i="3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<sst xmlns="http://schemas.openxmlformats.org/spreadsheetml/2006/main" count="8017" uniqueCount="3409">
  <si>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</si>
  <si>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</si>
  <si>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</si>
  <si>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</si>
  <si>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</si>
  <si>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</si>
  <si>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</si>
  <si>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</si>
  <si>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</si>
  <si>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</si>
  <si>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</si>
  <si>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</si>
  <si>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</si>
  <si>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</si>
  <si>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</si>
  <si>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</si>
  <si>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</si>
  <si>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</si>
  <si>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</si>
  <si>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</si>
  <si>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</si>
  <si>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</si>
  <si>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</si>
  <si>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</si>
  <si>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</si>
  <si>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</si>
  <si>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</si>
  <si>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</si>
  <si>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</si>
  <si>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</si>
  <si>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</si>
  <si>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</si>
  <si>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</si>
  <si>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</si>
  <si>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</si>
  <si>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</si>
  <si>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</si>
  <si>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</si>
  <si>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</si>
  <si>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</si>
  <si>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</si>
  <si>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</si>
  <si>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</si>
  <si>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</si>
  <si>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</si>
  <si>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</si>
  <si>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</si>
  <si>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</si>
  <si>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</si>
  <si>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</si>
  <si>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</si>
  <si>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</si>
  <si>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</si>
  <si>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</si>
  <si>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</si>
  <si>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</si>
  <si>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</si>
  <si>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</si>
  <si>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</si>
  <si>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</si>
  <si>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</si>
  <si>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</si>
  <si>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</si>
  <si>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</si>
  <si>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</si>
  <si>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</si>
  <si>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</si>
  <si>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</si>
  <si>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</si>
  <si>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</si>
  <si>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</si>
  <si>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</si>
  <si>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</si>
  <si>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</si>
  <si>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</si>
  <si>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</si>
  <si>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</si>
  <si>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</si>
  <si>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</si>
  <si>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</si>
  <si>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</si>
  <si>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</si>
  <si>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</si>
  <si>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</si>
  <si>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</si>
  <si>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</si>
  <si>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</si>
  <si>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</si>
  <si>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</si>
  <si>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</si>
  <si>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</si>
  <si>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</si>
  <si>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</si>
  <si>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</si>
  <si>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</si>
  <si>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</si>
  <si>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</si>
  <si>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</si>
  <si>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</si>
  <si>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</si>
  <si>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</si>
  <si>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</si>
  <si>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</si>
  <si>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</si>
  <si>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</si>
  <si>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</si>
  <si>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</si>
  <si>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</si>
  <si>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</si>
  <si>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</si>
  <si>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</si>
  <si>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</si>
  <si>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</si>
  <si>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</si>
  <si>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</si>
  <si>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</si>
  <si>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</si>
  <si>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</si>
  <si>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</si>
  <si>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</si>
  <si>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</si>
  <si>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</si>
  <si>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</si>
  <si>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</si>
  <si>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</si>
  <si>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</si>
  <si>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</si>
  <si>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</si>
  <si>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</si>
  <si>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</si>
  <si>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</si>
  <si>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</si>
  <si>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</si>
  <si>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</si>
  <si>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</si>
  <si>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</si>
  <si>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</si>
  <si>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</si>
  <si>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</si>
  <si>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</si>
  <si>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</si>
  <si>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</si>
  <si>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</si>
  <si>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</si>
  <si>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</si>
  <si>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</si>
  <si>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</si>
  <si>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</si>
  <si>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</si>
  <si>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</si>
  <si>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</si>
  <si>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</si>
  <si>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</si>
  <si>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</si>
  <si>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</si>
  <si>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</si>
  <si>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</si>
  <si>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</si>
  <si>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</si>
  <si>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</si>
  <si>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</si>
  <si>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</si>
  <si>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</si>
  <si>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</si>
  <si>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</si>
  <si>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</si>
  <si>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</si>
  <si>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</si>
  <si>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</si>
  <si>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</si>
  <si>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</si>
  <si>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</si>
  <si>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</si>
  <si>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</si>
  <si>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</si>
  <si>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</si>
  <si>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</si>
  <si>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</si>
  <si>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</si>
  <si>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</si>
  <si>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</si>
  <si>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</si>
  <si>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</si>
  <si>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</si>
  <si>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</si>
  <si>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</si>
  <si>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</si>
  <si>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</si>
  <si>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</si>
  <si>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</si>
  <si>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</si>
  <si>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</si>
  <si>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</si>
  <si>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</si>
  <si>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</si>
  <si>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</si>
  <si>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</si>
  <si>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</si>
  <si>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</si>
  <si>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</si>
  <si>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</si>
  <si>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</si>
  <si>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</si>
  <si>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</si>
  <si>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</si>
  <si>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</si>
  <si>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</si>
  <si>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</si>
  <si>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</si>
  <si>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</si>
  <si>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</si>
  <si>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</si>
  <si>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</si>
  <si>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</si>
  <si>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</si>
  <si>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</si>
  <si>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</si>
  <si>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</si>
  <si>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</si>
  <si>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</si>
  <si>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</si>
  <si>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</si>
  <si>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</si>
  <si>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</si>
  <si>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</si>
  <si>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</si>
  <si>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</si>
  <si>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</si>
  <si>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</si>
  <si>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</si>
  <si>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</si>
  <si>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</si>
  <si>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</si>
  <si>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</si>
  <si>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</si>
  <si>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</si>
  <si>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</si>
  <si>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</si>
  <si>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</si>
  <si>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</si>
  <si>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</si>
  <si>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</si>
  <si>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</si>
  <si>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</si>
  <si>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</si>
  <si>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</si>
  <si>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</si>
  <si>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</si>
  <si>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</si>
  <si>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</si>
  <si>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</si>
  <si>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</si>
  <si>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</si>
  <si>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</si>
  <si>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</si>
  <si>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</si>
  <si>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</si>
  <si>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</si>
  <si>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</si>
  <si>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</si>
  <si>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</si>
  <si>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</si>
  <si>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</si>
  <si>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</si>
  <si>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</si>
  <si>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</si>
  <si>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</si>
  <si>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</si>
  <si>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</si>
  <si>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</si>
  <si>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</si>
  <si>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</si>
  <si>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</si>
  <si>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</si>
  <si>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</si>
  <si>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</si>
  <si>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</si>
  <si>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</si>
  <si>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</si>
  <si>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</si>
  <si>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</si>
  <si>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</si>
  <si>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</si>
  <si>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</si>
  <si>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</si>
  <si>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</si>
  <si>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</si>
  <si>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</si>
  <si>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</si>
  <si>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</si>
  <si>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</si>
  <si>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</si>
  <si>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</si>
  <si>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</si>
  <si>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</si>
  <si>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</si>
  <si>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</si>
  <si>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</si>
  <si>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</si>
  <si>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</si>
  <si>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</si>
  <si>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</si>
  <si>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</si>
  <si>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</si>
  <si>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</si>
  <si>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</si>
  <si>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</si>
  <si>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</si>
  <si>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</si>
  <si>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</si>
  <si>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</si>
  <si>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</si>
  <si>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</si>
  <si>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</si>
  <si>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</si>
  <si>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</si>
  <si>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</si>
  <si>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</si>
  <si>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</si>
  <si>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</si>
  <si>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</si>
  <si>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</si>
  <si>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</si>
  <si>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</si>
  <si>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</si>
  <si>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</si>
  <si>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</si>
  <si>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</si>
  <si>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</si>
  <si>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</si>
  <si>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</si>
  <si>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</si>
  <si>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</si>
  <si>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</si>
  <si>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</si>
  <si>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</si>
  <si>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</si>
  <si>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</si>
  <si>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</si>
  <si>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</si>
  <si>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</si>
  <si>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</si>
  <si>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</si>
  <si>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</si>
  <si>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</si>
  <si>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</si>
  <si>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</si>
  <si>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</si>
  <si>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</si>
  <si>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</si>
  <si>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</si>
  <si>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</si>
  <si>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</si>
  <si>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</si>
  <si>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</si>
  <si>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</si>
  <si>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</si>
  <si>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</si>
  <si>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</si>
  <si>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</si>
  <si>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</si>
  <si>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</si>
  <si>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</si>
  <si>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</si>
  <si>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</si>
  <si>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</si>
  <si>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</si>
  <si>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</si>
  <si>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</si>
  <si>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</si>
  <si>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</si>
  <si>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</si>
  <si>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</si>
  <si>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</si>
  <si>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</si>
  <si>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</si>
  <si>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</si>
  <si>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</si>
  <si>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</si>
  <si>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</si>
  <si>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</si>
  <si>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</si>
  <si>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</si>
  <si>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</si>
  <si>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</si>
  <si>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</si>
  <si>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</si>
  <si>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</si>
  <si>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</si>
  <si>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</si>
  <si>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</si>
  <si>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</si>
  <si>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</si>
  <si>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</si>
  <si>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</si>
  <si>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</si>
  <si>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</si>
  <si>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</si>
  <si>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</si>
  <si>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</si>
  <si>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</si>
  <si>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</si>
  <si>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</si>
  <si>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</si>
  <si>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</si>
  <si>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</si>
  <si>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</si>
  <si>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</si>
  <si>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</si>
  <si>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</si>
  <si>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</si>
  <si>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</si>
  <si>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</si>
  <si>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</si>
  <si>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</si>
  <si>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</si>
  <si>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</si>
  <si>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</si>
  <si>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</si>
  <si>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</si>
  <si>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</si>
  <si>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</si>
  <si>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</si>
  <si>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</si>
  <si>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</si>
  <si>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</si>
  <si>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</si>
  <si>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</si>
  <si>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</si>
  <si>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</si>
  <si>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</si>
  <si>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</si>
  <si>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</si>
  <si>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</si>
  <si>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</si>
  <si>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</si>
  <si>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</si>
  <si>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</si>
  <si>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</si>
  <si>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</si>
  <si>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</si>
  <si>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</si>
  <si>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</si>
  <si>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</si>
  <si>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</si>
  <si>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</si>
  <si>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</si>
  <si>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</si>
  <si>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</si>
  <si>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</si>
  <si>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</si>
  <si>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</si>
  <si>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</si>
  <si>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</si>
  <si>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</si>
  <si>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</si>
  <si>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</si>
  <si>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</si>
  <si>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</si>
  <si>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</si>
  <si>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</si>
  <si>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</si>
  <si>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</si>
  <si>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</si>
  <si>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</si>
  <si>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</si>
  <si>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</si>
  <si>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</si>
  <si>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</si>
  <si>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</si>
  <si>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</si>
  <si>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</si>
  <si>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</si>
  <si>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</si>
  <si>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</si>
  <si>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</si>
  <si>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</si>
  <si>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</si>
  <si>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</si>
  <si>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</si>
  <si>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</si>
  <si>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</si>
  <si>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</si>
  <si>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</si>
  <si>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</si>
  <si>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</si>
  <si>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</si>
  <si>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</si>
  <si>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</si>
  <si>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</si>
  <si>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</si>
  <si>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</si>
  <si>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</si>
  <si>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</si>
  <si>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</si>
  <si>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</si>
  <si>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</si>
  <si>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</si>
  <si>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</si>
  <si>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</si>
  <si>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</si>
  <si>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</si>
  <si>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</si>
  <si>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</si>
  <si>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</si>
  <si>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</si>
  <si>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</si>
  <si>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</si>
  <si>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</si>
  <si>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</si>
  <si>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</si>
  <si>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</si>
  <si>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</si>
  <si>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</si>
  <si>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</si>
  <si>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</si>
  <si>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</si>
  <si>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</si>
  <si>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</si>
  <si>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</si>
  <si>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</si>
  <si>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</si>
  <si>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</si>
  <si>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</si>
  <si>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</si>
  <si>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</si>
  <si>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</si>
  <si>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</si>
  <si>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</si>
  <si>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</si>
  <si>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</si>
  <si>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</si>
  <si>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</si>
  <si>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</si>
  <si>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</si>
  <si>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</si>
  <si>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</si>
  <si>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</si>
  <si>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</si>
  <si>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</si>
  <si>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</si>
  <si>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</si>
  <si>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</si>
  <si>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</si>
  <si>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</si>
  <si>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</si>
  <si>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</si>
  <si>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</si>
  <si>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</si>
  <si>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</si>
  <si>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</si>
  <si>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</si>
  <si>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</si>
  <si>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</si>
  <si>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</si>
  <si>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</si>
  <si>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</si>
  <si>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</si>
  <si>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</si>
  <si>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</si>
  <si>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</si>
  <si>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</si>
  <si>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</si>
  <si>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</si>
  <si>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</si>
  <si>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</si>
  <si>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</si>
  <si>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</si>
  <si>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</si>
  <si>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</si>
  <si>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</si>
  <si>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</si>
  <si>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</si>
  <si>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</si>
  <si>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</si>
  <si>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</si>
  <si>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</si>
  <si>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</si>
  <si>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</si>
  <si>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</si>
  <si>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</si>
  <si>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</si>
  <si>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</si>
  <si>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</si>
  <si>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</si>
  <si>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</si>
  <si>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</si>
  <si>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</si>
  <si>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</si>
  <si>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</si>
  <si>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</si>
  <si>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</si>
  <si>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</si>
  <si>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</si>
  <si>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</si>
  <si>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</si>
  <si>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</si>
  <si>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</si>
  <si>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</si>
  <si>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</si>
  <si>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</si>
  <si>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</si>
  <si>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</si>
  <si>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</si>
  <si>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</si>
  <si>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</si>
  <si>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</si>
  <si>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</si>
  <si>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</si>
  <si>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</si>
  <si>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</si>
  <si>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</si>
  <si>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</si>
  <si>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</si>
  <si>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</si>
  <si>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</si>
  <si>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</si>
  <si>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</si>
  <si>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</si>
  <si>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</si>
  <si>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</si>
  <si>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</si>
  <si>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</si>
  <si>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</si>
  <si>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</si>
  <si>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</si>
  <si>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</si>
  <si>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</si>
  <si>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</si>
  <si>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</si>
  <si>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</si>
  <si>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</si>
  <si>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</si>
  <si>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</si>
  <si>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</si>
  <si>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</si>
  <si>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</si>
  <si>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</si>
  <si>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</si>
  <si>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</si>
  <si>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</si>
  <si>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</si>
  <si>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</si>
  <si>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</si>
  <si>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</si>
  <si>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</si>
  <si>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</si>
  <si>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</si>
  <si>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</si>
  <si>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</si>
  <si>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</si>
  <si>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</si>
  <si>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</si>
  <si>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</si>
  <si>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</si>
  <si>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</si>
  <si>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</si>
  <si>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</si>
  <si>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</si>
  <si>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</si>
  <si>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</si>
  <si>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</si>
  <si>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</si>
  <si>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</si>
  <si>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</si>
  <si>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</si>
  <si>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</si>
  <si>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</si>
  <si>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</si>
  <si>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</si>
  <si>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</si>
  <si>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</si>
  <si>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</si>
  <si>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</si>
  <si>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</si>
  <si>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</si>
  <si>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</si>
  <si>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</si>
  <si>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</si>
  <si>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</si>
  <si>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</si>
  <si>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</si>
  <si>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</si>
  <si>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</si>
  <si>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</si>
  <si>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</si>
  <si>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</si>
  <si>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</si>
  <si>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</si>
  <si>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</si>
  <si>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</si>
  <si>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</si>
  <si>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</si>
  <si>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</si>
  <si>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</si>
  <si>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</si>
  <si>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</si>
  <si>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</si>
  <si>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</si>
  <si>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</si>
  <si>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</si>
  <si>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</si>
  <si>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</si>
  <si>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</si>
  <si>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</si>
  <si>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</si>
  <si>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</si>
  <si>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</si>
  <si>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</si>
  <si>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</si>
  <si>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</si>
  <si>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</si>
  <si>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</si>
  <si>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</si>
  <si>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</si>
  <si>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</si>
  <si>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</si>
  <si>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</si>
  <si>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</si>
  <si>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</si>
  <si>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</si>
  <si>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</si>
  <si>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</si>
  <si>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</si>
  <si>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</si>
  <si>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</si>
  <si>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</si>
  <si>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</si>
  <si>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</si>
  <si>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</si>
  <si>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</si>
  <si>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</si>
  <si>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</si>
  <si>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</si>
  <si>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</si>
  <si>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</si>
  <si>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</si>
  <si>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</si>
  <si>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</si>
  <si>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</si>
  <si>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</si>
  <si>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</si>
  <si>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</si>
  <si>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</si>
  <si>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</si>
  <si>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</si>
  <si>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</si>
  <si>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</si>
  <si>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</si>
  <si>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</si>
  <si>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</si>
  <si>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</si>
  <si>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</si>
  <si>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</si>
  <si>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</si>
  <si>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</si>
  <si>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</si>
  <si>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</si>
  <si>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</si>
  <si>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</si>
  <si>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</si>
  <si>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</si>
  <si>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</si>
  <si>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</si>
  <si>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</si>
  <si>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</si>
  <si>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</si>
  <si>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</si>
  <si>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</si>
  <si>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</si>
  <si>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</si>
  <si>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</si>
  <si>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</si>
  <si>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</si>
  <si>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</si>
  <si>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</si>
  <si>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</si>
  <si>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</si>
  <si>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</si>
  <si>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</si>
  <si>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</si>
  <si>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</si>
  <si>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</si>
  <si>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</si>
  <si>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</si>
  <si>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</si>
  <si>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</si>
  <si>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</si>
  <si>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</si>
  <si>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</si>
  <si>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</si>
  <si>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</si>
  <si>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</si>
  <si>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</si>
  <si>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</si>
  <si>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</si>
  <si>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</si>
  <si>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</si>
  <si>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</si>
  <si>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</si>
  <si>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</si>
  <si>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</si>
  <si>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</si>
  <si>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</si>
  <si>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</si>
  <si>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</si>
  <si>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</si>
  <si>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</si>
  <si>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</si>
  <si>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</si>
  <si>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</si>
  <si>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</si>
  <si>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</si>
  <si>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</si>
  <si>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</si>
  <si>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</si>
  <si>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</si>
  <si>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</si>
  <si>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</si>
  <si>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</si>
  <si>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</si>
  <si>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</si>
  <si>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</si>
  <si>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</si>
  <si>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</si>
  <si>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</si>
  <si>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</si>
  <si>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</si>
  <si>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</si>
  <si>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</si>
  <si>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</si>
  <si>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</si>
  <si>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</si>
  <si>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</si>
  <si>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</si>
  <si>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</si>
  <si>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</si>
  <si>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</si>
  <si>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</si>
  <si>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</si>
  <si>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</si>
  <si>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</si>
  <si>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</si>
  <si>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</si>
  <si>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</si>
  <si>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</si>
  <si>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</si>
  <si>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</si>
  <si>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</si>
  <si>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</si>
  <si>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</si>
  <si>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</si>
  <si>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</si>
  <si>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</si>
  <si>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</si>
  <si>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</si>
  <si>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</si>
  <si>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</si>
  <si>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</si>
  <si>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</si>
  <si>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</si>
  <si>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</si>
  <si>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</si>
  <si>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</si>
  <si>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</si>
  <si>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</si>
  <si>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</si>
  <si>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</si>
  <si>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</si>
  <si>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</si>
  <si>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</si>
  <si>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</si>
  <si>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</si>
  <si>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</si>
  <si>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</si>
  <si>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</si>
  <si>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</si>
  <si>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</si>
  <si>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</si>
  <si>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</si>
  <si>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</si>
  <si>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</si>
  <si>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</si>
  <si>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</si>
  <si>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</si>
  <si>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</si>
  <si>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</si>
  <si>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</si>
  <si>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</si>
  <si>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</si>
  <si>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</si>
  <si>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</si>
  <si>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</si>
  <si>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</si>
  <si>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</si>
  <si>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</si>
  <si>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</si>
  <si>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</si>
  <si>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</si>
  <si>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</si>
  <si>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</si>
  <si>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</si>
  <si>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</si>
  <si>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</si>
  <si>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</si>
  <si>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</si>
  <si>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</si>
  <si>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</si>
  <si>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</si>
  <si>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</si>
  <si>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</si>
  <si>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</si>
  <si>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</si>
  <si>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</si>
  <si>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</si>
  <si>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</si>
  <si>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</si>
  <si>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</si>
  <si>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</si>
  <si>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</si>
  <si>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</si>
  <si>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</si>
  <si>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</si>
  <si>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</si>
  <si>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</si>
  <si>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</si>
  <si>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</si>
  <si>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</si>
  <si>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</si>
  <si>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</si>
  <si>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</si>
  <si>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</si>
  <si>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</si>
  <si>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</si>
  <si>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</si>
  <si>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</si>
  <si>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</si>
  <si>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</si>
  <si>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</si>
  <si>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</si>
  <si>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</si>
  <si>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</si>
  <si>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</si>
  <si>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</si>
  <si>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</si>
  <si>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</si>
  <si>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</si>
  <si>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</si>
  <si>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</si>
  <si>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</si>
  <si>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</si>
  <si>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</si>
  <si>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</si>
  <si>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</si>
  <si>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</si>
  <si>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</si>
  <si>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</si>
  <si>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</si>
  <si>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</si>
  <si>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</si>
  <si>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</si>
  <si>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</si>
  <si>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</si>
  <si>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</si>
  <si>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</si>
  <si>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</si>
  <si>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</si>
  <si>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</si>
  <si>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</si>
  <si>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</si>
  <si>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</si>
  <si>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</si>
  <si>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</si>
  <si>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</si>
  <si>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</si>
  <si>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</si>
  <si>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</si>
  <si>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</si>
  <si>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</si>
  <si>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</si>
  <si>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</si>
  <si>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</si>
  <si>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</si>
  <si>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</si>
  <si>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</si>
  <si>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</si>
  <si>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</si>
  <si>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</si>
  <si>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</si>
  <si>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</si>
  <si>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</si>
  <si>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</si>
  <si>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</si>
  <si>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</si>
  <si>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</si>
  <si>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</si>
  <si>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</si>
  <si>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</si>
  <si>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</si>
  <si>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</si>
  <si>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</si>
  <si>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</si>
  <si>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</si>
  <si>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</si>
  <si>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</si>
  <si>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</si>
  <si>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</si>
  <si>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</si>
  <si>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</si>
  <si>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</si>
  <si>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</si>
  <si>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</si>
  <si>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</si>
  <si>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</si>
  <si>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</si>
  <si>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</si>
  <si>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</si>
  <si>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</si>
  <si>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</si>
  <si>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</si>
  <si>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</si>
  <si>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</si>
  <si>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</si>
  <si>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</si>
  <si>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</si>
  <si>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</si>
  <si>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</si>
  <si>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</si>
  <si>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</si>
  <si>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</si>
  <si>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</si>
  <si>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</si>
  <si>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</si>
  <si>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</si>
  <si>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</si>
  <si>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</si>
  <si>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</si>
  <si>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</si>
  <si>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</si>
  <si>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</si>
  <si>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</si>
  <si>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</si>
  <si>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</si>
  <si>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</si>
  <si>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</si>
  <si>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</si>
  <si>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</si>
  <si>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</si>
  <si>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</si>
  <si>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</si>
  <si>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</si>
  <si>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</si>
  <si>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</si>
  <si>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</si>
  <si>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</si>
  <si>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</si>
  <si>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</si>
  <si>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</si>
  <si>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</si>
  <si>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</si>
  <si>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</si>
  <si>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</si>
  <si>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</si>
  <si>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</si>
  <si>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</si>
  <si>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</si>
  <si>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</si>
  <si>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</si>
  <si>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</si>
  <si>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</si>
  <si>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</si>
  <si>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</si>
  <si>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</si>
  <si>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</si>
  <si>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</si>
  <si>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</si>
  <si>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</si>
  <si>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</si>
  <si>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</si>
  <si>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</si>
  <si>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</si>
  <si>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</si>
  <si>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</si>
  <si>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</si>
  <si>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</si>
  <si>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</si>
  <si>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</si>
  <si>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</si>
  <si>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</si>
  <si>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</si>
  <si>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</si>
  <si>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</si>
  <si>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</si>
  <si>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</si>
  <si>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</si>
  <si>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</si>
  <si>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</si>
  <si>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</si>
  <si>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</si>
  <si>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</si>
  <si>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</si>
  <si>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</si>
  <si>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</si>
  <si>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</si>
  <si>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</si>
  <si>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</si>
  <si>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</si>
  <si>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</si>
  <si>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</si>
  <si>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</si>
  <si>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</si>
  <si>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</si>
  <si>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</si>
  <si>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</si>
  <si>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</si>
  <si>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</si>
  <si>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</si>
  <si>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</si>
  <si>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</si>
  <si>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</si>
  <si>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</si>
  <si>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</si>
  <si>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</si>
  <si>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</si>
  <si>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</si>
  <si>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</si>
  <si>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</si>
  <si>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</si>
  <si>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</si>
  <si>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</si>
  <si>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</si>
  <si>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</si>
  <si>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</si>
  <si>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</si>
  <si>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</si>
  <si>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</si>
  <si>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</si>
  <si>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</si>
  <si>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</si>
  <si>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</si>
  <si>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</si>
  <si>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</si>
  <si>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</si>
  <si>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</si>
  <si>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</si>
  <si>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</si>
  <si>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</si>
  <si>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</si>
  <si>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</si>
  <si>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</si>
  <si>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</si>
  <si>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</si>
  <si>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</si>
  <si>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</si>
  <si>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</si>
  <si>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</si>
  <si>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</si>
  <si>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</si>
  <si>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</si>
  <si>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</si>
  <si>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</si>
  <si>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</si>
  <si>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</si>
  <si>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</si>
  <si>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</si>
  <si>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</si>
  <si>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</si>
  <si>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</si>
  <si>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</si>
  <si>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</si>
  <si>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</si>
  <si>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</si>
  <si>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</si>
  <si>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</si>
  <si>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</si>
  <si>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</si>
  <si>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</si>
  <si>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</si>
  <si>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</si>
  <si>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</si>
  <si>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</si>
  <si>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</si>
  <si>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</si>
  <si>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</si>
  <si>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</si>
  <si>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</si>
  <si>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</si>
  <si>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</si>
  <si>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</si>
  <si>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</si>
  <si>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</si>
  <si>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</si>
  <si>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</si>
  <si>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</si>
  <si>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</si>
  <si>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</si>
  <si>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</si>
  <si>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</si>
  <si>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</si>
  <si>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</si>
  <si>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</si>
  <si>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</si>
  <si>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</si>
  <si>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</si>
  <si>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</si>
  <si>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</si>
  <si>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</si>
  <si>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</si>
  <si>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</si>
  <si>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</si>
  <si>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</si>
  <si>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</si>
  <si>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</si>
  <si>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</si>
  <si>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</si>
  <si>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</si>
  <si>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</si>
  <si>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</si>
  <si>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</si>
  <si>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</si>
  <si>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</si>
  <si>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</si>
  <si>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</si>
  <si>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</si>
  <si>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</si>
  <si>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</si>
  <si>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</si>
  <si>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</si>
  <si>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</si>
  <si>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</si>
  <si>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</si>
  <si>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</si>
  <si>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</si>
  <si>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</si>
  <si>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</si>
  <si>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</si>
  <si>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</si>
  <si>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</si>
  <si>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</si>
  <si>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</si>
  <si>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</si>
  <si>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</si>
  <si>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</si>
  <si>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</si>
  <si>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</si>
  <si>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</si>
  <si>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</si>
  <si>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</si>
  <si>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</si>
  <si>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</si>
  <si>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</si>
  <si>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</si>
  <si>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</si>
  <si>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</si>
  <si>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</si>
  <si>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</si>
  <si>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</si>
  <si>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</si>
  <si>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</si>
  <si>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</si>
  <si>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</si>
  <si>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</si>
  <si>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</si>
  <si>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</si>
  <si>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</si>
  <si>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</si>
  <si>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</si>
  <si>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</si>
  <si>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</si>
  <si>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</si>
  <si>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</si>
  <si>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</si>
  <si>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</si>
  <si>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</si>
  <si>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</si>
  <si>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</si>
  <si>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</si>
  <si>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</si>
  <si>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</si>
  <si>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</si>
  <si>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</si>
  <si>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</si>
  <si>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</si>
  <si>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</si>
  <si>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</si>
  <si>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</si>
  <si>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</si>
  <si>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</si>
  <si>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</si>
  <si>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</si>
  <si>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</si>
  <si>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</si>
  <si>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</si>
  <si>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</si>
  <si>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</si>
  <si>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</si>
  <si>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</si>
  <si>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</si>
  <si>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</si>
  <si>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</si>
  <si>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</si>
  <si>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</si>
  <si>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</si>
  <si>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</si>
  <si>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</si>
  <si>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</si>
  <si>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</si>
  <si>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</si>
  <si>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</si>
  <si>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</si>
  <si>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</si>
  <si>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</si>
  <si>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</si>
  <si>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</si>
  <si>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</si>
  <si>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</si>
  <si>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</si>
  <si>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</si>
  <si>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</si>
  <si>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</si>
  <si>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</si>
  <si>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</si>
  <si>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</si>
  <si>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</si>
  <si>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</si>
  <si>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</si>
  <si>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</si>
  <si>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</si>
  <si>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</si>
  <si>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</si>
  <si>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</si>
  <si>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</si>
  <si>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</si>
  <si>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</si>
  <si>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</si>
  <si>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</si>
  <si>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</si>
  <si>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</si>
  <si>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</si>
  <si>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</si>
  <si>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</si>
  <si>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</si>
  <si>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</si>
  <si>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</si>
  <si>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</si>
  <si>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</si>
  <si>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</si>
  <si>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</si>
  <si>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</si>
  <si>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</si>
  <si>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</si>
  <si>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</si>
  <si>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</si>
  <si>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</si>
  <si>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</si>
  <si>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</si>
  <si>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</si>
  <si>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</si>
  <si>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</si>
  <si>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</si>
  <si>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</si>
  <si>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</si>
  <si>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</si>
  <si>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</si>
  <si>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</si>
  <si>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</si>
  <si>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</si>
  <si>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</si>
  <si>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</si>
  <si>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</si>
  <si>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</si>
  <si>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</si>
  <si>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</si>
  <si>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</si>
  <si>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</si>
  <si>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</si>
  <si>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</si>
  <si>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</si>
  <si>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</si>
  <si>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</si>
  <si>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</si>
  <si>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</si>
  <si>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</si>
  <si>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</si>
  <si>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</si>
  <si>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</si>
  <si>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</si>
  <si>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</si>
  <si>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</si>
  <si>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</si>
  <si>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</si>
  <si>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</si>
  <si>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</si>
  <si>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</si>
  <si>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</si>
  <si>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</si>
  <si>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</si>
  <si>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</si>
  <si>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</si>
  <si>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</si>
  <si>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</si>
  <si>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</si>
  <si>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</si>
  <si>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</si>
  <si>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</si>
  <si>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</si>
  <si>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</si>
  <si>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</si>
  <si>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</si>
  <si>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</si>
  <si>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</si>
  <si>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</si>
  <si>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</si>
  <si>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</si>
  <si>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</si>
  <si>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</si>
  <si>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</si>
  <si>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</si>
  <si>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</si>
  <si>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</si>
  <si>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</si>
  <si>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</si>
  <si>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</si>
  <si>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</si>
  <si>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</si>
  <si>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</si>
  <si>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</si>
  <si>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</si>
  <si>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</si>
  <si>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</si>
  <si>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</si>
  <si>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</si>
  <si>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</si>
  <si>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</si>
  <si>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</si>
  <si>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</si>
  <si>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</si>
  <si>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</si>
  <si>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</si>
  <si>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</si>
  <si>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</si>
  <si>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</si>
  <si>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</si>
  <si>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</si>
  <si>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</si>
  <si>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</si>
  <si>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</si>
  <si>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</si>
  <si>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</si>
  <si>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</si>
  <si>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</si>
  <si>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</si>
  <si>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</si>
  <si>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</si>
  <si>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</si>
  <si>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</si>
  <si>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</si>
  <si>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</si>
  <si>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</si>
  <si>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</si>
  <si>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</si>
  <si>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</si>
  <si>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</si>
  <si>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</si>
  <si>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</si>
  <si>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</si>
  <si>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</si>
  <si>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</si>
  <si>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</si>
  <si>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</si>
  <si>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</si>
  <si>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</si>
  <si>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</si>
  <si>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</si>
  <si>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</si>
  <si>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</si>
  <si>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</si>
  <si>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</si>
  <si>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</si>
  <si>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</si>
  <si>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</si>
  <si>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</si>
  <si>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</si>
  <si>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</si>
  <si>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</si>
  <si>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</si>
  <si>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</si>
  <si>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</si>
  <si>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</si>
  <si>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</si>
  <si>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</si>
  <si>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</si>
  <si>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</si>
  <si>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</si>
  <si>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</si>
  <si>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</si>
  <si>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</si>
  <si>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</si>
  <si>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</si>
  <si>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</si>
  <si>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</si>
  <si>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</si>
  <si>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</si>
  <si>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</si>
  <si>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</si>
  <si>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</si>
  <si>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</si>
  <si>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</si>
  <si>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</si>
  <si>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</si>
  <si>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</si>
  <si>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</si>
  <si>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</si>
  <si>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</si>
  <si>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</si>
  <si>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</si>
  <si>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</si>
  <si>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</si>
  <si>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</si>
  <si>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</si>
  <si>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</si>
  <si>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</si>
  <si>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</si>
  <si>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</si>
  <si>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</si>
  <si>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</si>
  <si>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</si>
  <si>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</si>
  <si>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</si>
  <si>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</si>
  <si>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</si>
  <si>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</si>
  <si>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</si>
  <si>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</si>
  <si>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</si>
  <si>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</si>
  <si>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</si>
  <si>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</si>
  <si>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</si>
  <si>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</si>
  <si>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</si>
  <si>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</si>
  <si>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</si>
  <si>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</si>
  <si>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</si>
  <si>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</si>
  <si>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</si>
  <si>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</si>
  <si>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</si>
  <si>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</si>
  <si>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</si>
  <si>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</si>
  <si>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</si>
  <si>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</si>
  <si>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</si>
  <si>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</si>
  <si>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</si>
  <si>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</si>
  <si>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</si>
  <si>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</si>
  <si>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</si>
  <si>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</si>
  <si>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</si>
  <si>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</si>
  <si>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</si>
  <si>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</si>
  <si>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</si>
  <si>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</si>
  <si>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</si>
  <si>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</si>
  <si>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</si>
  <si>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</si>
  <si>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</si>
  <si>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</si>
  <si>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</si>
  <si>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</si>
  <si>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</si>
  <si>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</si>
  <si>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</si>
  <si>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</si>
  <si>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</si>
  <si>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</si>
  <si>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</si>
  <si>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</si>
  <si>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</si>
  <si>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</si>
  <si>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</si>
  <si>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</si>
  <si>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</si>
  <si>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</si>
  <si>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</si>
  <si>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</si>
  <si>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</si>
  <si>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</si>
  <si>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</si>
  <si>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</si>
  <si>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</si>
  <si>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</si>
  <si>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</si>
  <si>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</si>
  <si>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</si>
  <si>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</si>
  <si>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</si>
  <si>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</si>
  <si>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</si>
  <si>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</si>
  <si>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</si>
  <si>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</si>
  <si>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</si>
  <si>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</si>
  <si>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</si>
  <si>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</si>
  <si>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</si>
  <si>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</si>
  <si>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</si>
  <si>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</si>
  <si>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</si>
  <si>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</si>
  <si>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</si>
  <si>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</si>
  <si>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</si>
  <si>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</si>
  <si>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</si>
  <si>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</si>
  <si>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</si>
  <si>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</si>
  <si>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</si>
  <si>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</si>
  <si>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</si>
  <si>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</si>
  <si>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</si>
  <si>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</si>
  <si>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</si>
  <si>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</si>
  <si>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</si>
  <si>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</si>
  <si>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</si>
  <si>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</si>
  <si>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</si>
  <si>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</si>
  <si>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</si>
  <si>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</si>
  <si>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</si>
  <si>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</si>
  <si>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</si>
  <si>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</si>
  <si>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</si>
  <si>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</si>
  <si>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</si>
  <si>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</si>
  <si>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</si>
  <si>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</si>
  <si>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</si>
  <si>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</si>
  <si>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</si>
  <si>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</si>
  <si>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</si>
  <si>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</si>
  <si>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</si>
  <si>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</si>
  <si>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</si>
  <si>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</si>
  <si>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</si>
  <si>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</si>
  <si>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</si>
  <si>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</si>
  <si>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</si>
  <si>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</si>
  <si>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</si>
  <si>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</si>
  <si>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</si>
  <si>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</si>
  <si>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</si>
  <si>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</si>
  <si>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</si>
  <si>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</si>
  <si>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</si>
  <si>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</si>
  <si>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</si>
  <si>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</si>
  <si>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</si>
  <si>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</si>
  <si>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</si>
  <si>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</si>
  <si>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</si>
  <si>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</si>
  <si>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</si>
  <si>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</si>
  <si>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</si>
  <si>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</si>
  <si>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</si>
  <si>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</si>
  <si>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</si>
  <si>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</si>
  <si>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</si>
  <si>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</si>
  <si>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</si>
  <si>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</si>
  <si>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</si>
  <si>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</si>
  <si>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</si>
  <si>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</si>
  <si>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</si>
  <si>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</si>
  <si>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</si>
  <si>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</si>
  <si>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</si>
  <si>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</si>
  <si>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</si>
  <si>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</si>
  <si>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</si>
  <si>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</si>
  <si>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</si>
  <si>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</si>
  <si>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</si>
  <si>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</si>
  <si>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</si>
  <si>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</si>
  <si>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</si>
  <si>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</si>
  <si>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</si>
  <si>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</si>
  <si>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</si>
  <si>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</si>
  <si>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</si>
  <si>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</si>
  <si>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</si>
  <si>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</si>
  <si>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</si>
  <si>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</si>
  <si>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</si>
  <si>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</si>
  <si>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</si>
  <si>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</si>
  <si>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</si>
  <si>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</si>
  <si>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</si>
  <si>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</si>
  <si>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</si>
  <si>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</si>
  <si>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</si>
  <si>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</si>
  <si>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</si>
  <si>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</si>
  <si>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</si>
  <si>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</si>
  <si>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</si>
  <si>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</si>
  <si>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</si>
  <si>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</si>
  <si>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</si>
  <si>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</si>
  <si>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</si>
  <si>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</si>
  <si>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</si>
  <si>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</si>
  <si>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</si>
  <si>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</si>
  <si>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</si>
  <si>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</si>
  <si>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</si>
  <si>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</si>
  <si>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</si>
  <si>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</si>
  <si>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</si>
  <si>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</si>
  <si>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</si>
  <si>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</si>
  <si>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</si>
  <si>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</si>
  <si>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</si>
  <si>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</si>
  <si>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</si>
  <si>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</si>
  <si>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</si>
  <si>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</si>
  <si>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</si>
  <si>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</si>
  <si>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</si>
  <si>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</si>
  <si>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</si>
  <si>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</si>
  <si>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</si>
  <si>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</si>
  <si>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</si>
  <si>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</si>
  <si>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</si>
  <si>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</si>
  <si>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</si>
  <si>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</si>
  <si>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</si>
  <si>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</si>
  <si>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</si>
  <si>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</si>
  <si>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</si>
  <si>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</si>
  <si>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</si>
  <si>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</si>
  <si>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</si>
  <si>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</si>
  <si>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</si>
  <si>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</si>
  <si>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</si>
  <si>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</si>
  <si>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</si>
  <si>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</si>
  <si>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</si>
  <si>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</si>
  <si>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</si>
  <si>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</si>
  <si>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</si>
  <si>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</si>
  <si>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</si>
  <si>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</si>
  <si>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</si>
  <si>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</si>
  <si>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</si>
  <si>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</si>
  <si>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</si>
  <si>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</si>
  <si>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</si>
  <si>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</si>
  <si>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</si>
  <si>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</si>
  <si>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</si>
  <si>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</si>
  <si>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</si>
  <si>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</si>
  <si>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</si>
  <si>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</si>
  <si>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</si>
  <si>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</si>
  <si>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</si>
  <si>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</si>
  <si>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</si>
  <si>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</si>
  <si>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</si>
  <si>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</si>
  <si>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</si>
  <si>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</si>
  <si>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</si>
  <si>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</si>
  <si>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</si>
  <si>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</si>
  <si>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</si>
  <si>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</si>
  <si>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</si>
  <si>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</si>
  <si>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</si>
  <si>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</si>
  <si>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</si>
  <si>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</si>
  <si>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</si>
  <si>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</si>
  <si>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</si>
  <si>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</si>
  <si>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</si>
  <si>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</si>
  <si>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</si>
  <si>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</si>
  <si>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</si>
  <si>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</si>
  <si>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</si>
  <si>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</si>
  <si>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</si>
  <si>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</si>
  <si>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</si>
  <si>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</si>
  <si>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</si>
  <si>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</si>
  <si>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</si>
  <si>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</si>
  <si>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</si>
  <si>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</si>
  <si>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</si>
  <si>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</si>
  <si>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</si>
  <si>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</si>
  <si>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</si>
  <si>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</si>
  <si>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</si>
  <si>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</si>
  <si>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</si>
  <si>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</si>
  <si>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</si>
  <si>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</si>
  <si>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</si>
  <si>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</si>
  <si>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</si>
  <si>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</si>
  <si>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</si>
  <si>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</si>
  <si>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</si>
  <si>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</si>
  <si>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</si>
  <si>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</si>
  <si>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</si>
  <si>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</si>
  <si>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</si>
  <si>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</si>
  <si>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</si>
  <si>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</si>
  <si>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</si>
  <si>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</si>
  <si>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</si>
  <si>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</si>
  <si>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</si>
  <si>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</si>
  <si>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</si>
  <si>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</si>
  <si>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</si>
  <si>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</si>
  <si>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</si>
  <si>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</si>
  <si>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</si>
  <si>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</si>
  <si>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</si>
  <si>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</si>
  <si>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</si>
  <si>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</si>
  <si>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</si>
  <si>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</si>
  <si>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</si>
  <si>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</si>
  <si>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</si>
  <si>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</si>
  <si>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</si>
  <si>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</si>
  <si>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</si>
  <si>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</si>
  <si>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</si>
  <si>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</si>
  <si>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</si>
  <si>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</si>
  <si>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</si>
  <si>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</si>
  <si>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</si>
  <si>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</si>
  <si>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</si>
  <si>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</si>
  <si>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</si>
  <si>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</si>
  <si>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</si>
  <si>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</si>
  <si>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</si>
  <si>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</si>
  <si>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</si>
  <si>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</si>
  <si>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</si>
  <si>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</si>
  <si>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</si>
  <si>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</si>
  <si>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</si>
  <si>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</si>
  <si>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</si>
  <si>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</si>
  <si>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</si>
  <si>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</si>
  <si>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</si>
  <si>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</si>
  <si>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</si>
  <si>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</si>
  <si>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</si>
  <si>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</si>
  <si>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</si>
  <si>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</si>
  <si>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</si>
  <si>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</si>
  <si>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</si>
  <si>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</si>
  <si>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</si>
  <si>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</si>
  <si>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</si>
  <si>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</si>
  <si>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</si>
  <si>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</si>
  <si>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</si>
  <si>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</si>
  <si>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</si>
  <si>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</si>
  <si>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</si>
  <si>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</si>
  <si>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</si>
  <si>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</si>
  <si>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</si>
  <si>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</si>
  <si>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</si>
  <si>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</si>
  <si>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</si>
  <si>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</si>
  <si>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</si>
  <si>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</si>
  <si>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</si>
  <si>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</si>
  <si>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</si>
  <si>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</si>
  <si>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</si>
  <si>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</si>
  <si>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</si>
  <si>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</si>
  <si>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</si>
  <si>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</si>
  <si>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</si>
  <si>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</si>
  <si>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</si>
  <si>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</si>
  <si>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</si>
  <si>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</si>
  <si>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</si>
  <si>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</si>
  <si>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</si>
  <si>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</si>
  <si>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</si>
  <si>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</si>
  <si>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</si>
  <si>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</si>
  <si>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</si>
  <si>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</si>
  <si>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</si>
  <si>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</si>
  <si>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</si>
  <si>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</si>
  <si>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</si>
  <si>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</si>
  <si>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</si>
  <si>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</si>
  <si>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</si>
  <si>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</si>
  <si>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</si>
  <si>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</si>
  <si>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</si>
  <si>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</si>
  <si>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</si>
  <si>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</si>
  <si>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</si>
  <si>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</si>
  <si>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</si>
  <si>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</si>
  <si>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</si>
  <si>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</si>
  <si>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</si>
  <si>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</si>
  <si>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</si>
  <si>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</si>
  <si>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</si>
  <si>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</si>
  <si>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</si>
  <si>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</si>
  <si>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</si>
  <si>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</si>
  <si>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</si>
  <si>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</si>
  <si>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</si>
  <si>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</si>
  <si>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</si>
  <si>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</si>
  <si>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</si>
  <si>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</si>
  <si>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</si>
  <si>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</si>
  <si>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</si>
  <si>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</si>
  <si>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</si>
  <si>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</si>
  <si>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</si>
  <si>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</si>
  <si>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</si>
  <si>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</si>
  <si>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</si>
  <si>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</si>
  <si>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</si>
  <si>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</si>
  <si>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</si>
  <si>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</si>
  <si>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</si>
  <si>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</si>
  <si>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</si>
  <si>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</si>
  <si>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</si>
  <si>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</si>
  <si>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</si>
  <si>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</si>
  <si>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</si>
  <si>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</si>
  <si>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</si>
  <si>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</si>
  <si>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</si>
  <si>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</si>
  <si>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</si>
  <si>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</si>
  <si>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</si>
  <si>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</si>
  <si>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</si>
  <si>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</si>
  <si>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</si>
  <si>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</si>
  <si>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</si>
  <si>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</si>
  <si>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</si>
  <si>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</si>
  <si>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</si>
  <si>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</si>
  <si>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</si>
  <si>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</si>
  <si>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</si>
  <si>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</si>
  <si>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</si>
  <si>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</si>
  <si>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</si>
  <si>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</si>
  <si>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</si>
  <si>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</si>
  <si>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</si>
  <si>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</si>
  <si>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</si>
  <si>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</si>
  <si>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</si>
  <si>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</si>
  <si>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</si>
  <si>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</si>
  <si>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</si>
  <si>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</si>
  <si>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</si>
  <si>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</si>
  <si>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</si>
  <si>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</si>
  <si>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</si>
  <si>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</si>
  <si>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</si>
  <si>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</si>
  <si>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</si>
  <si>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</si>
  <si>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</si>
  <si>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</si>
  <si>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</si>
  <si>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</si>
  <si>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</si>
  <si>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</si>
  <si>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</si>
  <si>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</si>
  <si>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</si>
  <si>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</si>
  <si>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</si>
  <si>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</si>
  <si>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</si>
  <si>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</si>
  <si>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</si>
  <si>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</si>
  <si>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</si>
  <si>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</si>
  <si>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</si>
  <si>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</si>
  <si>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</si>
  <si>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</si>
  <si>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</si>
  <si>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</si>
  <si>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</si>
  <si>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</si>
  <si>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</si>
  <si>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</si>
  <si>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</si>
  <si>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</si>
  <si>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</si>
  <si>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</si>
  <si>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</si>
  <si>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</si>
  <si>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</si>
  <si>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</si>
  <si>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</si>
  <si>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</si>
  <si>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</si>
  <si>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</si>
  <si>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</si>
  <si>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</si>
  <si>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</si>
  <si>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</si>
  <si>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</si>
  <si>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</si>
  <si>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</si>
  <si>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</si>
  <si>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</si>
  <si>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</si>
  <si>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</si>
  <si>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</si>
  <si>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</si>
  <si>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</si>
  <si>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</si>
  <si>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</si>
  <si>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</si>
  <si>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</si>
  <si>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</si>
  <si>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</si>
  <si>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</si>
  <si>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</si>
  <si>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</si>
  <si>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</si>
  <si>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</si>
  <si>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</si>
  <si>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</si>
  <si>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</si>
  <si>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</si>
  <si>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</si>
  <si>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</si>
  <si>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</si>
  <si>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</si>
  <si>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</si>
  <si>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</si>
  <si>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</si>
  <si>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</si>
  <si>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</si>
  <si>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</si>
  <si>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</si>
  <si>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</si>
  <si>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</si>
  <si>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</si>
  <si>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</si>
  <si>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</si>
  <si>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</si>
  <si>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</si>
  <si>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</si>
  <si>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</si>
  <si>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</si>
  <si>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</si>
  <si>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</si>
  <si>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</si>
  <si>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</si>
  <si>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</si>
  <si>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</si>
  <si>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</si>
  <si>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</si>
  <si>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</si>
  <si>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</si>
  <si>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</si>
  <si>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</si>
  <si>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</si>
  <si>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</si>
  <si>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</si>
  <si>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</si>
  <si>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</si>
  <si>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</si>
  <si>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</si>
  <si>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</si>
  <si>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</si>
  <si>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</si>
  <si>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</si>
  <si>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</si>
  <si>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</si>
  <si>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</si>
  <si>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</si>
  <si>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</si>
  <si>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</si>
  <si>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</si>
  <si>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</si>
  <si>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</si>
  <si>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</si>
  <si>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</si>
  <si>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</si>
  <si>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</si>
  <si>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</si>
  <si>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</si>
  <si>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</si>
  <si>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</si>
  <si>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</si>
  <si>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</si>
  <si>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</si>
  <si>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</si>
  <si>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</si>
  <si>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</si>
  <si>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</si>
  <si>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</si>
  <si>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</si>
  <si>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</si>
  <si>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</si>
  <si>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</si>
  <si>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</si>
  <si>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</si>
  <si>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</si>
  <si>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</si>
  <si>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</si>
  <si>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</si>
  <si>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</si>
  <si>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</si>
  <si>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</si>
  <si>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</si>
  <si>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</si>
  <si>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</si>
  <si>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</si>
  <si>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</si>
  <si>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</si>
  <si>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</si>
  <si>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</si>
  <si>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</si>
  <si>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</si>
  <si>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</si>
  <si>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</si>
  <si>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</si>
  <si>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</si>
  <si>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</si>
  <si>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</si>
  <si>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</si>
  <si>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</si>
  <si>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</si>
  <si>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</si>
  <si>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</si>
  <si>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</si>
  <si>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</si>
  <si>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</si>
  <si>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</si>
  <si>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</si>
  <si>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</si>
  <si>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</si>
  <si>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</si>
  <si>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</si>
  <si>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</si>
  <si>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</si>
  <si>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</si>
  <si>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</si>
  <si>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</si>
  <si>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</si>
  <si>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</si>
  <si>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</si>
  <si>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</si>
  <si>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</si>
  <si>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</si>
  <si>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</si>
  <si>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</si>
  <si>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</si>
  <si>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</si>
  <si>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</si>
  <si>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</si>
  <si>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</si>
  <si>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</si>
  <si>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</si>
  <si>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</si>
  <si>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</si>
  <si>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</si>
  <si>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</si>
  <si>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</si>
  <si>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</si>
  <si>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</si>
  <si>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</si>
  <si>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</si>
  <si>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</si>
  <si>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</si>
  <si>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</si>
  <si>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</si>
  <si>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</si>
  <si>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</si>
  <si>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</si>
  <si>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</si>
  <si>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</si>
  <si>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</si>
  <si>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</si>
  <si>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</si>
  <si>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</si>
  <si>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</si>
  <si>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</si>
  <si>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</si>
  <si>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</si>
  <si>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</si>
  <si>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</si>
  <si>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</si>
  <si>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</si>
  <si>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</si>
  <si>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</si>
  <si>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</si>
  <si>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</si>
  <si>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</si>
  <si>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</si>
  <si>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</si>
  <si>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</si>
  <si>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</si>
  <si>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</si>
  <si>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</si>
  <si>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</si>
  <si>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</si>
  <si>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</si>
  <si>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</si>
  <si>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</si>
  <si>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</si>
  <si>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</si>
  <si>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</si>
  <si>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</si>
  <si>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</si>
  <si>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</si>
  <si>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</si>
  <si>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</si>
  <si>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</si>
  <si>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</si>
  <si>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</si>
  <si>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</si>
  <si>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</si>
  <si>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</si>
  <si>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</si>
  <si>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</si>
  <si>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</si>
  <si>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</si>
  <si>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</si>
  <si>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</si>
  <si>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</si>
  <si>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</si>
  <si>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</si>
  <si>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</si>
  <si>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</si>
  <si>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</si>
  <si>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</si>
  <si>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</si>
  <si>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</si>
  <si>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</si>
  <si>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</si>
  <si>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</si>
  <si>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</si>
  <si>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</si>
  <si>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</si>
  <si>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</si>
  <si>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</si>
  <si>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</si>
  <si>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</si>
  <si>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</si>
  <si>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</si>
  <si>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</si>
  <si>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</si>
  <si>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</si>
  <si>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</si>
  <si>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</si>
  <si>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</si>
  <si>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</si>
  <si>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</si>
  <si>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</si>
  <si>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</si>
  <si>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</si>
  <si>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</si>
  <si>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</si>
  <si>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</si>
  <si>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</si>
  <si>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</si>
  <si>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</si>
  <si>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</si>
  <si>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</si>
  <si>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</si>
  <si>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</si>
  <si>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</si>
  <si>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</si>
  <si>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</si>
  <si>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</si>
  <si>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</si>
  <si>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</si>
  <si>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</si>
  <si>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</si>
  <si>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</si>
  <si>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</si>
  <si>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</si>
  <si>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</si>
  <si>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</si>
  <si>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</si>
  <si>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</si>
  <si>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</si>
  <si>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</si>
  <si>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</si>
  <si>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</si>
  <si>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</si>
  <si>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</si>
  <si>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</si>
  <si>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</si>
  <si>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</si>
  <si>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</si>
  <si>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</si>
  <si>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</si>
  <si>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</si>
  <si>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</si>
  <si>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</si>
  <si>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</si>
  <si>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</si>
  <si>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</si>
  <si>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</si>
  <si>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</si>
  <si>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</si>
  <si>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</si>
  <si>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</si>
  <si>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</si>
  <si>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</si>
  <si>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</si>
  <si>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</si>
  <si>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</si>
  <si>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</si>
  <si>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</si>
  <si>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</si>
  <si>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</si>
  <si>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</si>
  <si>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</si>
  <si>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</si>
  <si>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</si>
  <si>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</si>
  <si>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</si>
  <si>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</si>
  <si>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</si>
  <si>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</si>
  <si>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</si>
  <si>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</si>
  <si>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</si>
  <si>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</si>
  <si>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</si>
  <si>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</si>
  <si>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</si>
  <si>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</si>
  <si>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</si>
  <si>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</si>
  <si>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</si>
  <si>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</si>
  <si>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</si>
  <si>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</si>
  <si>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</si>
  <si>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</si>
  <si>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</si>
  <si>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</si>
  <si>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</si>
  <si>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</si>
  <si>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</si>
  <si>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</si>
  <si>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</si>
  <si>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</si>
  <si>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</si>
  <si>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</si>
  <si>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</si>
  <si>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</si>
  <si>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</si>
  <si>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</si>
  <si>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</si>
  <si>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</si>
  <si>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</si>
  <si>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</si>
  <si>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</si>
  <si>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</si>
  <si>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</si>
  <si>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</si>
  <si>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</si>
  <si>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</si>
  <si>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</si>
  <si>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</si>
  <si>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</si>
  <si>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</si>
  <si>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</si>
  <si>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</si>
  <si>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</si>
  <si>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</si>
  <si>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</si>
  <si>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</si>
  <si>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</si>
  <si>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</si>
  <si>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</si>
  <si>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</si>
  <si>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</si>
  <si>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</si>
  <si>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</si>
  <si>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</si>
  <si>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</si>
  <si>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</si>
  <si>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</si>
  <si>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</si>
  <si>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</si>
  <si>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</si>
  <si>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</si>
  <si>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</si>
  <si>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</si>
  <si>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</si>
  <si>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</si>
  <si>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</si>
  <si>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</si>
  <si>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</si>
  <si>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</si>
  <si>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</si>
  <si>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</si>
  <si>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</si>
  <si>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</si>
  <si>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</si>
  <si>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</si>
  <si>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</si>
  <si>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</si>
  <si>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</si>
  <si>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</si>
  <si>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</si>
  <si>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</si>
  <si>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</si>
  <si>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</si>
  <si>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</si>
  <si>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</si>
  <si>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</si>
  <si>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</si>
  <si>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</si>
  <si>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</si>
  <si>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</si>
  <si>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</si>
  <si>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</si>
  <si>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</si>
  <si>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</si>
  <si>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</si>
  <si>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</si>
  <si>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</si>
  <si>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</si>
  <si>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</si>
  <si>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</si>
  <si>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</si>
  <si>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</si>
  <si>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</si>
  <si>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</si>
  <si>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</si>
  <si>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</si>
  <si>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</si>
  <si>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</si>
  <si>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</si>
  <si>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</si>
  <si>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</si>
  <si>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</si>
  <si>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</si>
  <si>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</si>
  <si>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</si>
  <si>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</si>
  <si>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</si>
  <si>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</si>
  <si>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</si>
  <si>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</si>
  <si>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</si>
  <si>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</si>
  <si>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</si>
  <si>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</si>
  <si>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</si>
  <si>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</si>
  <si>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</si>
  <si>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</si>
  <si>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</si>
  <si>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</si>
  <si>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</si>
  <si>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</si>
  <si>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</si>
  <si>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</si>
  <si>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</si>
  <si>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</si>
  <si>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</si>
  <si>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</si>
  <si>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</si>
  <si>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</si>
  <si>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</si>
  <si>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</si>
  <si>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</si>
  <si>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</si>
  <si>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</si>
  <si>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</si>
  <si>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</si>
  <si>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</si>
  <si>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</si>
  <si>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</si>
  <si>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</si>
  <si>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</si>
  <si>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</si>
  <si>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</si>
  <si>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</si>
  <si>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</si>
  <si>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</si>
  <si>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</si>
  <si>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</si>
  <si>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</si>
  <si>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</si>
  <si>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</si>
  <si>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</si>
  <si>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</si>
  <si>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</si>
  <si>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</si>
  <si>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</si>
  <si>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</si>
  <si>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</si>
  <si>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</si>
  <si>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</si>
  <si>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</si>
  <si>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</si>
  <si>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</si>
  <si>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</si>
  <si>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</si>
  <si>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</si>
  <si>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</si>
  <si>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</si>
  <si>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</si>
  <si>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</si>
  <si>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</si>
  <si>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</si>
  <si>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</si>
  <si>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</si>
  <si>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</si>
  <si>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</si>
  <si>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</si>
  <si>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</si>
  <si>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</si>
  <si>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</si>
  <si>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</si>
  <si>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</si>
  <si>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</si>
  <si>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</si>
  <si>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</si>
  <si>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</si>
  <si>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</si>
  <si>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</si>
  <si>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</si>
  <si>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</si>
  <si>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</si>
  <si>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</si>
  <si>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</si>
  <si>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</si>
  <si>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</si>
  <si>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</si>
  <si>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</si>
  <si>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</si>
  <si>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</si>
  <si>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</si>
  <si>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</si>
  <si>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</si>
  <si>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</si>
  <si>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</si>
  <si>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</si>
  <si>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</si>
  <si>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</si>
  <si>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</si>
  <si>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</si>
  <si>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</si>
  <si>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</si>
  <si>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</si>
  <si>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</si>
  <si>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</si>
  <si>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</si>
  <si>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</si>
  <si>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</si>
  <si>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</si>
  <si>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</si>
  <si>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</si>
  <si>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</si>
  <si>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</si>
  <si>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</si>
  <si>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</si>
  <si>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</si>
  <si>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</si>
  <si>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</si>
  <si>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</si>
  <si>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</si>
  <si>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</si>
  <si>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</si>
  <si>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</si>
  <si>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</si>
  <si>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</si>
  <si>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</si>
  <si>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</si>
  <si>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</si>
  <si>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</si>
  <si>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</si>
  <si>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</si>
  <si>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</si>
  <si>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</si>
  <si>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</si>
  <si>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</si>
  <si>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</si>
  <si>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</si>
  <si>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</si>
  <si>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</si>
  <si>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</si>
  <si>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</si>
  <si>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</si>
  <si>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</si>
  <si>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</si>
  <si>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</si>
  <si>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</si>
  <si>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</si>
  <si>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</si>
  <si>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</si>
  <si>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</si>
  <si>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</si>
  <si>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</si>
  <si>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</si>
  <si>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</si>
  <si>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</si>
  <si>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</si>
  <si>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</si>
  <si>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</si>
  <si>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</si>
  <si>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</si>
  <si>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</si>
  <si>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</si>
  <si>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</si>
  <si>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</si>
  <si>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</si>
  <si>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</si>
  <si>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</si>
  <si>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</si>
  <si>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</si>
  <si>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</si>
  <si>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</si>
  <si>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</si>
  <si>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</si>
  <si>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</si>
  <si>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</si>
  <si>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</si>
  <si>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</si>
  <si>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</si>
  <si>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</si>
  <si>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</si>
  <si>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</si>
  <si>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</si>
  <si>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</si>
  <si>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</si>
  <si>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</si>
  <si>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</si>
  <si>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</si>
  <si>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</si>
  <si>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</si>
  <si>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</si>
  <si>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</si>
  <si>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</si>
  <si>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</si>
  <si>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</si>
  <si>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</si>
  <si>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</si>
  <si>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</si>
  <si>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</si>
  <si>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</si>
  <si>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</si>
  <si>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</si>
  <si>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</si>
  <si>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</si>
  <si>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</si>
  <si>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</si>
  <si>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</si>
  <si>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</si>
  <si>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</si>
  <si>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</si>
  <si>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</si>
  <si>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</si>
  <si>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</si>
  <si>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</si>
  <si>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</si>
  <si>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</si>
  <si>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</si>
  <si>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</si>
  <si>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</si>
  <si>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</si>
  <si>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</si>
  <si>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</si>
  <si>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</si>
  <si>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</si>
  <si>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</si>
  <si>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</si>
  <si>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</si>
  <si>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</si>
  <si>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</si>
  <si>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</si>
  <si>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</si>
  <si>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</si>
  <si>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</si>
  <si>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</si>
  <si>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</si>
  <si>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</si>
  <si>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</si>
  <si>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</si>
  <si>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</si>
  <si>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</si>
  <si>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</si>
  <si>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</si>
  <si>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</si>
  <si>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</si>
  <si>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</si>
  <si>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</si>
  <si>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</si>
  <si>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</si>
  <si>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</si>
  <si>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</si>
  <si>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</si>
  <si>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</si>
  <si>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</si>
  <si>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</si>
  <si>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</si>
  <si>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</si>
  <si>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</si>
  <si>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</si>
  <si>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</si>
  <si>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</si>
  <si>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</si>
  <si>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</si>
  <si>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</si>
  <si>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</si>
  <si>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</si>
  <si>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</si>
  <si>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</si>
  <si>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</si>
  <si>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</si>
  <si>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</si>
  <si>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</si>
  <si>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</si>
  <si>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</si>
  <si>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</si>
  <si>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</si>
  <si>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</si>
  <si>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</si>
  <si>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</si>
  <si>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</si>
  <si>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</si>
  <si>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</si>
  <si>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</si>
  <si>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</si>
  <si>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</si>
  <si>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</si>
  <si>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</si>
  <si>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</si>
  <si>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</si>
  <si>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</si>
  <si>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</si>
  <si>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</si>
  <si>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</si>
  <si>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</si>
  <si>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</si>
  <si>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</si>
  <si>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</si>
  <si>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</si>
  <si>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</si>
  <si>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</si>
  <si>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</si>
  <si>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</si>
  <si>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</si>
  <si>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</si>
  <si>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</si>
  <si>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</si>
  <si>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</si>
  <si>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</si>
  <si>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</si>
  <si>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</si>
  <si>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</si>
  <si>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</si>
  <si>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</si>
  <si>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</si>
  <si>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</si>
  <si>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</si>
  <si>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</si>
  <si>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</si>
  <si>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</si>
  <si>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</si>
  <si>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</si>
  <si>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</si>
  <si>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</si>
  <si>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</si>
  <si>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</si>
  <si>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</si>
  <si>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</si>
  <si>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</si>
  <si>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</si>
  <si>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</si>
  <si>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</si>
  <si>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</si>
  <si>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</si>
  <si>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</si>
  <si>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</si>
  <si>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</si>
  <si>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</si>
  <si>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</si>
  <si>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</si>
  <si>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</si>
  <si>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</si>
  <si>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</si>
  <si>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</si>
  <si>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</si>
  <si>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</si>
  <si>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</si>
  <si>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</si>
  <si>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</si>
  <si>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</si>
  <si>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</si>
  <si>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</si>
  <si>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</si>
  <si>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</si>
  <si>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</si>
  <si>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</si>
  <si>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</si>
  <si>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</si>
  <si>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</si>
  <si>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</si>
  <si>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2017-1-0716-P01DYGJ2</t>
    <phoneticPr fontId="6" type="noConversion"/>
  </si>
  <si>
    <t>刘梅</t>
  </si>
  <si>
    <t>吴薇</t>
  </si>
  <si>
    <t>湖南金光华暮云房地产开发有限公司</t>
    <phoneticPr fontId="6" type="noConversion"/>
  </si>
  <si>
    <t>大业信托有限公司</t>
    <phoneticPr fontId="6" type="noConversion"/>
  </si>
  <si>
    <t>抵押</t>
  </si>
  <si>
    <t>抵押价格</t>
  </si>
  <si>
    <t>市场价格</t>
  </si>
  <si>
    <t>其他：</t>
  </si>
  <si>
    <t>企业</t>
  </si>
  <si>
    <t>住宅、商业</t>
  </si>
  <si>
    <t>住宅、商业</t>
    <phoneticPr fontId="6" type="noConversion"/>
  </si>
  <si>
    <t>一致</t>
  </si>
  <si>
    <t>符合</t>
  </si>
  <si>
    <t>出让</t>
  </si>
  <si>
    <t>住宅、商业</t>
    <phoneticPr fontId="6" type="noConversion"/>
  </si>
  <si>
    <t>商业</t>
  </si>
  <si>
    <t>住宅70年、商业50年</t>
    <phoneticPr fontId="6" type="noConversion"/>
  </si>
  <si>
    <t>否</t>
  </si>
  <si>
    <t>居住项目</t>
  </si>
  <si>
    <t>无</t>
  </si>
  <si>
    <t>场地未平整</t>
  </si>
  <si>
    <t>平整</t>
  </si>
  <si>
    <t>通路</t>
  </si>
  <si>
    <t>通电</t>
  </si>
  <si>
    <t>通讯</t>
  </si>
  <si>
    <t>地上</t>
  </si>
  <si>
    <t>住宅</t>
    <phoneticPr fontId="7" type="noConversion"/>
  </si>
  <si>
    <t>商业</t>
    <phoneticPr fontId="7" type="noConversion"/>
  </si>
  <si>
    <t>项目全部</t>
  </si>
  <si>
    <t>土地</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</si>
  <si>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</si>
  <si>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</si>
  <si>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</si>
  <si>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</si>
  <si>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</si>
  <si>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</si>
  <si>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</si>
  <si>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</si>
  <si>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</si>
  <si>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</si>
  <si>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</si>
  <si>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</si>
  <si>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</si>
  <si>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</si>
  <si>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</si>
  <si>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</si>
  <si>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</si>
  <si>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t>长沙县高云村</t>
    <phoneticPr fontId="3"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</si>
  <si>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</si>
  <si>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</si>
  <si>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</si>
  <si>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</si>
  <si>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</si>
  <si>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</si>
  <si>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</si>
  <si>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t>正常</t>
  </si>
  <si>
    <t>100/</t>
    <phoneticPr fontId="3" type="noConversion"/>
  </si>
  <si>
    <r>
      <rPr>
        <b/>
        <sz val="11"/>
        <color indexed="8"/>
        <rFont val="仿宋_GB2312"/>
        <family val="3"/>
        <charset val="134"/>
      </rPr>
      <t>土地使用年限（年）</t>
    </r>
    <phoneticPr fontId="3" type="noConversion"/>
  </si>
  <si>
    <r>
      <rPr>
        <sz val="11"/>
        <color indexed="8"/>
        <rFont val="宋体"/>
        <family val="3"/>
        <charset val="134"/>
      </rPr>
      <t>住宅</t>
    </r>
    <r>
      <rPr>
        <sz val="11"/>
        <color indexed="8"/>
        <rFont val="Arial"/>
        <family val="2"/>
      </rPr>
      <t>70</t>
    </r>
    <r>
      <rPr>
        <sz val="11"/>
        <color indexed="8"/>
        <rFont val="宋体"/>
        <family val="3"/>
        <charset val="134"/>
      </rPr>
      <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</si>
  <si>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</si>
  <si>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</si>
  <si>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</si>
  <si>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t>案例周边居住用地比例较大、居住小区数量较多、入住率较好，综合评价居住社区成熟度较好。</t>
    <phoneticPr fontId="3" type="noConversion"/>
  </si>
  <si>
    <r>
      <rPr>
        <sz val="11"/>
        <rFont val="仿宋_GB2312"/>
        <family val="3"/>
        <charset val="134"/>
      </rPr>
      <t>区位状况</t>
    </r>
    <phoneticPr fontId="3" type="noConversion"/>
  </si>
  <si>
    <t>一般</t>
  </si>
  <si>
    <t>较好</t>
  </si>
  <si>
    <r>
      <rPr>
        <sz val="11"/>
        <color indexed="8"/>
        <rFont val="仿宋_GB2312"/>
        <family val="3"/>
        <charset val="134"/>
      </rPr>
      <t>商业繁华度</t>
    </r>
    <phoneticPr fontId="3" type="noConversion"/>
  </si>
  <si>
    <t>案例周边商业氛围较好、有少量大型商业、人流量较大、商业繁华度较好。</t>
    <phoneticPr fontId="3" type="noConversion"/>
  </si>
  <si>
    <r>
      <rPr>
        <sz val="11"/>
        <color indexed="8"/>
        <rFont val="仿宋_GB2312"/>
        <family val="3"/>
        <charset val="134"/>
      </rPr>
      <t>办公集聚程度</t>
    </r>
    <phoneticPr fontId="3" type="noConversion"/>
  </si>
  <si>
    <t>100/</t>
    <phoneticPr fontId="3" type="noConversion"/>
  </si>
  <si>
    <r>
      <rPr>
        <sz val="11"/>
        <color indexed="8"/>
        <rFont val="仿宋_GB2312"/>
        <family val="3"/>
        <charset val="134"/>
      </rPr>
      <t>交通便捷度</t>
    </r>
    <phoneticPr fontId="3" type="noConversion"/>
  </si>
  <si>
    <t>周案例边路网密集程度较好、公交车数量较多、有地铁一号线通过、停车较便捷，综合评价交通便捷度较好。</t>
    <phoneticPr fontId="3" type="noConversion"/>
  </si>
  <si>
    <t>案例周边路网密集程度较好、公交车数量较多、有地铁一号线通过、停车较便捷，综合评价交通便捷度较好。</t>
    <phoneticPr fontId="3" type="noConversion"/>
  </si>
  <si>
    <t>案例周边路网密集程度一般、有一定数量公交车、停车较便捷，综合评价交通便捷度一般。</t>
    <phoneticPr fontId="3" type="noConversion"/>
  </si>
  <si>
    <r>
      <rPr>
        <sz val="11"/>
        <color indexed="8"/>
        <rFont val="仿宋_GB2312"/>
        <family val="3"/>
        <charset val="134"/>
      </rPr>
      <t>区域土地利用方向</t>
    </r>
    <phoneticPr fontId="3" type="noConversion"/>
  </si>
  <si>
    <t>一致</t>
    <phoneticPr fontId="3" type="noConversion"/>
  </si>
  <si>
    <t>100/</t>
    <phoneticPr fontId="3" type="noConversion"/>
  </si>
  <si>
    <t>好</t>
  </si>
  <si>
    <r>
      <rPr>
        <sz val="11"/>
        <color indexed="8"/>
        <rFont val="仿宋_GB2312"/>
        <family val="3"/>
        <charset val="134"/>
      </rPr>
      <t>自然及人文环境状况</t>
    </r>
    <phoneticPr fontId="3" type="noConversion"/>
  </si>
  <si>
    <t>案例周边无大型绿化，公园等自然环境一般，周边有湖南职业技术学院，无其他博物馆，图书馆等人文环境一般；综合评价环境状况一般。</t>
    <phoneticPr fontId="3" type="noConversion"/>
  </si>
  <si>
    <t>案例周边无大型绿化，公园等自然环境一般，周边有中南林业大学，无其他博物馆，图书馆等人文环境一般；综合评价环境状况一般。</t>
    <phoneticPr fontId="3" type="noConversion"/>
  </si>
  <si>
    <t>案例边无大型绿化，公园等自然环境一般，周边有湖南职业技术学院，无其他博物馆，图书馆等人文环境一般；综合评价环境状况一般。</t>
    <phoneticPr fontId="3" type="noConversion"/>
  </si>
  <si>
    <t>公共配套设施</t>
    <phoneticPr fontId="3" type="noConversion"/>
  </si>
  <si>
    <t>案例所在区域公共配套设施较齐备。</t>
    <phoneticPr fontId="3" type="noConversion"/>
  </si>
  <si>
    <t>基础设施水平</t>
    <phoneticPr fontId="3" type="noConversion"/>
  </si>
  <si>
    <t>六通</t>
    <phoneticPr fontId="3" type="noConversion"/>
  </si>
  <si>
    <t>100/</t>
    <phoneticPr fontId="3" type="noConversion"/>
  </si>
  <si>
    <t>100/</t>
    <phoneticPr fontId="3" type="noConversion"/>
  </si>
  <si>
    <t>100/</t>
    <phoneticPr fontId="3" type="noConversion"/>
  </si>
  <si>
    <t>六通</t>
  </si>
  <si>
    <r>
      <rPr>
        <sz val="11"/>
        <color indexed="8"/>
        <rFont val="仿宋_GB2312"/>
        <family val="3"/>
        <charset val="134"/>
      </rPr>
      <t>临街状况</t>
    </r>
    <phoneticPr fontId="3" type="noConversion"/>
  </si>
  <si>
    <t>单面临街</t>
  </si>
  <si>
    <t>100/</t>
    <phoneticPr fontId="3" type="noConversion"/>
  </si>
  <si>
    <r>
      <rPr>
        <sz val="11"/>
        <color indexed="8"/>
        <rFont val="仿宋_GB2312"/>
        <family val="3"/>
        <charset val="134"/>
      </rPr>
      <t>毗邻道路的类型与等级</t>
    </r>
    <phoneticPr fontId="3" type="noConversion"/>
  </si>
  <si>
    <t>临城市主干道—万家丽南路</t>
    <phoneticPr fontId="3" type="noConversion"/>
  </si>
  <si>
    <t>临城市主干道—坡塘路</t>
    <phoneticPr fontId="3" type="noConversion"/>
  </si>
  <si>
    <t>临城市主干道—木莲西路</t>
    <phoneticPr fontId="3" type="noConversion"/>
  </si>
  <si>
    <t>临城市主干道—劳动中路</t>
    <phoneticPr fontId="3" type="noConversion"/>
  </si>
  <si>
    <t>100/</t>
    <phoneticPr fontId="3" type="noConversion"/>
  </si>
  <si>
    <t>主干道</t>
  </si>
  <si>
    <r>
      <rPr>
        <sz val="11"/>
        <color indexed="8"/>
        <rFont val="仿宋_GB2312"/>
        <family val="3"/>
        <charset val="134"/>
      </rPr>
      <t>土地级别</t>
    </r>
    <phoneticPr fontId="3" type="noConversion"/>
  </si>
  <si>
    <t>个别因素</t>
    <phoneticPr fontId="3" type="noConversion"/>
  </si>
  <si>
    <t>较规则</t>
  </si>
  <si>
    <t>三通</t>
  </si>
  <si>
    <r>
      <rPr>
        <sz val="11"/>
        <color indexed="8"/>
        <rFont val="仿宋_GB2312"/>
        <family val="3"/>
        <charset val="134"/>
      </rPr>
      <t>工程地质条件</t>
    </r>
    <phoneticPr fontId="3" type="noConversion"/>
  </si>
  <si>
    <t>良好</t>
  </si>
  <si>
    <r>
      <rPr>
        <sz val="11"/>
        <rFont val="仿宋_GB2312"/>
        <family val="3"/>
        <charset val="134"/>
      </rPr>
      <t>实物状况</t>
    </r>
    <phoneticPr fontId="3" type="noConversion"/>
  </si>
  <si>
    <r>
      <rPr>
        <sz val="11"/>
        <rFont val="仿宋_GB2312"/>
        <family val="3"/>
        <charset val="134"/>
      </rPr>
      <t>实物状况</t>
    </r>
    <phoneticPr fontId="3" type="noConversion"/>
  </si>
  <si>
    <t>单位面积地价</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</si>
  <si>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</si>
  <si>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估价对象住宅、商业用地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</si>
  <si>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</si>
  <si>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</si>
  <si>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</si>
  <si>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</si>
  <si>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</si>
  <si>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</si>
  <si>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</si>
  <si>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</si>
  <si>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</si>
  <si>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</si>
  <si>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</si>
  <si>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</si>
  <si>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</si>
  <si>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</si>
  <si>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</si>
  <si>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</si>
  <si>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</si>
  <si>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</si>
  <si>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</si>
  <si>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t>住宅、商业</t>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</si>
  <si>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</si>
  <si>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</si>
  <si>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</si>
  <si>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</si>
  <si>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</si>
  <si>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</si>
  <si>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</si>
  <si>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</si>
  <si>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</si>
  <si>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</si>
  <si>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</si>
  <si>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</si>
  <si>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</si>
  <si>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</si>
  <si>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</si>
  <si>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</si>
  <si>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</si>
  <si>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</si>
  <si>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</si>
  <si>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</si>
  <si>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</si>
  <si>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</si>
  <si>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</si>
  <si>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</si>
  <si>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</si>
  <si>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</si>
  <si>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</si>
  <si>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t>规划路</t>
    <phoneticPr fontId="3" type="noConversion"/>
  </si>
  <si>
    <r>
      <rPr>
        <sz val="11"/>
        <color indexed="8"/>
        <rFont val="仿宋_GB2312"/>
        <family val="3"/>
        <charset val="134"/>
      </rPr>
      <t>土地级别</t>
    </r>
    <phoneticPr fontId="3" type="noConversion"/>
  </si>
  <si>
    <t>规则</t>
    <phoneticPr fontId="3" type="noConversion"/>
  </si>
  <si>
    <t>较规则</t>
    <phoneticPr fontId="3" type="noConversion"/>
  </si>
  <si>
    <t>较不规则</t>
    <phoneticPr fontId="3" type="noConversion"/>
  </si>
  <si>
    <t>不规则</t>
    <phoneticPr fontId="3" type="noConversion"/>
  </si>
  <si>
    <t>临时三通</t>
    <phoneticPr fontId="3" type="noConversion"/>
  </si>
  <si>
    <t>良好</t>
    <phoneticPr fontId="3" type="noConversion"/>
  </si>
  <si>
    <t>较差</t>
    <phoneticPr fontId="3" type="noConversion"/>
  </si>
  <si>
    <t>住宅、商业</t>
    <phoneticPr fontId="26" type="noConversion"/>
  </si>
  <si>
    <t>住宅、商业</t>
    <phoneticPr fontId="26" type="noConversion"/>
  </si>
  <si>
    <t>住宅</t>
    <phoneticPr fontId="26" type="noConversion"/>
  </si>
  <si>
    <t>快速路</t>
    <phoneticPr fontId="3" type="noConversion"/>
  </si>
  <si>
    <t>主干道</t>
    <phoneticPr fontId="3" type="noConversion"/>
  </si>
  <si>
    <t>次干道</t>
    <phoneticPr fontId="3" type="noConversion"/>
  </si>
  <si>
    <t>支路</t>
    <phoneticPr fontId="3" type="noConversion"/>
  </si>
  <si>
    <t>规划路</t>
    <phoneticPr fontId="3" type="noConversion"/>
  </si>
  <si>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</si>
  <si>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</si>
  <si>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</si>
  <si>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</si>
  <si>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</si>
  <si>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</si>
  <si>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</si>
  <si>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</si>
  <si>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临时三通</t>
    <phoneticPr fontId="3" type="noConversion"/>
  </si>
  <si>
    <t>良好</t>
    <phoneticPr fontId="3" type="noConversion"/>
  </si>
  <si>
    <t>较差</t>
    <phoneticPr fontId="3"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</si>
  <si>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</si>
  <si>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</si>
  <si>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</si>
  <si>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</si>
  <si>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估价对象周边居住用地比例一般、有一定数量居住小区、入住率一般，综合评价居住社区成熟度一般。</t>
    <phoneticPr fontId="3" type="noConversion"/>
  </si>
  <si>
    <t>估价对象周边商业氛围一般、大型商业较少、人流量一般、商业繁华度一般。</t>
    <phoneticPr fontId="3" type="noConversion"/>
  </si>
  <si>
    <t>估价对象周边路网密集程度一般、有一定数量公交车、停车较便捷，综合评价交通便捷度一般。</t>
    <phoneticPr fontId="3" type="noConversion"/>
  </si>
  <si>
    <t>估价对象所在区域公共配套设施较齐备。</t>
    <phoneticPr fontId="3" type="noConversion"/>
  </si>
  <si>
    <t>估价对象所在区域基础设施水平达六通</t>
    <phoneticPr fontId="3" type="noConversion"/>
  </si>
  <si>
    <t>估价对象周边无大型绿化，公园等自然环境一般：周边有长沙理工大学，无其他博物馆，图书馆等人文环境一般；综合评价环境状况一般。</t>
    <phoneticPr fontId="3" type="noConversion"/>
  </si>
  <si>
    <t>一致</t>
    <phoneticPr fontId="2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</si>
  <si>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万家丽南路</t>
    </r>
    <phoneticPr fontId="21" type="noConversion"/>
  </si>
  <si>
    <r>
      <rPr>
        <sz val="11"/>
        <rFont val="宋体"/>
        <family val="3"/>
        <charset val="134"/>
      </rPr>
      <t>城市主干道</t>
    </r>
    <r>
      <rPr>
        <sz val="11"/>
        <rFont val="Arial"/>
        <family val="2"/>
      </rPr>
      <t>—</t>
    </r>
    <r>
      <rPr>
        <sz val="11"/>
        <rFont val="宋体"/>
        <family val="3"/>
        <charset val="134"/>
      </rPr>
      <t>万家丽南路</t>
    </r>
    <phoneticPr fontId="26" type="noConversion"/>
  </si>
  <si>
    <t>临城市主干道—坡塘路</t>
    <phoneticPr fontId="3" type="noConversion"/>
  </si>
  <si>
    <t>临城市主干道—木莲西路</t>
    <phoneticPr fontId="3" type="noConversion"/>
  </si>
  <si>
    <t>临城市主干道—劳动中路</t>
    <phoneticPr fontId="3" type="noConversion"/>
  </si>
  <si>
    <t>较不规则</t>
  </si>
  <si>
    <r>
      <rPr>
        <b/>
        <sz val="16"/>
        <rFont val="仿宋_GB2312"/>
        <family val="3"/>
        <charset val="134"/>
      </rPr>
      <t>─</t>
    </r>
    <phoneticPr fontId="3" type="noConversion"/>
  </si>
  <si>
    <t>高层住宅</t>
  </si>
  <si>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</si>
  <si>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</si>
  <si>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</si>
  <si>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</si>
  <si>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</si>
  <si>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rFont val="仿宋_GB2312"/>
        <family val="3"/>
        <charset val="134"/>
      </rPr>
      <t>估价对象名称</t>
    </r>
    <phoneticPr fontId="3" type="noConversion"/>
  </si>
  <si>
    <t>五矿龙湾</t>
    <phoneticPr fontId="3" type="noConversion"/>
  </si>
  <si>
    <t>汇金城</t>
    <phoneticPr fontId="3" type="noConversion"/>
  </si>
  <si>
    <t>五矿万境蓝山</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</si>
  <si>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</si>
  <si>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</si>
  <si>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</si>
  <si>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</si>
  <si>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</si>
  <si>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</si>
  <si>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</si>
  <si>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</si>
  <si>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</si>
  <si>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</si>
  <si>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</si>
  <si>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一般</t>
    <phoneticPr fontId="3" type="noConversion"/>
  </si>
  <si>
    <r>
      <rPr>
        <sz val="11"/>
        <rFont val="仿宋_GB2312"/>
        <family val="3"/>
        <charset val="134"/>
      </rPr>
      <t>区位状况</t>
    </r>
    <phoneticPr fontId="3" type="noConversion"/>
  </si>
  <si>
    <t>一般</t>
    <phoneticPr fontId="3" type="noConversion"/>
  </si>
  <si>
    <t>100/</t>
    <phoneticPr fontId="3" type="noConversion"/>
  </si>
  <si>
    <t>公共配套设施</t>
    <phoneticPr fontId="3" type="noConversion"/>
  </si>
  <si>
    <t>较好</t>
    <phoneticPr fontId="3" type="noConversion"/>
  </si>
  <si>
    <t>一般</t>
    <phoneticPr fontId="3" type="noConversion"/>
  </si>
  <si>
    <t>100/</t>
    <phoneticPr fontId="3" type="noConversion"/>
  </si>
  <si>
    <t>100/</t>
    <phoneticPr fontId="3" type="noConversion"/>
  </si>
  <si>
    <t>临街道路级别</t>
    <phoneticPr fontId="3" type="noConversion"/>
  </si>
  <si>
    <t>城市主干道</t>
    <phoneticPr fontId="3" type="noConversion"/>
  </si>
  <si>
    <t>城市次干道</t>
    <phoneticPr fontId="3" type="noConversion"/>
  </si>
  <si>
    <t>100/</t>
    <phoneticPr fontId="3" type="noConversion"/>
  </si>
  <si>
    <t>高层板楼</t>
  </si>
  <si>
    <t>板塔结合</t>
  </si>
  <si>
    <t>塔楼</t>
  </si>
  <si>
    <t>钢混</t>
  </si>
  <si>
    <t>中档</t>
  </si>
  <si>
    <t>高档</t>
  </si>
  <si>
    <t>精装修</t>
  </si>
  <si>
    <t>专业</t>
  </si>
  <si>
    <t>市政基础设施</t>
    <phoneticPr fontId="3" type="noConversion"/>
  </si>
  <si>
    <t>毛坯</t>
  </si>
  <si>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</si>
  <si>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</si>
  <si>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</si>
  <si>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</si>
  <si>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</si>
  <si>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</si>
  <si>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</si>
  <si>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</si>
  <si>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</si>
  <si>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</si>
  <si>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</si>
  <si>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</si>
  <si>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</si>
  <si>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</si>
  <si>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</si>
  <si>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</si>
  <si>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</si>
  <si>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</si>
  <si>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</si>
  <si>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</si>
  <si>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</si>
  <si>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</si>
  <si>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</si>
  <si>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</si>
  <si>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</si>
  <si>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快速路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</si>
  <si>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</si>
  <si>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</si>
  <si>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</si>
  <si>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</si>
  <si>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</si>
  <si>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</si>
  <si>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高层板楼</t>
    <phoneticPr fontId="3" type="noConversion"/>
  </si>
  <si>
    <t>板塔结合</t>
    <phoneticPr fontId="3" type="noConversion"/>
  </si>
  <si>
    <t>塔楼</t>
    <phoneticPr fontId="3" type="noConversion"/>
  </si>
  <si>
    <r>
      <rPr>
        <sz val="11"/>
        <color indexed="8"/>
        <rFont val="仿宋_GB2312"/>
        <family val="3"/>
        <charset val="134"/>
      </rPr>
      <t>建筑结构</t>
    </r>
    <phoneticPr fontId="3" type="noConversion"/>
  </si>
  <si>
    <t>钢混</t>
    <phoneticPr fontId="3" type="noConversion"/>
  </si>
  <si>
    <t>砖混</t>
    <phoneticPr fontId="3" type="noConversion"/>
  </si>
  <si>
    <r>
      <rPr>
        <sz val="11"/>
        <color indexed="8"/>
        <rFont val="仿宋_GB2312"/>
        <family val="3"/>
        <charset val="134"/>
      </rPr>
      <t>建筑品质</t>
    </r>
    <phoneticPr fontId="3" type="noConversion"/>
  </si>
  <si>
    <t>高档</t>
    <phoneticPr fontId="3" type="noConversion"/>
  </si>
  <si>
    <t>中档</t>
    <phoneticPr fontId="3" type="noConversion"/>
  </si>
  <si>
    <r>
      <rPr>
        <sz val="11"/>
        <color indexed="8"/>
        <rFont val="仿宋_GB2312"/>
        <family val="3"/>
        <charset val="134"/>
      </rPr>
      <t>公共部分装修</t>
    </r>
    <phoneticPr fontId="3" type="noConversion"/>
  </si>
  <si>
    <t>精装修</t>
    <phoneticPr fontId="3" type="noConversion"/>
  </si>
  <si>
    <t>普通装修</t>
    <phoneticPr fontId="3" type="noConversion"/>
  </si>
  <si>
    <t>简单装修</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</si>
  <si>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</si>
  <si>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</si>
  <si>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</si>
  <si>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</si>
  <si>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</si>
  <si>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无物业</t>
    <phoneticPr fontId="3" type="noConversion"/>
  </si>
  <si>
    <t>临三通</t>
    <phoneticPr fontId="3" type="noConversion"/>
  </si>
  <si>
    <t>精装修</t>
    <phoneticPr fontId="3" type="noConversion"/>
  </si>
  <si>
    <t>普通装修</t>
    <phoneticPr fontId="3" type="noConversion"/>
  </si>
  <si>
    <t>简单装修</t>
    <phoneticPr fontId="3" type="noConversion"/>
  </si>
  <si>
    <t>毛坯</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</si>
  <si>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</si>
  <si>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</si>
  <si>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</si>
  <si>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</si>
  <si>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</si>
  <si>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</si>
  <si>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</si>
  <si>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</si>
  <si>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</si>
  <si>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</si>
  <si>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</si>
  <si>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</si>
  <si>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</si>
  <si>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</si>
  <si>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</si>
  <si>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</si>
  <si>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</si>
  <si>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</si>
  <si>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</si>
  <si>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</si>
  <si>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r>
      <rPr>
        <b/>
        <sz val="16"/>
        <color indexed="10"/>
        <rFont val="仿宋_GB2312"/>
        <family val="3"/>
        <charset val="134"/>
      </rPr>
      <t>比较法</t>
    </r>
    <phoneticPr fontId="3" type="noConversion"/>
  </si>
  <si>
    <r>
      <rPr>
        <b/>
        <sz val="16"/>
        <rFont val="仿宋_GB2312"/>
        <family val="3"/>
        <charset val="134"/>
      </rPr>
      <t>商业</t>
    </r>
    <phoneticPr fontId="3" type="noConversion"/>
  </si>
  <si>
    <r>
      <rPr>
        <b/>
        <sz val="16"/>
        <rFont val="仿宋_GB2312"/>
        <family val="3"/>
        <charset val="134"/>
      </rPr>
      <t>─</t>
    </r>
    <phoneticPr fontId="3" type="noConversion"/>
  </si>
  <si>
    <t>住宅底商</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</si>
  <si>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</si>
  <si>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</si>
  <si>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</si>
  <si>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</si>
  <si>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</si>
  <si>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</si>
  <si>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</si>
  <si>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t>汇金城底商</t>
    <phoneticPr fontId="3" type="noConversion"/>
  </si>
  <si>
    <t>五矿万境蓝山</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</si>
  <si>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</si>
  <si>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</si>
  <si>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</si>
  <si>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商业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</si>
  <si>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</si>
  <si>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</si>
  <si>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30-40（含）</t>
  </si>
  <si>
    <t>一般</t>
    <phoneticPr fontId="3" type="noConversion"/>
  </si>
  <si>
    <t>较好</t>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</si>
  <si>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</si>
  <si>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</si>
  <si>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</si>
  <si>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</si>
  <si>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</si>
  <si>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r>
      <rPr>
        <sz val="11"/>
        <color indexed="8"/>
        <rFont val="仿宋_GB2312"/>
        <family val="3"/>
        <charset val="134"/>
      </rPr>
      <t>楼层</t>
    </r>
    <phoneticPr fontId="3" type="noConversion"/>
  </si>
  <si>
    <t>临街道路级别</t>
    <phoneticPr fontId="3" type="noConversion"/>
  </si>
  <si>
    <t>个别因素</t>
    <phoneticPr fontId="3" type="noConversion"/>
  </si>
  <si>
    <r>
      <rPr>
        <sz val="11"/>
        <color indexed="8"/>
        <rFont val="仿宋_GB2312"/>
        <family val="3"/>
        <charset val="134"/>
      </rPr>
      <t>商业类型</t>
    </r>
    <phoneticPr fontId="3" type="noConversion"/>
  </si>
  <si>
    <r>
      <rPr>
        <sz val="11"/>
        <rFont val="仿宋_GB2312"/>
        <family val="3"/>
        <charset val="134"/>
      </rPr>
      <t>实物状况</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</si>
  <si>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</si>
  <si>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</si>
  <si>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t>标准层高</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</si>
  <si>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</si>
  <si>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估价对象商业用房的比较价格（楼面单价，元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</si>
  <si>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</si>
  <si>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</si>
  <si>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</si>
  <si>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</si>
  <si>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</si>
  <si>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</si>
  <si>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</si>
  <si>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</si>
  <si>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</si>
  <si>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</si>
  <si>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</si>
  <si>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</si>
  <si>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</si>
  <si>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</si>
  <si>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</si>
  <si>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</si>
  <si>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</si>
  <si>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</si>
  <si>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</si>
  <si>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</si>
  <si>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</si>
  <si>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</si>
  <si>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</si>
  <si>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</si>
  <si>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</si>
  <si>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</si>
  <si>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r>
      <rPr>
        <sz val="11"/>
        <color indexed="8"/>
        <rFont val="仿宋_GB2312"/>
        <family val="3"/>
        <charset val="134"/>
      </rPr>
      <t>自然及人文环境</t>
    </r>
    <phoneticPr fontId="3" type="noConversion"/>
  </si>
  <si>
    <t>大</t>
    <phoneticPr fontId="3" type="noConversion"/>
  </si>
  <si>
    <t>较大</t>
    <phoneticPr fontId="3" type="noConversion"/>
  </si>
  <si>
    <t>较小</t>
    <phoneticPr fontId="3" type="noConversion"/>
  </si>
  <si>
    <t>小</t>
    <phoneticPr fontId="3" type="noConversion"/>
  </si>
  <si>
    <t>1-2</t>
    <phoneticPr fontId="3" type="noConversion"/>
  </si>
  <si>
    <t>城市主干道</t>
    <phoneticPr fontId="3" type="noConversion"/>
  </si>
  <si>
    <t>城市次干道</t>
    <phoneticPr fontId="3" type="noConversion"/>
  </si>
  <si>
    <t>城市支路</t>
    <phoneticPr fontId="3" type="noConversion"/>
  </si>
  <si>
    <t>规划道路</t>
    <phoneticPr fontId="3" type="noConversion"/>
  </si>
  <si>
    <r>
      <rPr>
        <b/>
        <sz val="11"/>
        <rFont val="仿宋_GB2312"/>
        <family val="3"/>
        <charset val="134"/>
      </rPr>
      <t>实物状况</t>
    </r>
    <phoneticPr fontId="3" type="noConversion"/>
  </si>
  <si>
    <t>商业街</t>
    <phoneticPr fontId="3" type="noConversion"/>
  </si>
  <si>
    <t>独栋商业</t>
    <phoneticPr fontId="3" type="noConversion"/>
  </si>
  <si>
    <t>住宅底商</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</si>
  <si>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</si>
  <si>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</si>
  <si>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</si>
  <si>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</si>
  <si>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</si>
  <si>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</si>
  <si>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</si>
  <si>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</si>
  <si>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市政基础设施</t>
    <phoneticPr fontId="3" type="noConversion"/>
  </si>
  <si>
    <r>
      <rPr>
        <sz val="11"/>
        <color indexed="8"/>
        <rFont val="仿宋_GB2312"/>
        <family val="3"/>
        <charset val="134"/>
      </rPr>
      <t>业态</t>
    </r>
    <phoneticPr fontId="3" type="noConversion"/>
  </si>
  <si>
    <t>可餐饮</t>
    <phoneticPr fontId="3" type="noConversion"/>
  </si>
  <si>
    <t>不可餐饮</t>
    <phoneticPr fontId="3" type="noConversion"/>
  </si>
  <si>
    <r>
      <rPr>
        <sz val="11"/>
        <color indexed="8"/>
        <rFont val="仿宋_GB2312"/>
        <family val="3"/>
        <charset val="134"/>
      </rPr>
      <t>层高</t>
    </r>
    <phoneticPr fontId="3" type="noConversion"/>
  </si>
  <si>
    <t>超高层高</t>
    <phoneticPr fontId="3" type="noConversion"/>
  </si>
  <si>
    <t>标准层高</t>
    <phoneticPr fontId="3" type="noConversion"/>
  </si>
  <si>
    <r>
      <rPr>
        <sz val="11"/>
        <color indexed="8"/>
        <rFont val="仿宋_GB2312"/>
        <family val="3"/>
        <charset val="134"/>
      </rPr>
      <t>单套建筑面积</t>
    </r>
    <phoneticPr fontId="3" type="noConversion"/>
  </si>
  <si>
    <t>0-100</t>
    <phoneticPr fontId="3" type="noConversion"/>
  </si>
  <si>
    <t>100-500</t>
    <phoneticPr fontId="3" type="noConversion"/>
  </si>
  <si>
    <t>500-1000</t>
    <phoneticPr fontId="3" type="noConversion"/>
  </si>
  <si>
    <r>
      <rPr>
        <sz val="11"/>
        <color indexed="8"/>
        <rFont val="仿宋_GB2312"/>
        <family val="3"/>
        <charset val="134"/>
      </rPr>
      <t>进深比</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</si>
  <si>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</si>
  <si>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</si>
  <si>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t>已全部缴纳</t>
  </si>
  <si>
    <t>比较法-住宅、综合</t>
  </si>
  <si>
    <t>剩余法-待开发</t>
  </si>
  <si>
    <t>《国有建设用地使用权出让合同》[电子监管号：4301212017B00548/4301212017B00550]</t>
    <phoneticPr fontId="3" type="noConversion"/>
  </si>
  <si>
    <t>小区紧邻仙姑山风景区，一般</t>
    <phoneticPr fontId="3" type="noConversion"/>
  </si>
  <si>
    <t>五矿国际底商</t>
    <phoneticPr fontId="3" type="noConversion"/>
  </si>
  <si>
    <t>不可餐饮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</si>
</sst>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191" fontId="145" fillId="0" borderId="0">
      <alignment vertical="center"/>
    </xf>
    <xf numFmtId="191" fontId="145" fillId="0" borderId="0">
      <alignment vertical="center"/>
    </xf>
    <xf numFmtId="191" fontId="145" fillId="0" borderId="0">
      <alignment vertical="center"/>
    </xf>
  </cellStyleXfs>
  <cellXfs count="43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0" fontId="152" fillId="0" borderId="2" xfId="0" applyNumberFormat="1" applyFont="1" applyFill="1" applyBorder="1" applyAlignment="1" applyProtection="1">
      <alignment horizontal="center" vertical="center"/>
      <protection locked="0"/>
    </xf>
    <xf numFmtId="0" fontId="151" fillId="5" borderId="4" xfId="15" applyNumberFormat="1" applyFont="1" applyFill="1" applyBorder="1" applyAlignment="1" applyProtection="1">
      <alignment vertical="center"/>
    </xf>
    <xf numFmtId="0" fontId="101" fillId="5" borderId="14" xfId="15" applyNumberFormat="1" applyFont="1" applyFill="1" applyBorder="1" applyAlignment="1" applyProtection="1">
      <alignment horizontal="right" vertical="center"/>
    </xf>
    <xf numFmtId="0" fontId="101" fillId="5" borderId="0" xfId="15" applyNumberFormat="1" applyFont="1" applyFill="1" applyAlignment="1" applyProtection="1">
      <alignment horizontal="center" vertical="center"/>
    </xf>
    <xf numFmtId="0" fontId="68" fillId="5" borderId="14" xfId="15" applyNumberFormat="1" applyFont="1" applyFill="1" applyBorder="1" applyAlignment="1" applyProtection="1">
      <alignment vertical="center"/>
    </xf>
    <xf numFmtId="0" fontId="101" fillId="5" borderId="14" xfId="15" applyNumberFormat="1" applyFont="1" applyFill="1" applyBorder="1" applyAlignment="1" applyProtection="1">
      <alignment vertical="center"/>
    </xf>
    <xf numFmtId="0" fontId="98" fillId="5" borderId="0" xfId="15" applyNumberFormat="1" applyFont="1" applyFill="1" applyAlignment="1" applyProtection="1">
      <alignment horizontal="center" vertical="center"/>
    </xf>
    <xf numFmtId="0" fontId="101" fillId="5" borderId="14" xfId="15" applyNumberFormat="1" applyFont="1" applyFill="1" applyBorder="1" applyAlignment="1" applyProtection="1">
      <alignment horizontal="center" vertical="center"/>
    </xf>
    <xf numFmtId="0" fontId="101" fillId="5" borderId="0" xfId="15" applyNumberFormat="1" applyFont="1" applyFill="1" applyBorder="1" applyAlignment="1" applyProtection="1">
      <alignment horizontal="center" vertical="center"/>
    </xf>
    <xf numFmtId="0" fontId="98" fillId="5" borderId="0" xfId="15" applyNumberFormat="1" applyFont="1" applyFill="1" applyBorder="1" applyAlignment="1" applyProtection="1">
      <alignment horizontal="center" vertical="center"/>
    </xf>
    <xf numFmtId="0" fontId="98" fillId="0" borderId="0" xfId="15" applyNumberFormat="1" applyFont="1" applyFill="1" applyBorder="1" applyAlignment="1" applyProtection="1">
      <alignment horizontal="center" vertical="center"/>
    </xf>
    <xf numFmtId="0" fontId="98" fillId="0" borderId="0" xfId="15" applyNumberFormat="1" applyFont="1" applyFill="1" applyAlignment="1" applyProtection="1">
      <alignment horizontal="center" vertical="center"/>
    </xf>
    <xf numFmtId="0" fontId="97" fillId="5" borderId="2" xfId="16" applyNumberFormat="1" applyFont="1" applyFill="1" applyBorder="1" applyAlignment="1" applyProtection="1">
      <alignment vertical="center"/>
    </xf>
    <xf numFmtId="0" fontId="97" fillId="5" borderId="2" xfId="15" applyNumberFormat="1" applyFont="1" applyFill="1" applyBorder="1" applyAlignment="1" applyProtection="1">
      <alignment horizontal="right" vertical="center"/>
    </xf>
    <xf numFmtId="0" fontId="97" fillId="5" borderId="0" xfId="15" applyNumberFormat="1" applyFont="1" applyFill="1" applyBorder="1" applyAlignment="1" applyProtection="1">
      <alignment vertical="center"/>
      <protection locked="0"/>
    </xf>
    <xf numFmtId="0" fontId="101" fillId="5" borderId="0" xfId="15" applyNumberFormat="1" applyFont="1" applyFill="1" applyBorder="1" applyAlignment="1" applyProtection="1">
      <alignment vertical="center"/>
      <protection locked="0"/>
    </xf>
    <xf numFmtId="0" fontId="102" fillId="5" borderId="0" xfId="15" applyNumberFormat="1" applyFont="1" applyFill="1" applyBorder="1" applyAlignment="1" applyProtection="1">
      <alignment vertical="center"/>
      <protection locked="0"/>
    </xf>
    <xf numFmtId="0" fontId="101" fillId="5" borderId="0" xfId="15" applyNumberFormat="1" applyFont="1" applyFill="1" applyBorder="1" applyAlignment="1" applyProtection="1">
      <alignment horizontal="center" vertical="center"/>
      <protection locked="0"/>
    </xf>
    <xf numFmtId="0" fontId="57" fillId="5" borderId="10" xfId="16" applyNumberFormat="1" applyFont="1" applyFill="1" applyBorder="1" applyAlignment="1" applyProtection="1">
      <alignment vertical="center"/>
    </xf>
    <xf numFmtId="0" fontId="97" fillId="5" borderId="10" xfId="15" applyNumberFormat="1" applyFont="1" applyFill="1" applyBorder="1" applyAlignment="1" applyProtection="1">
      <alignment horizontal="right" vertical="center"/>
    </xf>
    <xf numFmtId="0" fontId="98" fillId="5" borderId="0" xfId="15" applyNumberFormat="1" applyFont="1" applyFill="1" applyAlignment="1" applyProtection="1">
      <alignment horizontal="center" vertical="center"/>
      <protection locked="0"/>
    </xf>
    <xf numFmtId="0" fontId="58" fillId="5" borderId="0" xfId="15" applyNumberFormat="1" applyFont="1" applyFill="1" applyAlignment="1" applyProtection="1">
      <alignment horizontal="center" vertical="center"/>
      <protection locked="0"/>
    </xf>
    <xf numFmtId="0" fontId="101" fillId="5" borderId="19" xfId="15" applyNumberFormat="1" applyFont="1" applyFill="1" applyBorder="1" applyAlignment="1" applyProtection="1">
      <alignment horizontal="center" vertical="center"/>
    </xf>
    <xf numFmtId="0" fontId="97" fillId="5" borderId="10" xfId="15" applyNumberFormat="1" applyFont="1" applyFill="1" applyBorder="1" applyAlignment="1" applyProtection="1">
      <alignment vertical="center"/>
    </xf>
    <xf numFmtId="0" fontId="97" fillId="5" borderId="2" xfId="15" applyNumberFormat="1" applyFont="1" applyFill="1" applyBorder="1" applyAlignment="1" applyProtection="1">
      <alignment vertical="center"/>
    </xf>
    <xf numFmtId="0" fontId="97" fillId="5" borderId="0" xfId="16" applyNumberFormat="1" applyFont="1" applyFill="1" applyBorder="1" applyAlignment="1" applyProtection="1">
      <alignment vertical="center"/>
    </xf>
    <xf numFmtId="0" fontId="97" fillId="5" borderId="4" xfId="15" applyNumberFormat="1" applyFont="1" applyFill="1" applyBorder="1" applyAlignment="1" applyProtection="1">
      <alignment vertical="center"/>
    </xf>
    <xf numFmtId="0" fontId="154" fillId="5" borderId="32" xfId="15" applyNumberFormat="1" applyFont="1" applyFill="1" applyBorder="1" applyAlignment="1" applyProtection="1">
      <alignment horizontal="left" vertical="center"/>
    </xf>
    <xf numFmtId="0" fontId="83" fillId="5" borderId="26" xfId="15" applyNumberFormat="1" applyFont="1" applyFill="1" applyBorder="1" applyAlignment="1" applyProtection="1">
      <alignment vertical="center" wrapText="1"/>
    </xf>
    <xf numFmtId="0" fontId="83" fillId="5" borderId="28" xfId="15" applyNumberFormat="1" applyFont="1" applyFill="1" applyBorder="1" applyAlignment="1" applyProtection="1">
      <alignment vertical="center" wrapText="1"/>
    </xf>
    <xf numFmtId="0" fontId="71" fillId="5" borderId="9" xfId="15" applyNumberFormat="1" applyFont="1" applyFill="1" applyBorder="1" applyAlignment="1" applyProtection="1">
      <alignment horizontal="center" vertical="center" wrapText="1"/>
    </xf>
    <xf numFmtId="0" fontId="71" fillId="5" borderId="0" xfId="15" applyNumberFormat="1" applyFont="1" applyFill="1" applyBorder="1" applyAlignment="1" applyProtection="1">
      <alignment vertical="center" wrapText="1"/>
      <protection locked="0"/>
    </xf>
    <xf numFmtId="0" fontId="84" fillId="5" borderId="0" xfId="15" applyNumberFormat="1" applyFont="1" applyFill="1" applyBorder="1" applyAlignment="1" applyProtection="1">
      <alignment horizontal="center" vertical="center"/>
      <protection locked="0"/>
    </xf>
    <xf numFmtId="0" fontId="84" fillId="5" borderId="3" xfId="15" applyNumberFormat="1" applyFont="1" applyFill="1" applyBorder="1" applyAlignment="1" applyProtection="1">
      <alignment horizontal="center" vertical="center"/>
    </xf>
    <xf numFmtId="0" fontId="84" fillId="0" borderId="0" xfId="15" applyNumberFormat="1" applyFont="1" applyFill="1" applyAlignment="1" applyProtection="1">
      <alignment horizontal="center" vertical="center"/>
    </xf>
    <xf numFmtId="0" fontId="83" fillId="5" borderId="31" xfId="15" applyNumberFormat="1" applyFont="1" applyFill="1" applyBorder="1" applyAlignment="1" applyProtection="1">
      <alignment vertical="center" wrapText="1"/>
    </xf>
    <xf numFmtId="0" fontId="83" fillId="5" borderId="0" xfId="15" applyNumberFormat="1" applyFont="1" applyFill="1" applyBorder="1" applyAlignment="1" applyProtection="1">
      <alignment vertical="center" wrapText="1"/>
    </xf>
    <xf numFmtId="0" fontId="75" fillId="5" borderId="59" xfId="15" applyNumberFormat="1" applyFont="1" applyFill="1" applyBorder="1" applyAlignment="1" applyProtection="1">
      <alignment vertical="center" wrapText="1"/>
    </xf>
    <xf numFmtId="0" fontId="75" fillId="5" borderId="57" xfId="15" applyNumberFormat="1" applyFont="1" applyFill="1" applyBorder="1" applyAlignment="1" applyProtection="1">
      <alignment horizontal="left" vertical="center" wrapText="1"/>
    </xf>
    <xf numFmtId="0" fontId="71" fillId="5" borderId="62" xfId="15" applyNumberFormat="1" applyFont="1" applyFill="1" applyBorder="1" applyAlignment="1" applyProtection="1">
      <alignment horizontal="center" vertical="center" wrapText="1"/>
    </xf>
    <xf numFmtId="0" fontId="71" fillId="5" borderId="34" xfId="15" applyNumberFormat="1" applyFont="1" applyFill="1" applyBorder="1" applyAlignment="1" applyProtection="1">
      <alignment horizontal="center" vertical="center" wrapText="1"/>
    </xf>
    <xf numFmtId="0" fontId="71" fillId="0" borderId="62" xfId="15" applyNumberFormat="1" applyFont="1" applyFill="1" applyBorder="1" applyAlignment="1" applyProtection="1">
      <alignment horizontal="center" vertical="center" wrapText="1"/>
      <protection locked="0"/>
    </xf>
    <xf numFmtId="0" fontId="71" fillId="5" borderId="49" xfId="15" applyNumberFormat="1" applyFont="1" applyFill="1" applyBorder="1" applyAlignment="1" applyProtection="1">
      <alignment horizontal="center" vertical="center" wrapText="1"/>
    </xf>
    <xf numFmtId="0" fontId="71" fillId="0" borderId="33" xfId="15" applyNumberFormat="1" applyFont="1" applyFill="1" applyBorder="1" applyAlignment="1" applyProtection="1">
      <alignment horizontal="center" vertical="center" wrapText="1"/>
      <protection locked="0"/>
    </xf>
    <xf numFmtId="0" fontId="71" fillId="5" borderId="0" xfId="15" applyNumberFormat="1" applyFont="1" applyFill="1" applyBorder="1" applyAlignment="1" applyProtection="1">
      <alignment horizontal="center" vertical="center" wrapText="1"/>
      <protection locked="0"/>
    </xf>
    <xf numFmtId="0" fontId="71" fillId="5" borderId="0" xfId="15" applyNumberFormat="1" applyFont="1" applyFill="1" applyBorder="1" applyAlignment="1" applyProtection="1">
      <alignment horizontal="center" vertical="center"/>
      <protection locked="0"/>
    </xf>
    <xf numFmtId="0" fontId="71" fillId="5" borderId="5" xfId="15" applyNumberFormat="1" applyFont="1" applyFill="1" applyBorder="1" applyAlignment="1" applyProtection="1">
      <alignment horizontal="center" vertical="center"/>
    </xf>
    <xf numFmtId="0" fontId="71" fillId="5" borderId="9" xfId="15" applyNumberFormat="1" applyFont="1" applyFill="1" applyBorder="1" applyAlignment="1" applyProtection="1">
      <alignment horizontal="center" vertical="center"/>
    </xf>
    <xf numFmtId="0" fontId="71" fillId="5" borderId="3" xfId="15" applyNumberFormat="1" applyFont="1" applyFill="1" applyBorder="1" applyAlignment="1" applyProtection="1">
      <alignment horizontal="center" vertical="center"/>
    </xf>
    <xf numFmtId="0" fontId="71" fillId="5" borderId="2" xfId="15" applyNumberFormat="1" applyFont="1" applyFill="1" applyBorder="1" applyAlignment="1" applyProtection="1">
      <alignment horizontal="center" vertical="center"/>
    </xf>
    <xf numFmtId="0" fontId="71" fillId="0" borderId="0" xfId="15" applyNumberFormat="1" applyFont="1" applyFill="1" applyAlignment="1" applyProtection="1">
      <alignment horizontal="center" vertical="center"/>
    </xf>
    <xf numFmtId="0" fontId="75" fillId="5" borderId="64" xfId="15" applyNumberFormat="1" applyFont="1" applyFill="1" applyBorder="1" applyAlignment="1" applyProtection="1">
      <alignment vertical="center" wrapText="1"/>
    </xf>
    <xf numFmtId="0" fontId="75" fillId="5" borderId="16" xfId="15" applyNumberFormat="1" applyFont="1" applyFill="1" applyBorder="1" applyAlignment="1" applyProtection="1">
      <alignment horizontal="left" vertical="center" wrapText="1"/>
    </xf>
    <xf numFmtId="0" fontId="71" fillId="2" borderId="62" xfId="15" applyNumberFormat="1" applyFont="1" applyFill="1" applyBorder="1" applyAlignment="1" applyProtection="1">
      <alignment horizontal="center" vertical="center" wrapText="1"/>
      <protection locked="0"/>
    </xf>
    <xf numFmtId="0" fontId="71" fillId="2" borderId="33" xfId="15" applyNumberFormat="1" applyFont="1" applyFill="1" applyBorder="1" applyAlignment="1" applyProtection="1">
      <alignment horizontal="center" vertical="center" wrapText="1"/>
      <protection locked="0"/>
    </xf>
    <xf numFmtId="0" fontId="75" fillId="5" borderId="87" xfId="15" applyNumberFormat="1" applyFont="1" applyFill="1" applyBorder="1" applyAlignment="1" applyProtection="1">
      <alignment vertical="center" wrapText="1"/>
    </xf>
    <xf numFmtId="0" fontId="75" fillId="5" borderId="63" xfId="15" applyNumberFormat="1" applyFont="1" applyFill="1" applyBorder="1" applyAlignment="1" applyProtection="1">
      <alignment horizontal="left" vertical="center" wrapText="1"/>
    </xf>
    <xf numFmtId="0" fontId="71" fillId="2" borderId="30" xfId="15" applyNumberFormat="1" applyFont="1" applyFill="1" applyBorder="1" applyAlignment="1" applyProtection="1">
      <alignment horizontal="center" vertical="center" wrapText="1"/>
      <protection locked="0"/>
    </xf>
    <xf numFmtId="0" fontId="71" fillId="5" borderId="7" xfId="15" applyNumberFormat="1" applyFont="1" applyFill="1" applyBorder="1" applyAlignment="1" applyProtection="1">
      <alignment horizontal="center" vertical="center" wrapText="1"/>
    </xf>
    <xf numFmtId="0" fontId="71" fillId="2" borderId="59" xfId="15" applyNumberFormat="1" applyFont="1" applyFill="1" applyBorder="1" applyAlignment="1" applyProtection="1">
      <alignment horizontal="center" vertical="center" wrapText="1"/>
      <protection locked="0"/>
    </xf>
    <xf numFmtId="0" fontId="71" fillId="5" borderId="18" xfId="15" applyNumberFormat="1" applyFont="1" applyFill="1" applyBorder="1" applyAlignment="1" applyProtection="1">
      <alignment horizontal="center" vertical="center"/>
      <protection locked="0"/>
    </xf>
    <xf numFmtId="0" fontId="71" fillId="5" borderId="2" xfId="15" applyNumberFormat="1" applyFont="1" applyFill="1" applyBorder="1" applyAlignment="1" applyProtection="1">
      <alignment horizontal="center" vertical="center" wrapText="1"/>
    </xf>
    <xf numFmtId="0" fontId="103" fillId="5" borderId="64" xfId="15" applyNumberFormat="1" applyFont="1" applyFill="1" applyBorder="1" applyAlignment="1" applyProtection="1">
      <alignment vertical="center" wrapText="1"/>
    </xf>
    <xf numFmtId="0" fontId="71" fillId="0" borderId="20" xfId="15" applyNumberFormat="1" applyFont="1" applyFill="1" applyBorder="1" applyAlignment="1" applyProtection="1">
      <alignment horizontal="center" vertical="center" wrapText="1"/>
      <protection locked="0"/>
    </xf>
    <xf numFmtId="0" fontId="71" fillId="5" borderId="12" xfId="15" applyNumberFormat="1" applyFont="1" applyFill="1" applyBorder="1" applyAlignment="1" applyProtection="1">
      <alignment horizontal="center" vertical="center" wrapText="1"/>
    </xf>
    <xf numFmtId="0" fontId="71" fillId="0" borderId="50" xfId="15" applyNumberFormat="1" applyFont="1" applyFill="1" applyBorder="1" applyAlignment="1" applyProtection="1">
      <alignment horizontal="center" vertical="center" wrapText="1"/>
      <protection locked="0"/>
    </xf>
    <xf numFmtId="0" fontId="92" fillId="5" borderId="9" xfId="15" applyNumberFormat="1" applyFont="1" applyFill="1" applyBorder="1" applyAlignment="1" applyProtection="1">
      <alignment horizontal="center" vertical="center" wrapText="1"/>
    </xf>
    <xf numFmtId="0" fontId="104" fillId="5" borderId="0" xfId="15" applyNumberFormat="1" applyFont="1" applyFill="1" applyBorder="1" applyAlignment="1" applyProtection="1">
      <alignment horizontal="center" vertical="center" wrapText="1"/>
      <protection locked="0"/>
    </xf>
    <xf numFmtId="0" fontId="104" fillId="5" borderId="18" xfId="15" applyNumberFormat="1" applyFont="1" applyFill="1" applyBorder="1" applyAlignment="1" applyProtection="1">
      <alignment horizontal="center" vertical="center"/>
      <protection locked="0"/>
    </xf>
    <xf numFmtId="0" fontId="104" fillId="0" borderId="0" xfId="15" applyNumberFormat="1" applyFont="1" applyFill="1" applyAlignment="1" applyProtection="1">
      <alignment horizontal="center" vertical="center"/>
    </xf>
    <xf numFmtId="0" fontId="83" fillId="5" borderId="64" xfId="15" applyNumberFormat="1" applyFont="1" applyFill="1" applyBorder="1" applyAlignment="1" applyProtection="1">
      <alignment vertical="center" wrapText="1"/>
    </xf>
    <xf numFmtId="0" fontId="71" fillId="0" borderId="9" xfId="15" applyNumberFormat="1" applyFont="1" applyFill="1" applyBorder="1" applyAlignment="1" applyProtection="1">
      <alignment horizontal="center" vertical="center" wrapText="1"/>
      <protection locked="0"/>
    </xf>
    <xf numFmtId="0" fontId="71" fillId="0" borderId="11" xfId="15" applyNumberFormat="1" applyFont="1" applyFill="1" applyBorder="1" applyAlignment="1" applyProtection="1">
      <alignment horizontal="center" vertical="center" wrapText="1"/>
      <protection locked="0"/>
    </xf>
    <xf numFmtId="0" fontId="92" fillId="16" borderId="9" xfId="15" applyNumberFormat="1" applyFont="1" applyFill="1" applyBorder="1" applyAlignment="1" applyProtection="1">
      <alignment horizontal="center" vertical="center" wrapText="1"/>
      <protection locked="0"/>
    </xf>
    <xf numFmtId="0" fontId="80" fillId="5" borderId="0" xfId="15" applyNumberFormat="1" applyFont="1" applyFill="1" applyBorder="1" applyAlignment="1" applyProtection="1">
      <alignment horizontal="center" vertical="center" wrapText="1"/>
      <protection locked="0"/>
    </xf>
    <xf numFmtId="0" fontId="84" fillId="5" borderId="18" xfId="15" applyNumberFormat="1" applyFont="1" applyFill="1" applyBorder="1" applyAlignment="1" applyProtection="1">
      <alignment horizontal="center" vertical="center"/>
      <protection locked="0"/>
    </xf>
    <xf numFmtId="0" fontId="75" fillId="5" borderId="16" xfId="15" applyNumberFormat="1" applyFont="1" applyFill="1" applyBorder="1" applyAlignment="1" applyProtection="1">
      <alignment horizontal="left" vertical="center" wrapText="1"/>
      <protection locked="0"/>
    </xf>
    <xf numFmtId="0" fontId="52" fillId="0" borderId="20" xfId="15" applyNumberFormat="1" applyFont="1" applyFill="1" applyBorder="1" applyAlignment="1" applyProtection="1">
      <alignment horizontal="center" vertical="center" wrapText="1"/>
      <protection locked="0"/>
    </xf>
    <xf numFmtId="0" fontId="71" fillId="5" borderId="63" xfId="15" applyNumberFormat="1" applyFont="1" applyFill="1" applyBorder="1" applyAlignment="1" applyProtection="1">
      <alignment horizontal="center" vertical="center" wrapText="1"/>
    </xf>
    <xf numFmtId="0" fontId="52" fillId="0" borderId="50" xfId="15" applyNumberFormat="1" applyFont="1" applyFill="1" applyBorder="1" applyAlignment="1" applyProtection="1">
      <alignment horizontal="center" vertical="center" wrapText="1"/>
      <protection locked="0"/>
    </xf>
    <xf numFmtId="0" fontId="83" fillId="8" borderId="87" xfId="15" applyNumberFormat="1" applyFont="1" applyFill="1" applyBorder="1" applyAlignment="1" applyProtection="1">
      <alignment vertical="center" wrapText="1"/>
    </xf>
    <xf numFmtId="0" fontId="75" fillId="8" borderId="63" xfId="15" applyNumberFormat="1" applyFont="1" applyFill="1" applyBorder="1" applyAlignment="1" applyProtection="1">
      <alignment horizontal="left" vertical="center" wrapText="1"/>
      <protection locked="0"/>
    </xf>
    <xf numFmtId="0" fontId="84" fillId="0" borderId="8" xfId="15" applyNumberFormat="1" applyFont="1" applyFill="1" applyBorder="1" applyAlignment="1" applyProtection="1">
      <alignment horizontal="center" vertical="center" wrapText="1"/>
      <protection locked="0"/>
    </xf>
    <xf numFmtId="0" fontId="84" fillId="5" borderId="12" xfId="15" applyNumberFormat="1" applyFont="1" applyFill="1" applyBorder="1" applyAlignment="1" applyProtection="1">
      <alignment horizontal="center" vertical="center" wrapText="1"/>
    </xf>
    <xf numFmtId="0" fontId="84" fillId="0" borderId="2" xfId="15" applyNumberFormat="1" applyFont="1" applyFill="1" applyBorder="1" applyAlignment="1" applyProtection="1">
      <alignment horizontal="center" vertical="center" wrapText="1"/>
      <protection locked="0"/>
    </xf>
    <xf numFmtId="0" fontId="84" fillId="0" borderId="11" xfId="15" applyNumberFormat="1" applyFont="1" applyFill="1" applyBorder="1" applyAlignment="1" applyProtection="1">
      <alignment horizontal="center" vertical="center" wrapText="1"/>
      <protection locked="0"/>
    </xf>
    <xf numFmtId="0" fontId="105" fillId="5" borderId="0" xfId="15" applyNumberFormat="1" applyFont="1" applyFill="1" applyBorder="1" applyAlignment="1" applyProtection="1">
      <alignment horizontal="center" vertical="center" wrapText="1"/>
      <protection locked="0"/>
    </xf>
    <xf numFmtId="0" fontId="83" fillId="8" borderId="54" xfId="15" applyNumberFormat="1" applyFont="1" applyFill="1" applyBorder="1" applyAlignment="1" applyProtection="1">
      <alignment vertical="center" wrapText="1"/>
    </xf>
    <xf numFmtId="0" fontId="75" fillId="8" borderId="66" xfId="15" applyNumberFormat="1" applyFont="1" applyFill="1" applyBorder="1" applyAlignment="1" applyProtection="1">
      <alignment horizontal="left" vertical="center" wrapText="1"/>
      <protection locked="0"/>
    </xf>
    <xf numFmtId="0" fontId="84" fillId="0" borderId="56" xfId="15" applyNumberFormat="1" applyFont="1" applyFill="1" applyBorder="1" applyAlignment="1" applyProtection="1">
      <alignment horizontal="center" vertical="center" wrapText="1"/>
      <protection locked="0"/>
    </xf>
    <xf numFmtId="0" fontId="84" fillId="5" borderId="46" xfId="15" applyNumberFormat="1" applyFont="1" applyFill="1" applyBorder="1" applyAlignment="1" applyProtection="1">
      <alignment horizontal="center" vertical="center" wrapText="1"/>
    </xf>
    <xf numFmtId="0" fontId="253" fillId="5" borderId="24" xfId="15" applyNumberFormat="1" applyFont="1" applyFill="1" applyBorder="1" applyAlignment="1" applyProtection="1">
      <alignment vertical="center" wrapText="1"/>
    </xf>
    <xf numFmtId="0" fontId="71" fillId="5" borderId="52" xfId="15" applyNumberFormat="1" applyFont="1" applyFill="1" applyBorder="1" applyAlignment="1" applyProtection="1">
      <alignment horizontal="center" vertical="center" wrapText="1"/>
    </xf>
    <xf numFmtId="0" fontId="84" fillId="5" borderId="58" xfId="15" applyNumberFormat="1" applyFont="1" applyFill="1" applyBorder="1" applyAlignment="1" applyProtection="1">
      <alignment horizontal="center" vertical="center" wrapText="1"/>
    </xf>
    <xf numFmtId="0" fontId="84" fillId="5" borderId="40" xfId="15" applyNumberFormat="1" applyFont="1" applyFill="1" applyBorder="1" applyAlignment="1" applyProtection="1">
      <alignment horizontal="center" vertical="center" wrapText="1"/>
    </xf>
    <xf numFmtId="0" fontId="144" fillId="0" borderId="53" xfId="15" applyNumberFormat="1" applyFont="1" applyFill="1" applyBorder="1" applyAlignment="1" applyProtection="1">
      <alignment horizontal="center" vertical="center" wrapText="1"/>
      <protection locked="0"/>
    </xf>
    <xf numFmtId="0" fontId="84" fillId="5" borderId="41" xfId="15" applyNumberFormat="1" applyFont="1" applyFill="1" applyBorder="1" applyAlignment="1" applyProtection="1">
      <alignment horizontal="center" vertical="center" wrapText="1"/>
    </xf>
    <xf numFmtId="0" fontId="144" fillId="0" borderId="58" xfId="15" applyNumberFormat="1" applyFont="1" applyFill="1" applyBorder="1" applyAlignment="1" applyProtection="1">
      <alignment horizontal="center" vertical="center" wrapText="1"/>
      <protection locked="0"/>
    </xf>
    <xf numFmtId="0" fontId="92" fillId="0" borderId="9" xfId="15" applyNumberFormat="1" applyFont="1" applyFill="1" applyBorder="1" applyAlignment="1" applyProtection="1">
      <alignment horizontal="center" vertical="center" wrapText="1"/>
      <protection locked="0"/>
    </xf>
    <xf numFmtId="0" fontId="84" fillId="5" borderId="2" xfId="15" applyNumberFormat="1" applyFont="1" applyFill="1" applyBorder="1" applyAlignment="1" applyProtection="1">
      <alignment horizontal="center" vertical="center" wrapText="1"/>
    </xf>
    <xf numFmtId="0" fontId="84" fillId="5" borderId="5" xfId="15" applyNumberFormat="1" applyFont="1" applyFill="1" applyBorder="1" applyAlignment="1" applyProtection="1">
      <alignment horizontal="center" vertical="center"/>
    </xf>
    <xf numFmtId="0" fontId="84" fillId="5" borderId="9" xfId="15" applyNumberFormat="1" applyFont="1" applyFill="1" applyBorder="1" applyAlignment="1" applyProtection="1">
      <alignment horizontal="center" vertical="center"/>
    </xf>
    <xf numFmtId="0" fontId="84" fillId="5" borderId="2" xfId="15" applyNumberFormat="1" applyFont="1" applyFill="1" applyBorder="1" applyAlignment="1" applyProtection="1">
      <alignment horizontal="center" vertical="center"/>
    </xf>
    <xf numFmtId="0" fontId="83" fillId="5" borderId="24" xfId="15" applyNumberFormat="1" applyFont="1" applyFill="1" applyBorder="1" applyAlignment="1" applyProtection="1">
      <alignment vertical="center" wrapText="1"/>
    </xf>
    <xf numFmtId="0" fontId="84" fillId="5" borderId="65" xfId="15" applyNumberFormat="1" applyFont="1" applyFill="1" applyBorder="1" applyAlignment="1" applyProtection="1">
      <alignment horizontal="center" vertical="center"/>
    </xf>
    <xf numFmtId="0" fontId="84" fillId="2" borderId="20" xfId="15" applyNumberFormat="1" applyFont="1" applyFill="1" applyBorder="1" applyAlignment="1" applyProtection="1">
      <alignment horizontal="center" vertical="center" wrapText="1"/>
      <protection locked="0"/>
    </xf>
    <xf numFmtId="0" fontId="84" fillId="5" borderId="17" xfId="15" applyNumberFormat="1" applyFont="1" applyFill="1" applyBorder="1" applyAlignment="1" applyProtection="1">
      <alignment horizontal="center" vertical="center" wrapText="1"/>
    </xf>
    <xf numFmtId="0" fontId="84" fillId="2" borderId="50" xfId="15" applyNumberFormat="1" applyFont="1" applyFill="1" applyBorder="1" applyAlignment="1" applyProtection="1">
      <alignment horizontal="center" vertical="center" wrapText="1"/>
      <protection locked="0"/>
    </xf>
    <xf numFmtId="0" fontId="84" fillId="5" borderId="51" xfId="15" applyNumberFormat="1" applyFont="1" applyFill="1" applyBorder="1" applyAlignment="1" applyProtection="1">
      <alignment horizontal="center" vertical="center" wrapText="1"/>
    </xf>
    <xf numFmtId="0" fontId="84" fillId="5" borderId="52" xfId="15" applyNumberFormat="1" applyFont="1" applyFill="1" applyBorder="1" applyAlignment="1" applyProtection="1">
      <alignment horizontal="center" vertical="center" wrapText="1"/>
    </xf>
    <xf numFmtId="0" fontId="71" fillId="5" borderId="25" xfId="15" applyNumberFormat="1" applyFont="1" applyFill="1" applyBorder="1" applyAlignment="1" applyProtection="1">
      <alignment horizontal="center" vertical="center" wrapText="1"/>
    </xf>
    <xf numFmtId="0" fontId="84" fillId="5" borderId="32" xfId="15" applyNumberFormat="1" applyFont="1" applyFill="1" applyBorder="1" applyAlignment="1" applyProtection="1">
      <alignment horizontal="center" vertical="center" wrapText="1"/>
    </xf>
    <xf numFmtId="0" fontId="84" fillId="5" borderId="13" xfId="15" applyNumberFormat="1" applyFont="1" applyFill="1" applyBorder="1" applyAlignment="1" applyProtection="1">
      <alignment horizontal="center" vertical="center" wrapText="1"/>
    </xf>
    <xf numFmtId="0" fontId="144" fillId="0" borderId="24" xfId="15" applyNumberFormat="1" applyFont="1" applyFill="1" applyBorder="1" applyAlignment="1" applyProtection="1">
      <alignment horizontal="center" vertical="center" wrapText="1"/>
      <protection locked="0"/>
    </xf>
    <xf numFmtId="0" fontId="144" fillId="0" borderId="18" xfId="15" applyNumberFormat="1" applyFont="1" applyFill="1" applyBorder="1" applyAlignment="1" applyProtection="1">
      <alignment horizontal="center" vertical="center" wrapText="1"/>
      <protection locked="0"/>
    </xf>
    <xf numFmtId="0" fontId="84" fillId="5" borderId="25" xfId="15" applyNumberFormat="1" applyFont="1" applyFill="1" applyBorder="1" applyAlignment="1" applyProtection="1">
      <alignment horizontal="center" vertical="center" wrapText="1"/>
    </xf>
    <xf numFmtId="0" fontId="71" fillId="5" borderId="51" xfId="15" applyNumberFormat="1" applyFont="1" applyFill="1" applyBorder="1" applyAlignment="1" applyProtection="1">
      <alignment horizontal="center" vertical="center" wrapText="1"/>
    </xf>
    <xf numFmtId="0" fontId="84" fillId="2" borderId="18" xfId="15" applyNumberFormat="1" applyFont="1" applyFill="1" applyBorder="1" applyAlignment="1" applyProtection="1">
      <alignment horizontal="center" vertical="center" wrapText="1"/>
      <protection locked="0"/>
    </xf>
    <xf numFmtId="0" fontId="84" fillId="2" borderId="24" xfId="15" applyNumberFormat="1" applyFont="1" applyFill="1" applyBorder="1" applyAlignment="1" applyProtection="1">
      <alignment horizontal="center" vertical="center" wrapText="1"/>
      <protection locked="0"/>
    </xf>
    <xf numFmtId="0" fontId="84" fillId="5" borderId="4" xfId="15" applyNumberFormat="1" applyFont="1" applyFill="1" applyBorder="1" applyAlignment="1" applyProtection="1">
      <alignment horizontal="center" vertical="center" wrapText="1"/>
    </xf>
    <xf numFmtId="0" fontId="84" fillId="0" borderId="22" xfId="15" applyNumberFormat="1" applyFont="1" applyFill="1" applyBorder="1" applyAlignment="1" applyProtection="1">
      <alignment horizontal="center" vertical="center" wrapText="1"/>
      <protection locked="0"/>
    </xf>
    <xf numFmtId="0" fontId="84" fillId="0" borderId="32" xfId="15" applyNumberFormat="1" applyFont="1" applyFill="1" applyBorder="1" applyAlignment="1" applyProtection="1">
      <alignment horizontal="center" vertical="center" wrapText="1"/>
      <protection locked="0"/>
    </xf>
    <xf numFmtId="0" fontId="71" fillId="5" borderId="10" xfId="15" applyNumberFormat="1" applyFont="1" applyFill="1" applyBorder="1" applyAlignment="1" applyProtection="1">
      <alignment horizontal="center" vertical="center" wrapText="1"/>
    </xf>
    <xf numFmtId="0" fontId="71" fillId="5" borderId="21" xfId="15" applyNumberFormat="1" applyFont="1" applyFill="1" applyBorder="1" applyAlignment="1" applyProtection="1">
      <alignment horizontal="center" vertical="center" wrapText="1"/>
    </xf>
    <xf numFmtId="0" fontId="75" fillId="5" borderId="31" xfId="15" applyNumberFormat="1" applyFont="1" applyFill="1" applyBorder="1" applyAlignment="1" applyProtection="1">
      <alignment vertical="center" wrapText="1"/>
    </xf>
    <xf numFmtId="0" fontId="52" fillId="5" borderId="52" xfId="15" applyNumberFormat="1" applyFont="1" applyFill="1" applyBorder="1" applyAlignment="1" applyProtection="1">
      <alignment horizontal="center" vertical="center" wrapText="1"/>
    </xf>
    <xf numFmtId="0" fontId="71" fillId="2" borderId="19" xfId="15" applyNumberFormat="1" applyFont="1" applyFill="1" applyBorder="1" applyAlignment="1" applyProtection="1">
      <alignment horizontal="center" vertical="center" wrapText="1"/>
      <protection locked="0"/>
    </xf>
    <xf numFmtId="0" fontId="71" fillId="2" borderId="87" xfId="15" applyNumberFormat="1" applyFont="1" applyFill="1" applyBorder="1" applyAlignment="1" applyProtection="1">
      <alignment horizontal="center" vertical="center" wrapText="1"/>
      <protection locked="0"/>
    </xf>
    <xf numFmtId="0" fontId="84" fillId="2" borderId="8" xfId="15" applyNumberFormat="1" applyFont="1" applyFill="1" applyBorder="1" applyAlignment="1" applyProtection="1">
      <alignment horizontal="center" vertical="center" wrapText="1"/>
      <protection locked="0"/>
    </xf>
    <xf numFmtId="0" fontId="84" fillId="5" borderId="5" xfId="15" applyNumberFormat="1" applyFont="1" applyFill="1" applyBorder="1" applyAlignment="1" applyProtection="1">
      <alignment horizontal="center" vertical="center" wrapText="1"/>
    </xf>
    <xf numFmtId="0" fontId="84" fillId="2" borderId="64" xfId="15" applyNumberFormat="1" applyFont="1" applyFill="1" applyBorder="1" applyAlignment="1" applyProtection="1">
      <alignment horizontal="center" vertical="center" wrapText="1"/>
      <protection locked="0"/>
    </xf>
    <xf numFmtId="0" fontId="106" fillId="5" borderId="9" xfId="15" applyNumberFormat="1" applyFont="1" applyFill="1" applyBorder="1" applyAlignment="1" applyProtection="1">
      <alignment horizontal="center" vertical="center" wrapText="1"/>
    </xf>
    <xf numFmtId="0" fontId="106" fillId="0" borderId="9" xfId="15" applyNumberFormat="1" applyFont="1" applyFill="1" applyBorder="1" applyAlignment="1" applyProtection="1">
      <alignment horizontal="center" vertical="center" wrapText="1"/>
      <protection locked="0"/>
    </xf>
    <xf numFmtId="0" fontId="71" fillId="0" borderId="12" xfId="15" applyNumberFormat="1" applyFont="1" applyFill="1" applyBorder="1" applyAlignment="1" applyProtection="1">
      <alignment horizontal="center" vertical="center" wrapText="1"/>
      <protection locked="0"/>
    </xf>
    <xf numFmtId="0" fontId="84" fillId="0" borderId="9" xfId="15" applyNumberFormat="1" applyFont="1" applyFill="1" applyBorder="1" applyAlignment="1" applyProtection="1">
      <alignment horizontal="center" vertical="center" wrapText="1"/>
      <protection locked="0"/>
    </xf>
    <xf numFmtId="0" fontId="84" fillId="5" borderId="31" xfId="15" applyNumberFormat="1" applyFont="1" applyFill="1" applyBorder="1" applyAlignment="1" applyProtection="1">
      <alignment horizontal="center" vertical="center"/>
    </xf>
    <xf numFmtId="0" fontId="84" fillId="0" borderId="12" xfId="15" applyNumberFormat="1" applyFont="1" applyFill="1" applyBorder="1" applyAlignment="1" applyProtection="1">
      <alignment horizontal="center" vertical="center"/>
      <protection locked="0"/>
    </xf>
    <xf numFmtId="0" fontId="100" fillId="5" borderId="54" xfId="15" applyNumberFormat="1" applyFont="1" applyFill="1" applyBorder="1" applyAlignment="1" applyProtection="1">
      <alignment vertical="center" textRotation="255" wrapText="1"/>
    </xf>
    <xf numFmtId="0" fontId="80" fillId="0" borderId="46" xfId="15" applyNumberFormat="1" applyFont="1" applyFill="1" applyBorder="1" applyAlignment="1" applyProtection="1">
      <alignment horizontal="center" vertical="center"/>
      <protection locked="0"/>
    </xf>
    <xf numFmtId="0" fontId="71" fillId="5" borderId="4" xfId="15" applyNumberFormat="1" applyFont="1" applyFill="1" applyBorder="1" applyAlignment="1" applyProtection="1">
      <alignment horizontal="center" vertical="center" wrapText="1"/>
    </xf>
    <xf numFmtId="0" fontId="84" fillId="0" borderId="43" xfId="15" applyNumberFormat="1" applyFont="1" applyFill="1" applyBorder="1" applyAlignment="1" applyProtection="1">
      <alignment horizontal="center" vertical="center" wrapText="1"/>
      <protection locked="0"/>
    </xf>
    <xf numFmtId="0" fontId="84" fillId="0" borderId="47" xfId="15" applyNumberFormat="1" applyFont="1" applyFill="1" applyBorder="1" applyAlignment="1" applyProtection="1">
      <alignment horizontal="center" vertical="center" wrapText="1"/>
      <protection locked="0"/>
    </xf>
    <xf numFmtId="0" fontId="80" fillId="5" borderId="18" xfId="15" applyNumberFormat="1" applyFont="1" applyFill="1" applyBorder="1" applyAlignment="1" applyProtection="1">
      <alignment horizontal="center" vertical="center"/>
      <protection locked="0"/>
    </xf>
    <xf numFmtId="0" fontId="80" fillId="5" borderId="5" xfId="15" applyNumberFormat="1" applyFont="1" applyFill="1" applyBorder="1" applyAlignment="1" applyProtection="1">
      <alignment horizontal="center" vertical="center"/>
    </xf>
    <xf numFmtId="0" fontId="80" fillId="5" borderId="9" xfId="15" applyNumberFormat="1" applyFont="1" applyFill="1" applyBorder="1" applyAlignment="1" applyProtection="1">
      <alignment horizontal="center" vertical="center"/>
    </xf>
    <xf numFmtId="0" fontId="80" fillId="5" borderId="3" xfId="15" applyNumberFormat="1" applyFont="1" applyFill="1" applyBorder="1" applyAlignment="1" applyProtection="1">
      <alignment horizontal="center" vertical="center"/>
    </xf>
    <xf numFmtId="0" fontId="80" fillId="5" borderId="2" xfId="15" applyNumberFormat="1" applyFont="1" applyFill="1" applyBorder="1" applyAlignment="1" applyProtection="1">
      <alignment horizontal="center" vertical="center"/>
    </xf>
    <xf numFmtId="0" fontId="80" fillId="0" borderId="0" xfId="15" applyNumberFormat="1" applyFont="1" applyFill="1" applyAlignment="1" applyProtection="1">
      <alignment horizontal="center" vertical="center"/>
    </xf>
    <xf numFmtId="0" fontId="253" fillId="5" borderId="53" xfId="15" applyNumberFormat="1" applyFont="1" applyFill="1" applyBorder="1" applyAlignment="1" applyProtection="1">
      <alignment vertical="center" wrapText="1"/>
    </xf>
    <xf numFmtId="0" fontId="71" fillId="5" borderId="17" xfId="15" applyNumberFormat="1" applyFont="1" applyFill="1" applyBorder="1" applyAlignment="1" applyProtection="1">
      <alignment horizontal="center" vertical="center" wrapText="1"/>
    </xf>
    <xf numFmtId="0" fontId="84" fillId="0" borderId="1" xfId="15" applyNumberFormat="1" applyFont="1" applyFill="1" applyBorder="1" applyAlignment="1" applyProtection="1">
      <alignment horizontal="center" vertical="center" wrapText="1"/>
      <protection locked="0"/>
    </xf>
    <xf numFmtId="0" fontId="84" fillId="5" borderId="7" xfId="15" applyNumberFormat="1" applyFont="1" applyFill="1" applyBorder="1" applyAlignment="1" applyProtection="1">
      <alignment horizontal="center" vertical="center" wrapText="1"/>
    </xf>
    <xf numFmtId="0" fontId="84" fillId="0" borderId="6" xfId="15" applyNumberFormat="1" applyFont="1" applyFill="1" applyBorder="1" applyAlignment="1" applyProtection="1">
      <alignment horizontal="center" vertical="center" wrapText="1"/>
      <protection locked="0"/>
    </xf>
    <xf numFmtId="0" fontId="83" fillId="5" borderId="24" xfId="15" applyNumberFormat="1" applyFont="1" applyFill="1" applyBorder="1" applyAlignment="1" applyProtection="1">
      <alignment vertical="center" textRotation="255" wrapText="1"/>
    </xf>
    <xf numFmtId="0" fontId="71" fillId="5" borderId="5" xfId="15" applyNumberFormat="1" applyFont="1" applyFill="1" applyBorder="1" applyAlignment="1" applyProtection="1">
      <alignment horizontal="center" vertical="center" wrapText="1"/>
    </xf>
    <xf numFmtId="0" fontId="84" fillId="2" borderId="11" xfId="15" applyNumberFormat="1" applyFont="1" applyFill="1" applyBorder="1" applyAlignment="1" applyProtection="1">
      <alignment horizontal="center" vertical="center" wrapText="1"/>
      <protection locked="0"/>
    </xf>
    <xf numFmtId="0" fontId="75" fillId="5" borderId="24" xfId="15" applyNumberFormat="1" applyFont="1" applyFill="1" applyBorder="1" applyAlignment="1" applyProtection="1">
      <alignment vertical="center" textRotation="255" wrapText="1"/>
    </xf>
    <xf numFmtId="0" fontId="52" fillId="5" borderId="5" xfId="15" applyNumberFormat="1" applyFont="1" applyFill="1" applyBorder="1" applyAlignment="1" applyProtection="1">
      <alignment horizontal="center" vertical="center" wrapText="1"/>
    </xf>
    <xf numFmtId="0" fontId="71" fillId="2" borderId="64" xfId="15" applyNumberFormat="1" applyFont="1" applyFill="1" applyBorder="1" applyAlignment="1" applyProtection="1">
      <alignment horizontal="center" vertical="center" wrapText="1"/>
      <protection locked="0"/>
    </xf>
    <xf numFmtId="0" fontId="84" fillId="0" borderId="5" xfId="15" applyNumberFormat="1" applyFont="1" applyFill="1" applyBorder="1" applyAlignment="1" applyProtection="1">
      <alignment horizontal="center" vertical="center"/>
      <protection locked="0"/>
    </xf>
    <xf numFmtId="0" fontId="100" fillId="5" borderId="24" xfId="15" applyNumberFormat="1" applyFont="1" applyFill="1" applyBorder="1" applyAlignment="1" applyProtection="1">
      <alignment vertical="center" textRotation="255" wrapText="1"/>
    </xf>
    <xf numFmtId="0" fontId="80" fillId="0" borderId="60" xfId="15" applyNumberFormat="1" applyFont="1" applyFill="1" applyBorder="1" applyAlignment="1" applyProtection="1">
      <alignment horizontal="center" vertical="center" wrapText="1"/>
      <protection locked="0"/>
    </xf>
    <xf numFmtId="0" fontId="80" fillId="5" borderId="46" xfId="15" applyNumberFormat="1" applyFont="1" applyFill="1" applyBorder="1" applyAlignment="1" applyProtection="1">
      <alignment horizontal="center" vertical="center" wrapText="1"/>
    </xf>
    <xf numFmtId="0" fontId="107" fillId="5" borderId="9" xfId="15" applyNumberFormat="1" applyFont="1" applyFill="1" applyBorder="1" applyAlignment="1" applyProtection="1">
      <alignment horizontal="center" vertical="center" wrapText="1"/>
    </xf>
    <xf numFmtId="0" fontId="83" fillId="5" borderId="59" xfId="15" applyNumberFormat="1" applyFont="1" applyFill="1" applyBorder="1" applyAlignment="1" applyProtection="1">
      <alignment vertical="center"/>
    </xf>
    <xf numFmtId="0" fontId="83" fillId="2" borderId="7" xfId="15" applyNumberFormat="1" applyFont="1" applyFill="1" applyBorder="1" applyAlignment="1" applyProtection="1">
      <alignment vertical="center"/>
      <protection locked="0"/>
    </xf>
    <xf numFmtId="0" fontId="83" fillId="5" borderId="30" xfId="15" applyNumberFormat="1" applyFont="1" applyFill="1" applyBorder="1" applyAlignment="1" applyProtection="1">
      <alignment horizontal="right" vertical="center" wrapText="1"/>
    </xf>
    <xf numFmtId="0" fontId="83" fillId="5" borderId="57" xfId="15" applyNumberFormat="1" applyFont="1" applyFill="1" applyBorder="1" applyAlignment="1" applyProtection="1">
      <alignment vertical="center" wrapText="1"/>
    </xf>
    <xf numFmtId="0" fontId="108" fillId="3" borderId="30" xfId="15" applyNumberFormat="1" applyFont="1" applyFill="1" applyBorder="1" applyAlignment="1" applyProtection="1">
      <alignment vertical="center" wrapText="1"/>
      <protection locked="0"/>
    </xf>
    <xf numFmtId="0" fontId="108" fillId="5" borderId="30" xfId="15" applyNumberFormat="1" applyFont="1" applyFill="1" applyBorder="1" applyAlignment="1" applyProtection="1">
      <alignment vertical="center" wrapText="1"/>
    </xf>
    <xf numFmtId="0" fontId="108" fillId="3" borderId="59" xfId="15" applyNumberFormat="1" applyFont="1" applyFill="1" applyBorder="1" applyAlignment="1" applyProtection="1">
      <alignment vertical="center" wrapText="1"/>
      <protection locked="0"/>
    </xf>
    <xf numFmtId="0" fontId="108" fillId="5" borderId="57" xfId="15" applyNumberFormat="1" applyFont="1" applyFill="1" applyBorder="1" applyAlignment="1" applyProtection="1">
      <alignment vertical="center" wrapText="1"/>
    </xf>
    <xf numFmtId="0" fontId="84" fillId="3" borderId="9" xfId="15" applyNumberFormat="1" applyFont="1" applyFill="1" applyBorder="1" applyAlignment="1" applyProtection="1">
      <alignment horizontal="center" vertical="center"/>
    </xf>
    <xf numFmtId="0" fontId="84" fillId="5" borderId="0" xfId="15" applyNumberFormat="1" applyFont="1" applyFill="1" applyBorder="1" applyAlignment="1" applyProtection="1">
      <alignment vertical="center" wrapText="1"/>
      <protection locked="0"/>
    </xf>
    <xf numFmtId="0" fontId="84" fillId="5" borderId="0" xfId="15" applyNumberFormat="1" applyFont="1" applyFill="1" applyAlignment="1" applyProtection="1">
      <alignment horizontal="center" vertical="center"/>
      <protection locked="0"/>
    </xf>
    <xf numFmtId="0" fontId="84" fillId="5" borderId="0" xfId="15" applyNumberFormat="1" applyFont="1" applyFill="1" applyAlignment="1" applyProtection="1">
      <alignment horizontal="center" vertical="center"/>
    </xf>
    <xf numFmtId="0" fontId="84" fillId="5" borderId="21" xfId="15" applyNumberFormat="1" applyFont="1" applyFill="1" applyBorder="1" applyAlignment="1" applyProtection="1">
      <alignment vertical="center" textRotation="255" wrapText="1"/>
    </xf>
    <xf numFmtId="0" fontId="83" fillId="5" borderId="60" xfId="15" applyNumberFormat="1" applyFont="1" applyFill="1" applyBorder="1" applyAlignment="1" applyProtection="1">
      <alignment vertical="center"/>
    </xf>
    <xf numFmtId="0" fontId="83" fillId="5" borderId="48" xfId="15" applyNumberFormat="1" applyFont="1" applyFill="1" applyBorder="1" applyAlignment="1" applyProtection="1">
      <alignment vertical="center"/>
    </xf>
    <xf numFmtId="0" fontId="83" fillId="5" borderId="56" xfId="15" applyNumberFormat="1" applyFont="1" applyFill="1" applyBorder="1" applyAlignment="1" applyProtection="1">
      <alignment vertical="center" wrapText="1"/>
    </xf>
    <xf numFmtId="0" fontId="83" fillId="5" borderId="48" xfId="15" applyNumberFormat="1" applyFont="1" applyFill="1" applyBorder="1" applyAlignment="1" applyProtection="1">
      <alignment vertical="center" wrapText="1"/>
    </xf>
    <xf numFmtId="0" fontId="83" fillId="5" borderId="60" xfId="15" applyNumberFormat="1" applyFont="1" applyFill="1" applyBorder="1" applyAlignment="1" applyProtection="1">
      <alignment vertical="center" wrapText="1"/>
    </xf>
    <xf numFmtId="0" fontId="84" fillId="3" borderId="9" xfId="15" applyNumberFormat="1" applyFont="1" applyFill="1" applyBorder="1" applyAlignment="1" applyProtection="1">
      <alignment horizontal="center" vertical="center" wrapText="1"/>
    </xf>
    <xf numFmtId="0" fontId="83" fillId="0" borderId="54" xfId="15" applyNumberFormat="1" applyFont="1" applyFill="1" applyBorder="1" applyAlignment="1" applyProtection="1">
      <alignment vertical="center"/>
      <protection locked="0"/>
    </xf>
    <xf numFmtId="0" fontId="83" fillId="0" borderId="66" xfId="15" applyNumberFormat="1" applyFont="1" applyFill="1" applyBorder="1" applyAlignment="1" applyProtection="1">
      <alignment vertical="center"/>
      <protection locked="0"/>
    </xf>
    <xf numFmtId="0" fontId="83" fillId="5" borderId="61" xfId="15" applyNumberFormat="1" applyFont="1" applyFill="1" applyBorder="1" applyAlignment="1" applyProtection="1">
      <alignment vertical="center" wrapText="1"/>
    </xf>
    <xf numFmtId="0" fontId="84" fillId="3" borderId="2" xfId="15" applyNumberFormat="1" applyFont="1" applyFill="1" applyBorder="1" applyAlignment="1" applyProtection="1">
      <alignment horizontal="center" vertical="center" wrapText="1"/>
    </xf>
    <xf numFmtId="0" fontId="83" fillId="5" borderId="2" xfId="15" applyNumberFormat="1" applyFont="1" applyFill="1" applyBorder="1" applyAlignment="1" applyProtection="1">
      <alignment horizontal="left" vertical="center"/>
    </xf>
    <xf numFmtId="0" fontId="83" fillId="5" borderId="2" xfId="15" applyNumberFormat="1" applyFont="1" applyFill="1" applyBorder="1" applyAlignment="1" applyProtection="1">
      <alignment horizontal="center" vertical="center" wrapText="1"/>
    </xf>
    <xf numFmtId="0" fontId="84" fillId="5" borderId="9" xfId="15" applyNumberFormat="1" applyFont="1" applyFill="1" applyBorder="1" applyAlignment="1" applyProtection="1">
      <alignment vertical="center"/>
    </xf>
    <xf numFmtId="0" fontId="83" fillId="5" borderId="9" xfId="15" applyNumberFormat="1" applyFont="1" applyFill="1" applyBorder="1" applyAlignment="1" applyProtection="1">
      <alignment horizontal="center" vertical="center" wrapText="1"/>
    </xf>
    <xf numFmtId="0" fontId="105" fillId="5" borderId="0" xfId="15" applyNumberFormat="1" applyFont="1" applyFill="1" applyAlignment="1" applyProtection="1">
      <alignment horizontal="center" vertical="center"/>
      <protection locked="0"/>
    </xf>
    <xf numFmtId="0" fontId="105" fillId="5" borderId="0" xfId="15" applyNumberFormat="1" applyFont="1" applyFill="1" applyAlignment="1" applyProtection="1">
      <alignment horizontal="center" vertical="center"/>
    </xf>
    <xf numFmtId="0" fontId="105" fillId="0" borderId="0" xfId="15" applyNumberFormat="1" applyFont="1" applyFill="1" applyAlignment="1" applyProtection="1">
      <alignment horizontal="center" vertical="center"/>
    </xf>
    <xf numFmtId="0" fontId="84" fillId="5" borderId="1" xfId="15" applyNumberFormat="1" applyFont="1" applyFill="1" applyBorder="1" applyAlignment="1" applyProtection="1">
      <alignment horizontal="left" vertical="center"/>
    </xf>
    <xf numFmtId="0" fontId="84" fillId="5" borderId="6" xfId="15" applyNumberFormat="1" applyFont="1" applyFill="1" applyBorder="1" applyAlignment="1" applyProtection="1">
      <alignment horizontal="center" vertical="center"/>
    </xf>
    <xf numFmtId="0" fontId="20" fillId="6" borderId="6" xfId="15" applyNumberFormat="1" applyFont="1" applyFill="1" applyBorder="1" applyAlignment="1" applyProtection="1">
      <alignment horizontal="center" vertical="center"/>
      <protection locked="0"/>
    </xf>
    <xf numFmtId="0" fontId="144" fillId="5" borderId="28" xfId="15" applyNumberFormat="1" applyFont="1" applyFill="1" applyBorder="1" applyAlignment="1" applyProtection="1">
      <alignment horizontal="center" vertical="center" wrapText="1"/>
      <protection locked="0"/>
    </xf>
    <xf numFmtId="0" fontId="84" fillId="5" borderId="7" xfId="15" applyNumberFormat="1" applyFont="1" applyFill="1" applyBorder="1" applyAlignment="1" applyProtection="1">
      <alignment horizontal="center" vertical="center"/>
    </xf>
    <xf numFmtId="0" fontId="159" fillId="5" borderId="2" xfId="15" applyNumberFormat="1" applyFont="1" applyFill="1" applyBorder="1" applyAlignment="1" applyProtection="1">
      <alignment horizontal="center" vertical="center"/>
    </xf>
    <xf numFmtId="0" fontId="203" fillId="5" borderId="0" xfId="15" applyNumberFormat="1" applyFont="1" applyFill="1" applyAlignment="1" applyProtection="1">
      <alignment horizontal="left" vertical="center"/>
      <protection locked="0"/>
    </xf>
    <xf numFmtId="0" fontId="86" fillId="5" borderId="11" xfId="15" applyNumberFormat="1" applyFont="1" applyFill="1" applyBorder="1" applyAlignment="1" applyProtection="1"/>
    <xf numFmtId="0" fontId="86" fillId="5" borderId="2" xfId="16" applyNumberFormat="1" applyFont="1" applyFill="1" applyBorder="1" applyAlignment="1" applyProtection="1">
      <alignment horizontal="center"/>
    </xf>
    <xf numFmtId="0" fontId="86" fillId="5" borderId="2" xfId="15" applyNumberFormat="1" applyFont="1" applyFill="1" applyBorder="1" applyAlignment="1" applyProtection="1">
      <alignment horizontal="center"/>
    </xf>
    <xf numFmtId="0" fontId="109" fillId="5" borderId="2" xfId="15" applyNumberFormat="1" applyFont="1" applyFill="1" applyBorder="1" applyAlignment="1" applyProtection="1">
      <alignment horizontal="center" vertical="center"/>
      <protection locked="0"/>
    </xf>
    <xf numFmtId="0" fontId="86" fillId="5" borderId="12" xfId="16" applyNumberFormat="1" applyFont="1" applyFill="1" applyBorder="1" applyAlignment="1" applyProtection="1">
      <alignment horizontal="center"/>
    </xf>
    <xf numFmtId="0" fontId="152" fillId="5" borderId="2" xfId="15" applyNumberFormat="1" applyFont="1" applyFill="1" applyBorder="1" applyAlignment="1" applyProtection="1">
      <alignment horizontal="center" vertical="center"/>
    </xf>
    <xf numFmtId="0" fontId="109" fillId="5" borderId="0" xfId="15" applyNumberFormat="1" applyFont="1" applyFill="1" applyAlignment="1" applyProtection="1">
      <alignment horizontal="center" vertical="center"/>
      <protection locked="0"/>
    </xf>
    <xf numFmtId="0" fontId="109" fillId="0" borderId="0" xfId="15" applyNumberFormat="1" applyFont="1" applyFill="1" applyAlignment="1" applyProtection="1">
      <alignment horizontal="center" vertical="center"/>
    </xf>
    <xf numFmtId="0" fontId="86" fillId="5" borderId="11" xfId="16" applyNumberFormat="1" applyFont="1" applyFill="1" applyBorder="1" applyAlignment="1" applyProtection="1"/>
    <xf numFmtId="0" fontId="86" fillId="5" borderId="2" xfId="15" applyNumberFormat="1" applyFont="1" applyFill="1" applyBorder="1" applyAlignment="1" applyProtection="1">
      <alignment horizontal="center" vertical="center" wrapText="1"/>
    </xf>
    <xf numFmtId="0" fontId="109" fillId="6" borderId="2" xfId="15" applyNumberFormat="1" applyFont="1" applyFill="1" applyBorder="1" applyAlignment="1" applyProtection="1">
      <alignment horizontal="center" vertical="center"/>
      <protection locked="0"/>
    </xf>
    <xf numFmtId="0" fontId="86" fillId="0" borderId="2" xfId="16" applyNumberFormat="1" applyFont="1" applyFill="1" applyBorder="1" applyAlignment="1" applyProtection="1">
      <alignment horizontal="center"/>
      <protection locked="0"/>
    </xf>
    <xf numFmtId="0" fontId="109" fillId="5" borderId="2" xfId="15" applyNumberFormat="1" applyFont="1" applyFill="1" applyBorder="1" applyAlignment="1" applyProtection="1">
      <alignment horizontal="center" vertical="center"/>
    </xf>
    <xf numFmtId="0" fontId="152" fillId="0" borderId="2" xfId="15" applyNumberFormat="1" applyFont="1" applyFill="1" applyBorder="1" applyAlignment="1" applyProtection="1">
      <alignment horizontal="center" vertical="center"/>
      <protection locked="0"/>
    </xf>
    <xf numFmtId="0" fontId="40" fillId="5" borderId="11" xfId="16" applyNumberFormat="1" applyFont="1" applyFill="1" applyBorder="1" applyAlignment="1" applyProtection="1"/>
    <xf numFmtId="0" fontId="201" fillId="5" borderId="11" xfId="15" applyNumberFormat="1" applyFont="1" applyFill="1" applyBorder="1" applyAlignment="1" applyProtection="1">
      <alignment horizontal="center" vertical="center"/>
    </xf>
    <xf numFmtId="0" fontId="109" fillId="6" borderId="11" xfId="15" applyNumberFormat="1" applyFont="1" applyFill="1" applyBorder="1" applyAlignment="1" applyProtection="1">
      <alignment horizontal="center" vertical="center"/>
      <protection locked="0"/>
    </xf>
    <xf numFmtId="0" fontId="201" fillId="5" borderId="43" xfId="15" applyNumberFormat="1" applyFont="1" applyFill="1" applyBorder="1" applyAlignment="1" applyProtection="1">
      <alignment horizontal="center" vertical="center"/>
    </xf>
    <xf numFmtId="0" fontId="109" fillId="5" borderId="44" xfId="15" applyNumberFormat="1" applyFont="1" applyFill="1" applyBorder="1" applyAlignment="1" applyProtection="1">
      <alignment horizontal="center" vertical="center"/>
    </xf>
    <xf numFmtId="0" fontId="95" fillId="5" borderId="43" xfId="16" applyNumberFormat="1" applyFont="1" applyFill="1" applyBorder="1" applyAlignment="1" applyProtection="1"/>
    <xf numFmtId="0" fontId="86" fillId="5" borderId="44" xfId="15" applyNumberFormat="1" applyFont="1" applyFill="1" applyBorder="1" applyAlignment="1" applyProtection="1">
      <alignment horizontal="center"/>
    </xf>
    <xf numFmtId="0" fontId="95" fillId="5" borderId="46" xfId="15" applyNumberFormat="1" applyFont="1" applyFill="1" applyBorder="1" applyAlignment="1" applyProtection="1">
      <alignment horizontal="center"/>
    </xf>
    <xf numFmtId="0" fontId="86" fillId="5" borderId="0" xfId="15" applyNumberFormat="1" applyFont="1" applyFill="1" applyAlignment="1" applyProtection="1">
      <protection locked="0"/>
    </xf>
    <xf numFmtId="0" fontId="110" fillId="5" borderId="0" xfId="15" applyNumberFormat="1" applyFont="1" applyFill="1" applyBorder="1" applyAlignment="1" applyProtection="1"/>
    <xf numFmtId="0" fontId="84" fillId="5" borderId="0" xfId="15" applyNumberFormat="1" applyFont="1" applyFill="1" applyBorder="1" applyAlignment="1" applyProtection="1"/>
    <xf numFmtId="0" fontId="84" fillId="5" borderId="0" xfId="15" applyNumberFormat="1" applyFont="1" applyFill="1" applyBorder="1" applyAlignment="1" applyProtection="1">
      <alignment horizontal="center"/>
    </xf>
    <xf numFmtId="0" fontId="84" fillId="5" borderId="0" xfId="15" applyNumberFormat="1" applyFont="1" applyFill="1" applyBorder="1" applyAlignment="1" applyProtection="1">
      <protection locked="0"/>
    </xf>
    <xf numFmtId="0" fontId="48" fillId="5" borderId="26" xfId="15" applyNumberFormat="1" applyFont="1" applyFill="1" applyBorder="1" applyAlignment="1" applyProtection="1">
      <alignment vertical="center"/>
    </xf>
    <xf numFmtId="0" fontId="75" fillId="5" borderId="58" xfId="15" applyNumberFormat="1" applyFont="1" applyFill="1" applyBorder="1" applyAlignment="1" applyProtection="1">
      <alignment vertical="center"/>
    </xf>
    <xf numFmtId="0" fontId="71" fillId="5" borderId="42" xfId="15" applyNumberFormat="1" applyFont="1" applyFill="1" applyBorder="1" applyAlignment="1" applyProtection="1">
      <alignment horizontal="center" vertical="center" wrapText="1"/>
    </xf>
    <xf numFmtId="0" fontId="71" fillId="5" borderId="0" xfId="15" applyNumberFormat="1" applyFont="1" applyFill="1" applyAlignment="1" applyProtection="1">
      <alignment horizontal="center" vertical="center"/>
      <protection locked="0"/>
    </xf>
    <xf numFmtId="0" fontId="75" fillId="6" borderId="2" xfId="15" applyNumberFormat="1" applyFont="1" applyFill="1" applyBorder="1" applyAlignment="1" applyProtection="1">
      <alignment horizontal="center" vertical="center" wrapText="1"/>
      <protection locked="0"/>
    </xf>
    <xf numFmtId="0" fontId="75" fillId="5" borderId="2" xfId="15" applyNumberFormat="1" applyFont="1" applyFill="1" applyBorder="1" applyAlignment="1" applyProtection="1">
      <alignment horizontal="center" vertical="center" wrapText="1"/>
    </xf>
    <xf numFmtId="0" fontId="71" fillId="0" borderId="2" xfId="15" applyNumberFormat="1" applyFont="1" applyFill="1" applyBorder="1" applyAlignment="1" applyProtection="1">
      <alignment horizontal="center" vertical="center" wrapText="1"/>
      <protection locked="0"/>
    </xf>
    <xf numFmtId="0" fontId="75" fillId="5" borderId="23" xfId="15" applyNumberFormat="1" applyFont="1" applyFill="1" applyBorder="1" applyAlignment="1" applyProtection="1">
      <alignment vertical="center"/>
    </xf>
    <xf numFmtId="0" fontId="140" fillId="5" borderId="21" xfId="17" applyNumberFormat="1" applyFont="1" applyFill="1" applyBorder="1" applyAlignment="1" applyProtection="1">
      <alignment horizontal="center" vertical="center" wrapText="1"/>
      <protection locked="0"/>
    </xf>
    <xf numFmtId="0" fontId="71" fillId="0" borderId="67" xfId="15" applyNumberFormat="1" applyFont="1" applyFill="1" applyBorder="1" applyAlignment="1" applyProtection="1">
      <alignment horizontal="center" vertical="center" wrapText="1"/>
      <protection locked="0"/>
    </xf>
    <xf numFmtId="0" fontId="71" fillId="0" borderId="55" xfId="15" applyNumberFormat="1" applyFont="1" applyFill="1" applyBorder="1" applyAlignment="1" applyProtection="1">
      <alignment horizontal="center" vertical="center" wrapText="1"/>
      <protection locked="0"/>
    </xf>
    <xf numFmtId="0" fontId="75" fillId="5" borderId="13" xfId="15" applyNumberFormat="1" applyFont="1" applyFill="1" applyBorder="1" applyAlignment="1" applyProtection="1">
      <alignment vertical="center" wrapText="1"/>
    </xf>
    <xf numFmtId="0" fontId="75" fillId="5" borderId="18" xfId="15" applyNumberFormat="1" applyFont="1" applyFill="1" applyBorder="1" applyAlignment="1" applyProtection="1">
      <alignment vertical="center" wrapText="1"/>
    </xf>
    <xf numFmtId="0" fontId="71" fillId="5" borderId="20" xfId="15" applyNumberFormat="1" applyFont="1" applyFill="1" applyBorder="1" applyAlignment="1" applyProtection="1">
      <alignment horizontal="center" vertical="center" wrapText="1"/>
    </xf>
    <xf numFmtId="0" fontId="71" fillId="0" borderId="21" xfId="15" applyNumberFormat="1" applyFont="1" applyFill="1" applyBorder="1" applyAlignment="1" applyProtection="1">
      <alignment horizontal="center" vertical="center" wrapText="1"/>
      <protection locked="0"/>
    </xf>
    <xf numFmtId="0" fontId="71" fillId="0" borderId="21" xfId="15" applyNumberFormat="1" applyFont="1" applyFill="1" applyBorder="1" applyAlignment="1" applyProtection="1">
      <alignment horizontal="left" vertical="center" wrapText="1"/>
      <protection locked="0"/>
    </xf>
    <xf numFmtId="0" fontId="71" fillId="0" borderId="51" xfId="15" applyNumberFormat="1" applyFont="1" applyFill="1" applyBorder="1" applyAlignment="1" applyProtection="1">
      <alignment horizontal="center" vertical="center" wrapText="1"/>
      <protection locked="0"/>
    </xf>
    <xf numFmtId="0" fontId="149" fillId="5" borderId="0" xfId="15" applyNumberFormat="1" applyFont="1" applyFill="1" applyBorder="1" applyAlignment="1" applyProtection="1">
      <alignment vertical="center"/>
      <protection locked="0"/>
    </xf>
    <xf numFmtId="0" fontId="71" fillId="5" borderId="32" xfId="15" applyNumberFormat="1" applyFont="1" applyFill="1" applyBorder="1" applyAlignment="1" applyProtection="1">
      <alignment horizontal="center" vertical="center" wrapText="1"/>
    </xf>
    <xf numFmtId="0" fontId="71" fillId="0" borderId="10" xfId="15" applyNumberFormat="1" applyFont="1" applyFill="1" applyBorder="1" applyAlignment="1" applyProtection="1">
      <alignment horizontal="center" vertical="center" wrapText="1"/>
      <protection locked="0"/>
    </xf>
    <xf numFmtId="0" fontId="71" fillId="0" borderId="25" xfId="15" applyNumberFormat="1" applyFont="1" applyFill="1" applyBorder="1" applyAlignment="1" applyProtection="1">
      <alignment horizontal="center" vertical="center" wrapText="1"/>
      <protection locked="0"/>
    </xf>
    <xf numFmtId="0" fontId="83" fillId="5" borderId="53" xfId="15" applyNumberFormat="1" applyFont="1" applyFill="1" applyBorder="1" applyAlignment="1" applyProtection="1">
      <alignment vertical="center" wrapText="1"/>
    </xf>
    <xf numFmtId="0" fontId="71" fillId="5" borderId="27" xfId="15" applyNumberFormat="1" applyFont="1" applyFill="1" applyBorder="1" applyAlignment="1" applyProtection="1">
      <alignment horizontal="center" vertical="center" wrapText="1"/>
    </xf>
    <xf numFmtId="0" fontId="144" fillId="0" borderId="6" xfId="15" applyNumberFormat="1" applyFont="1" applyFill="1" applyBorder="1" applyAlignment="1" applyProtection="1">
      <alignment horizontal="center" vertical="center" wrapText="1"/>
      <protection locked="0"/>
    </xf>
    <xf numFmtId="0" fontId="105" fillId="0" borderId="6" xfId="15" applyNumberFormat="1" applyFont="1" applyFill="1" applyBorder="1" applyAlignment="1" applyProtection="1">
      <alignment horizontal="center" vertical="center" wrapText="1"/>
      <protection locked="0"/>
    </xf>
    <xf numFmtId="0" fontId="105" fillId="0" borderId="6" xfId="15" applyNumberFormat="1" applyFont="1" applyFill="1" applyBorder="1" applyAlignment="1" applyProtection="1">
      <alignment horizontal="left" vertical="center" wrapText="1"/>
      <protection locked="0"/>
    </xf>
    <xf numFmtId="0" fontId="105" fillId="0" borderId="7" xfId="15" applyNumberFormat="1" applyFont="1" applyFill="1" applyBorder="1" applyAlignment="1" applyProtection="1">
      <alignment horizontal="center" vertical="center" wrapText="1"/>
      <protection locked="0"/>
    </xf>
    <xf numFmtId="0" fontId="80" fillId="5" borderId="70" xfId="15" applyNumberFormat="1" applyFont="1" applyFill="1" applyBorder="1" applyAlignment="1" applyProtection="1">
      <alignment horizontal="center" vertical="center" wrapText="1"/>
    </xf>
    <xf numFmtId="0" fontId="84" fillId="0" borderId="71" xfId="15" applyNumberFormat="1" applyFont="1" applyFill="1" applyBorder="1" applyAlignment="1" applyProtection="1">
      <alignment horizontal="center" vertical="center" wrapText="1"/>
      <protection locked="0"/>
    </xf>
    <xf numFmtId="0" fontId="84" fillId="0" borderId="72" xfId="15" applyNumberFormat="1" applyFont="1" applyFill="1" applyBorder="1" applyAlignment="1" applyProtection="1">
      <alignment horizontal="center" vertical="center" wrapText="1"/>
      <protection locked="0"/>
    </xf>
    <xf numFmtId="0" fontId="84" fillId="5" borderId="0" xfId="15" applyNumberFormat="1" applyFont="1" applyFill="1" applyBorder="1" applyAlignment="1" applyProtection="1">
      <alignment horizontal="center" vertical="center" wrapText="1"/>
      <protection locked="0"/>
    </xf>
    <xf numFmtId="0" fontId="71" fillId="5" borderId="73" xfId="15" applyNumberFormat="1" applyFont="1" applyFill="1" applyBorder="1" applyAlignment="1" applyProtection="1">
      <alignment horizontal="center" vertical="center" wrapText="1"/>
    </xf>
    <xf numFmtId="0" fontId="84" fillId="5" borderId="74" xfId="15" applyNumberFormat="1" applyFont="1" applyFill="1" applyBorder="1" applyAlignment="1" applyProtection="1">
      <alignment horizontal="center" vertical="center" wrapText="1"/>
    </xf>
    <xf numFmtId="0" fontId="105" fillId="5" borderId="74" xfId="15" applyNumberFormat="1" applyFont="1" applyFill="1" applyBorder="1" applyAlignment="1" applyProtection="1">
      <alignment horizontal="center" vertical="center" wrapText="1"/>
    </xf>
    <xf numFmtId="0" fontId="105" fillId="5" borderId="74" xfId="15" applyNumberFormat="1" applyFont="1" applyFill="1" applyBorder="1" applyAlignment="1" applyProtection="1">
      <alignment horizontal="left" vertical="center" wrapText="1"/>
    </xf>
    <xf numFmtId="0" fontId="105" fillId="5" borderId="75" xfId="15" applyNumberFormat="1" applyFont="1" applyFill="1" applyBorder="1" applyAlignment="1" applyProtection="1">
      <alignment horizontal="center" vertical="center" wrapText="1"/>
    </xf>
    <xf numFmtId="0" fontId="71" fillId="5" borderId="70" xfId="15" applyNumberFormat="1" applyFont="1" applyFill="1" applyBorder="1" applyAlignment="1" applyProtection="1">
      <alignment horizontal="center" vertical="center" wrapText="1"/>
    </xf>
    <xf numFmtId="0" fontId="84" fillId="5" borderId="71" xfId="15" applyNumberFormat="1" applyFont="1" applyFill="1" applyBorder="1" applyAlignment="1" applyProtection="1">
      <alignment horizontal="center" vertical="center" wrapText="1"/>
    </xf>
    <xf numFmtId="0" fontId="84" fillId="5" borderId="72" xfId="15" applyNumberFormat="1" applyFont="1" applyFill="1" applyBorder="1" applyAlignment="1" applyProtection="1">
      <alignment horizontal="center" vertical="center" wrapText="1"/>
    </xf>
    <xf numFmtId="0" fontId="71" fillId="5" borderId="3" xfId="15" applyNumberFormat="1" applyFont="1" applyFill="1" applyBorder="1" applyAlignment="1" applyProtection="1">
      <alignment horizontal="center" vertical="center" wrapText="1"/>
    </xf>
    <xf numFmtId="0" fontId="84" fillId="5" borderId="21" xfId="15" applyNumberFormat="1" applyFont="1" applyFill="1" applyBorder="1" applyAlignment="1" applyProtection="1">
      <alignment horizontal="center" vertical="center" wrapText="1"/>
    </xf>
    <xf numFmtId="0" fontId="80" fillId="5" borderId="3" xfId="15" applyNumberFormat="1" applyFont="1" applyFill="1" applyBorder="1" applyAlignment="1" applyProtection="1">
      <alignment horizontal="center" vertical="center" wrapText="1"/>
    </xf>
    <xf numFmtId="0" fontId="105" fillId="0" borderId="2" xfId="15" applyNumberFormat="1" applyFont="1" applyFill="1" applyBorder="1" applyAlignment="1" applyProtection="1">
      <alignment horizontal="center" vertical="center" wrapText="1"/>
      <protection locked="0"/>
    </xf>
    <xf numFmtId="0" fontId="105" fillId="0" borderId="2" xfId="15" applyNumberFormat="1" applyFont="1" applyFill="1" applyBorder="1" applyAlignment="1" applyProtection="1">
      <alignment horizontal="left" vertical="center" wrapText="1"/>
      <protection locked="0"/>
    </xf>
    <xf numFmtId="0" fontId="105" fillId="0" borderId="12" xfId="15" applyNumberFormat="1" applyFont="1" applyFill="1" applyBorder="1" applyAlignment="1" applyProtection="1">
      <alignment horizontal="center" vertical="center" wrapText="1"/>
      <protection locked="0"/>
    </xf>
    <xf numFmtId="0" fontId="100" fillId="5" borderId="24" xfId="15" applyNumberFormat="1" applyFont="1" applyFill="1" applyBorder="1" applyAlignment="1" applyProtection="1">
      <alignment vertical="center" wrapText="1"/>
    </xf>
    <xf numFmtId="0" fontId="71" fillId="0" borderId="74" xfId="15" applyNumberFormat="1" applyFont="1" applyFill="1" applyBorder="1" applyAlignment="1" applyProtection="1">
      <alignment horizontal="center" vertical="center" wrapText="1"/>
      <protection locked="0"/>
    </xf>
    <xf numFmtId="0" fontId="52" fillId="0" borderId="74" xfId="15" applyNumberFormat="1" applyFont="1" applyFill="1" applyBorder="1" applyAlignment="1" applyProtection="1">
      <alignment horizontal="center" vertical="center" wrapText="1"/>
      <protection locked="0"/>
    </xf>
    <xf numFmtId="0" fontId="81" fillId="0" borderId="74" xfId="15" applyNumberFormat="1" applyFont="1" applyFill="1" applyBorder="1" applyAlignment="1" applyProtection="1">
      <alignment horizontal="center" vertical="center" wrapText="1"/>
      <protection locked="0"/>
    </xf>
    <xf numFmtId="0" fontId="80" fillId="0" borderId="74" xfId="15" applyNumberFormat="1" applyFont="1" applyFill="1" applyBorder="1" applyAlignment="1" applyProtection="1">
      <alignment horizontal="center" vertical="center" wrapText="1"/>
      <protection locked="0"/>
    </xf>
    <xf numFmtId="0" fontId="80" fillId="0" borderId="74" xfId="15" applyNumberFormat="1" applyFont="1" applyFill="1" applyBorder="1" applyAlignment="1" applyProtection="1">
      <alignment horizontal="left" vertical="center" wrapText="1"/>
      <protection locked="0"/>
    </xf>
    <xf numFmtId="0" fontId="80" fillId="0" borderId="75" xfId="15" applyNumberFormat="1" applyFont="1" applyFill="1" applyBorder="1" applyAlignment="1" applyProtection="1">
      <alignment horizontal="center" vertical="center" wrapText="1"/>
      <protection locked="0"/>
    </xf>
    <xf numFmtId="0" fontId="80" fillId="5" borderId="0" xfId="15" applyNumberFormat="1" applyFont="1" applyFill="1" applyAlignment="1" applyProtection="1">
      <alignment horizontal="center" vertical="center"/>
      <protection locked="0"/>
    </xf>
    <xf numFmtId="0" fontId="71" fillId="0" borderId="71" xfId="15" applyNumberFormat="1" applyFont="1" applyFill="1" applyBorder="1" applyAlignment="1" applyProtection="1">
      <alignment horizontal="center" vertical="center" wrapText="1"/>
      <protection locked="0"/>
    </xf>
    <xf numFmtId="0" fontId="80" fillId="5" borderId="0" xfId="15" applyNumberFormat="1" applyFont="1" applyFill="1" applyBorder="1" applyAlignment="1" applyProtection="1">
      <alignment horizontal="center" vertical="center"/>
      <protection locked="0"/>
    </xf>
    <xf numFmtId="0" fontId="80" fillId="0" borderId="71" xfId="15" applyNumberFormat="1" applyFont="1" applyFill="1" applyBorder="1" applyAlignment="1" applyProtection="1">
      <alignment horizontal="center" vertical="center" wrapText="1"/>
      <protection locked="0"/>
    </xf>
    <xf numFmtId="0" fontId="80" fillId="0" borderId="72" xfId="15" applyNumberFormat="1" applyFont="1" applyFill="1" applyBorder="1" applyAlignment="1" applyProtection="1">
      <alignment horizontal="center" vertical="center" wrapText="1"/>
      <protection locked="0"/>
    </xf>
    <xf numFmtId="0" fontId="80" fillId="0" borderId="21" xfId="15" applyNumberFormat="1" applyFont="1" applyFill="1" applyBorder="1" applyAlignment="1" applyProtection="1">
      <alignment horizontal="center" vertical="center" wrapText="1"/>
      <protection locked="0"/>
    </xf>
    <xf numFmtId="0" fontId="80" fillId="0" borderId="21" xfId="15" applyNumberFormat="1" applyFont="1" applyFill="1" applyBorder="1" applyAlignment="1" applyProtection="1">
      <alignment horizontal="left" vertical="center" wrapText="1"/>
      <protection locked="0"/>
    </xf>
    <xf numFmtId="0" fontId="80" fillId="0" borderId="51" xfId="15" applyNumberFormat="1" applyFont="1" applyFill="1" applyBorder="1" applyAlignment="1" applyProtection="1">
      <alignment horizontal="center" vertical="center" wrapText="1"/>
      <protection locked="0"/>
    </xf>
    <xf numFmtId="0" fontId="80" fillId="5" borderId="0" xfId="15" applyNumberFormat="1" applyFont="1" applyFill="1" applyBorder="1" applyAlignment="1" applyProtection="1">
      <alignment vertical="center" wrapText="1"/>
      <protection locked="0"/>
    </xf>
    <xf numFmtId="0" fontId="100" fillId="5" borderId="23" xfId="15" applyNumberFormat="1" applyFont="1" applyFill="1" applyBorder="1" applyAlignment="1" applyProtection="1">
      <alignment vertical="center" wrapText="1"/>
    </xf>
    <xf numFmtId="0" fontId="71" fillId="5" borderId="55" xfId="15" applyNumberFormat="1" applyFont="1" applyFill="1" applyBorder="1" applyAlignment="1" applyProtection="1">
      <alignment horizontal="center" vertical="center" wrapText="1"/>
    </xf>
    <xf numFmtId="0" fontId="71" fillId="0" borderId="44" xfId="15" applyNumberFormat="1" applyFont="1" applyFill="1" applyBorder="1" applyAlignment="1" applyProtection="1">
      <alignment horizontal="center" vertical="center" wrapText="1"/>
      <protection locked="0"/>
    </xf>
    <xf numFmtId="0" fontId="80" fillId="0" borderId="44" xfId="15" applyNumberFormat="1" applyFont="1" applyFill="1" applyBorder="1" applyAlignment="1" applyProtection="1">
      <alignment horizontal="center" vertical="center" wrapText="1"/>
      <protection locked="0"/>
    </xf>
    <xf numFmtId="0" fontId="80" fillId="0" borderId="46" xfId="15" applyNumberFormat="1" applyFont="1" applyFill="1" applyBorder="1" applyAlignment="1" applyProtection="1">
      <alignment horizontal="center" vertical="center" wrapText="1"/>
      <protection locked="0"/>
    </xf>
    <xf numFmtId="0" fontId="71" fillId="5" borderId="6" xfId="15" applyNumberFormat="1" applyFont="1" applyFill="1" applyBorder="1" applyAlignment="1" applyProtection="1">
      <alignment horizontal="center" vertical="center" wrapText="1"/>
    </xf>
    <xf numFmtId="0" fontId="84" fillId="5" borderId="6" xfId="15" applyNumberFormat="1" applyFont="1" applyFill="1" applyBorder="1" applyAlignment="1" applyProtection="1">
      <alignment horizontal="center" vertical="center" wrapText="1"/>
    </xf>
    <xf numFmtId="0" fontId="105" fillId="5" borderId="6" xfId="15" applyNumberFormat="1" applyFont="1" applyFill="1" applyBorder="1" applyAlignment="1" applyProtection="1">
      <alignment horizontal="center" vertical="center" wrapText="1"/>
    </xf>
    <xf numFmtId="0" fontId="105" fillId="5" borderId="6" xfId="15" applyNumberFormat="1" applyFont="1" applyFill="1" applyBorder="1" applyAlignment="1" applyProtection="1">
      <alignment horizontal="left" vertical="center" wrapText="1"/>
    </xf>
    <xf numFmtId="0" fontId="105" fillId="5" borderId="7" xfId="15" applyNumberFormat="1" applyFont="1" applyFill="1" applyBorder="1" applyAlignment="1" applyProtection="1">
      <alignment horizontal="center" vertical="center" wrapText="1"/>
    </xf>
    <xf numFmtId="0" fontId="71" fillId="5" borderId="74" xfId="15" applyNumberFormat="1" applyFont="1" applyFill="1" applyBorder="1" applyAlignment="1" applyProtection="1">
      <alignment horizontal="center" vertical="center" wrapText="1"/>
    </xf>
    <xf numFmtId="0" fontId="75" fillId="5" borderId="24" xfId="15" applyNumberFormat="1" applyFont="1" applyFill="1" applyBorder="1" applyAlignment="1" applyProtection="1">
      <alignment vertical="center" wrapText="1"/>
    </xf>
    <xf numFmtId="0" fontId="71" fillId="5" borderId="74" xfId="15" applyNumberFormat="1" applyFont="1" applyFill="1" applyBorder="1" applyAlignment="1" applyProtection="1">
      <alignment horizontal="left" vertical="center" wrapText="1"/>
    </xf>
    <xf numFmtId="0" fontId="71" fillId="5" borderId="75" xfId="15" applyNumberFormat="1" applyFont="1" applyFill="1" applyBorder="1" applyAlignment="1" applyProtection="1">
      <alignment horizontal="center" vertical="center" wrapText="1"/>
    </xf>
    <xf numFmtId="0" fontId="71" fillId="5" borderId="71" xfId="15" applyNumberFormat="1" applyFont="1" applyFill="1" applyBorder="1" applyAlignment="1" applyProtection="1">
      <alignment horizontal="center" vertical="center" wrapText="1"/>
    </xf>
    <xf numFmtId="0" fontId="52" fillId="5" borderId="73" xfId="15" applyNumberFormat="1" applyFont="1" applyFill="1" applyBorder="1" applyAlignment="1" applyProtection="1">
      <alignment horizontal="center" vertical="center" wrapText="1"/>
    </xf>
    <xf numFmtId="0" fontId="80" fillId="5" borderId="74" xfId="15" applyNumberFormat="1" applyFont="1" applyFill="1" applyBorder="1" applyAlignment="1" applyProtection="1">
      <alignment horizontal="center" vertical="center" wrapText="1"/>
    </xf>
    <xf numFmtId="0" fontId="80" fillId="5" borderId="74" xfId="15" applyNumberFormat="1" applyFont="1" applyFill="1" applyBorder="1" applyAlignment="1" applyProtection="1">
      <alignment horizontal="left" vertical="center" wrapText="1"/>
    </xf>
    <xf numFmtId="0" fontId="80" fillId="5" borderId="75" xfId="15" applyNumberFormat="1" applyFont="1" applyFill="1" applyBorder="1" applyAlignment="1" applyProtection="1">
      <alignment horizontal="center" vertical="center" wrapText="1"/>
    </xf>
    <xf numFmtId="0" fontId="80" fillId="5" borderId="71" xfId="15" applyNumberFormat="1" applyFont="1" applyFill="1" applyBorder="1" applyAlignment="1" applyProtection="1">
      <alignment horizontal="center" vertical="center" wrapText="1"/>
    </xf>
    <xf numFmtId="0" fontId="80" fillId="5" borderId="72" xfId="15" applyNumberFormat="1" applyFont="1" applyFill="1" applyBorder="1" applyAlignment="1" applyProtection="1">
      <alignment horizontal="center" vertical="center" wrapText="1"/>
    </xf>
    <xf numFmtId="0" fontId="52" fillId="5" borderId="3" xfId="15" applyNumberFormat="1" applyFont="1" applyFill="1" applyBorder="1" applyAlignment="1" applyProtection="1">
      <alignment horizontal="center" vertical="center" wrapText="1"/>
    </xf>
    <xf numFmtId="0" fontId="58" fillId="5" borderId="3" xfId="15" applyNumberFormat="1" applyFont="1" applyFill="1" applyBorder="1" applyAlignment="1" applyProtection="1">
      <alignment horizontal="center" vertical="center" wrapText="1"/>
    </xf>
    <xf numFmtId="0" fontId="80" fillId="5" borderId="52" xfId="15" applyNumberFormat="1" applyFont="1" applyFill="1" applyBorder="1" applyAlignment="1" applyProtection="1">
      <alignment horizontal="center" vertical="center" wrapText="1"/>
    </xf>
    <xf numFmtId="0" fontId="84" fillId="0" borderId="74" xfId="15" applyNumberFormat="1" applyFont="1" applyFill="1" applyBorder="1" applyAlignment="1" applyProtection="1">
      <alignment horizontal="center" vertical="center" wrapText="1"/>
      <protection locked="0"/>
    </xf>
    <xf numFmtId="0" fontId="105" fillId="0" borderId="74" xfId="15" applyNumberFormat="1" applyFont="1" applyFill="1" applyBorder="1" applyAlignment="1" applyProtection="1">
      <alignment horizontal="center" vertical="center" wrapText="1"/>
      <protection locked="0"/>
    </xf>
    <xf numFmtId="0" fontId="105" fillId="0" borderId="74" xfId="15" applyNumberFormat="1" applyFont="1" applyFill="1" applyBorder="1" applyAlignment="1" applyProtection="1">
      <alignment horizontal="left" vertical="center" wrapText="1"/>
      <protection locked="0"/>
    </xf>
    <xf numFmtId="0" fontId="105" fillId="0" borderId="75" xfId="15" applyNumberFormat="1" applyFont="1" applyFill="1" applyBorder="1" applyAlignment="1" applyProtection="1">
      <alignment horizontal="center" vertical="center" wrapText="1"/>
      <protection locked="0"/>
    </xf>
    <xf numFmtId="0" fontId="84" fillId="0" borderId="21" xfId="15" applyNumberFormat="1" applyFont="1" applyFill="1" applyBorder="1" applyAlignment="1" applyProtection="1">
      <alignment horizontal="center" vertical="center" wrapText="1"/>
      <protection locked="0"/>
    </xf>
    <xf numFmtId="0" fontId="105" fillId="0" borderId="21" xfId="15" applyNumberFormat="1" applyFont="1" applyFill="1" applyBorder="1" applyAlignment="1" applyProtection="1">
      <alignment horizontal="center" vertical="center" wrapText="1"/>
      <protection locked="0"/>
    </xf>
    <xf numFmtId="0" fontId="105" fillId="0" borderId="21" xfId="15" applyNumberFormat="1" applyFont="1" applyFill="1" applyBorder="1" applyAlignment="1" applyProtection="1">
      <alignment horizontal="left" vertical="center" wrapText="1"/>
      <protection locked="0"/>
    </xf>
    <xf numFmtId="0" fontId="105" fillId="0" borderId="51" xfId="15" applyNumberFormat="1" applyFont="1" applyFill="1" applyBorder="1" applyAlignment="1" applyProtection="1">
      <alignment horizontal="center" vertical="center" wrapText="1"/>
      <protection locked="0"/>
    </xf>
    <xf numFmtId="0" fontId="84" fillId="0" borderId="44" xfId="15" applyNumberFormat="1" applyFont="1" applyFill="1" applyBorder="1" applyAlignment="1" applyProtection="1">
      <alignment horizontal="center" vertical="center" wrapText="1"/>
      <protection locked="0"/>
    </xf>
    <xf numFmtId="0" fontId="84" fillId="0" borderId="46" xfId="15" applyNumberFormat="1" applyFont="1" applyFill="1" applyBorder="1" applyAlignment="1" applyProtection="1">
      <alignment horizontal="center" vertical="center" wrapText="1"/>
      <protection locked="0"/>
    </xf>
    <xf numFmtId="0" fontId="71" fillId="5" borderId="13" xfId="15" applyNumberFormat="1" applyFont="1" applyFill="1" applyBorder="1" applyAlignment="1" applyProtection="1">
      <alignment horizontal="center" vertical="center"/>
    </xf>
    <xf numFmtId="0" fontId="80" fillId="0" borderId="2" xfId="15" applyNumberFormat="1" applyFont="1" applyFill="1" applyBorder="1" applyAlignment="1" applyProtection="1">
      <alignment horizontal="center" vertical="center" wrapText="1"/>
      <protection locked="0"/>
    </xf>
    <xf numFmtId="0" fontId="80" fillId="0" borderId="2" xfId="15" applyNumberFormat="1" applyFont="1" applyFill="1" applyBorder="1" applyAlignment="1" applyProtection="1">
      <alignment horizontal="left" vertical="center" wrapText="1"/>
      <protection locked="0"/>
    </xf>
    <xf numFmtId="0" fontId="80" fillId="0" borderId="12" xfId="15" applyNumberFormat="1" applyFont="1" applyFill="1" applyBorder="1" applyAlignment="1" applyProtection="1">
      <alignment horizontal="center" vertical="center" wrapText="1"/>
      <protection locked="0"/>
    </xf>
    <xf numFmtId="0" fontId="84" fillId="0" borderId="10" xfId="15" applyNumberFormat="1" applyFont="1" applyFill="1" applyBorder="1" applyAlignment="1" applyProtection="1">
      <alignment horizontal="center" vertical="center" wrapText="1"/>
      <protection locked="0"/>
    </xf>
    <xf numFmtId="0" fontId="84" fillId="0" borderId="25" xfId="15" applyNumberFormat="1" applyFont="1" applyFill="1" applyBorder="1" applyAlignment="1" applyProtection="1">
      <alignment horizontal="center" vertical="center" wrapText="1"/>
      <protection locked="0"/>
    </xf>
    <xf numFmtId="0" fontId="149" fillId="5" borderId="6" xfId="15" applyNumberFormat="1" applyFont="1" applyFill="1" applyBorder="1" applyAlignment="1" applyProtection="1">
      <alignment horizontal="center" vertical="center" wrapText="1"/>
    </xf>
    <xf numFmtId="0" fontId="149" fillId="5" borderId="6" xfId="15" applyNumberFormat="1" applyFont="1" applyFill="1" applyBorder="1" applyAlignment="1" applyProtection="1">
      <alignment horizontal="left" vertical="center" wrapText="1"/>
    </xf>
    <xf numFmtId="0" fontId="149" fillId="5" borderId="7" xfId="15" applyNumberFormat="1" applyFont="1" applyFill="1" applyBorder="1" applyAlignment="1" applyProtection="1">
      <alignment horizontal="center" vertical="center" wrapText="1"/>
    </xf>
    <xf numFmtId="0" fontId="149" fillId="0" borderId="2" xfId="15" applyNumberFormat="1" applyFont="1" applyFill="1" applyBorder="1" applyAlignment="1" applyProtection="1">
      <alignment horizontal="center" vertical="center" wrapText="1"/>
      <protection locked="0"/>
    </xf>
    <xf numFmtId="0" fontId="149" fillId="0" borderId="2" xfId="15" applyNumberFormat="1" applyFont="1" applyFill="1" applyBorder="1" applyAlignment="1" applyProtection="1">
      <alignment horizontal="left" vertical="center" wrapText="1"/>
      <protection locked="0"/>
    </xf>
    <xf numFmtId="0" fontId="149" fillId="0" borderId="12" xfId="15" applyNumberFormat="1" applyFont="1" applyFill="1" applyBorder="1" applyAlignment="1" applyProtection="1">
      <alignment horizontal="center" vertical="center" wrapText="1"/>
      <protection locked="0"/>
    </xf>
    <xf numFmtId="0" fontId="144" fillId="0" borderId="74" xfId="15" applyNumberFormat="1" applyFont="1" applyFill="1" applyBorder="1" applyAlignment="1" applyProtection="1">
      <alignment horizontal="center" vertical="center" wrapText="1"/>
      <protection locked="0"/>
    </xf>
    <xf numFmtId="0" fontId="80" fillId="5" borderId="55" xfId="15" applyNumberFormat="1" applyFont="1" applyFill="1" applyBorder="1" applyAlignment="1" applyProtection="1">
      <alignment horizontal="center" vertical="center" wrapText="1"/>
    </xf>
    <xf numFmtId="0" fontId="84" fillId="8" borderId="0" xfId="15" applyNumberFormat="1" applyFont="1" applyFill="1" applyAlignment="1" applyProtection="1">
      <alignment horizontal="center" vertical="center"/>
      <protection locked="0"/>
    </xf>
    <xf numFmtId="0" fontId="84" fillId="8" borderId="0" xfId="15" applyNumberFormat="1" applyFont="1" applyFill="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151" fillId="5" borderId="4" xfId="17" applyNumberFormat="1" applyFont="1" applyFill="1" applyBorder="1" applyAlignment="1" applyProtection="1">
      <alignment vertical="center"/>
    </xf>
    <xf numFmtId="0" fontId="101" fillId="5" borderId="5" xfId="17" applyNumberFormat="1" applyFont="1" applyFill="1" applyBorder="1" applyAlignment="1" applyProtection="1">
      <alignment horizontal="right" vertical="center"/>
    </xf>
    <xf numFmtId="0" fontId="101" fillId="5" borderId="8" xfId="17" applyNumberFormat="1" applyFont="1" applyFill="1" applyBorder="1" applyAlignment="1" applyProtection="1">
      <alignment horizontal="center" vertical="center"/>
    </xf>
    <xf numFmtId="0" fontId="101" fillId="2" borderId="8" xfId="17" applyNumberFormat="1" applyFont="1" applyFill="1" applyBorder="1" applyAlignment="1" applyProtection="1">
      <alignment vertical="center"/>
      <protection locked="0"/>
    </xf>
    <xf numFmtId="0" fontId="101" fillId="6" borderId="9" xfId="17" applyNumberFormat="1" applyFont="1" applyFill="1" applyBorder="1" applyAlignment="1" applyProtection="1">
      <alignment vertical="center"/>
    </xf>
    <xf numFmtId="0" fontId="101" fillId="6" borderId="2" xfId="17" applyNumberFormat="1" applyFont="1" applyFill="1" applyBorder="1" applyAlignment="1" applyProtection="1">
      <alignment horizontal="center" vertical="center"/>
      <protection locked="0"/>
    </xf>
    <xf numFmtId="0" fontId="102"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horizontal="center" vertical="center"/>
    </xf>
    <xf numFmtId="0" fontId="101" fillId="5" borderId="0" xfId="17" applyNumberFormat="1" applyFont="1" applyFill="1" applyBorder="1" applyAlignment="1" applyProtection="1">
      <alignment horizontal="center" vertical="center"/>
    </xf>
    <xf numFmtId="0" fontId="98" fillId="5" borderId="0" xfId="17" applyNumberFormat="1" applyFont="1" applyFill="1" applyBorder="1" applyAlignment="1" applyProtection="1">
      <alignment horizontal="center" vertical="center"/>
    </xf>
    <xf numFmtId="0" fontId="98" fillId="0" borderId="0" xfId="17" applyNumberFormat="1" applyFont="1" applyFill="1" applyAlignment="1" applyProtection="1">
      <alignment horizontal="center" vertical="center"/>
    </xf>
    <xf numFmtId="0" fontId="97" fillId="5" borderId="2" xfId="17" applyNumberFormat="1" applyFont="1" applyFill="1" applyBorder="1" applyAlignment="1" applyProtection="1">
      <alignment vertical="center"/>
    </xf>
    <xf numFmtId="0" fontId="97" fillId="5" borderId="21" xfId="17" applyNumberFormat="1" applyFont="1" applyFill="1" applyBorder="1" applyAlignment="1" applyProtection="1">
      <alignment horizontal="right" vertical="center"/>
    </xf>
    <xf numFmtId="0" fontId="97" fillId="5" borderId="0" xfId="17" applyNumberFormat="1" applyFont="1" applyFill="1" applyBorder="1" applyAlignment="1" applyProtection="1">
      <alignment vertical="center"/>
      <protection locked="0"/>
    </xf>
    <xf numFmtId="0" fontId="73" fillId="5" borderId="0" xfId="17" applyNumberFormat="1" applyFont="1" applyFill="1" applyBorder="1" applyAlignment="1" applyProtection="1">
      <alignment vertical="center"/>
      <protection locked="0"/>
    </xf>
    <xf numFmtId="0" fontId="97" fillId="5" borderId="0" xfId="17" applyNumberFormat="1" applyFont="1" applyFill="1" applyBorder="1" applyAlignment="1" applyProtection="1">
      <alignment horizontal="center" vertical="center"/>
      <protection locked="0"/>
    </xf>
    <xf numFmtId="0" fontId="97" fillId="5" borderId="0" xfId="17" applyNumberFormat="1" applyFont="1" applyFill="1" applyBorder="1" applyAlignment="1" applyProtection="1">
      <alignment horizontal="center" vertical="center"/>
    </xf>
    <xf numFmtId="0" fontId="106" fillId="5" borderId="0" xfId="17" applyNumberFormat="1" applyFont="1" applyFill="1" applyBorder="1" applyAlignment="1" applyProtection="1">
      <alignment horizontal="center" vertical="center"/>
    </xf>
    <xf numFmtId="0" fontId="106" fillId="0" borderId="0" xfId="17" applyNumberFormat="1" applyFont="1" applyFill="1" applyAlignment="1" applyProtection="1">
      <alignment horizontal="center" vertical="center"/>
    </xf>
    <xf numFmtId="0" fontId="97" fillId="5" borderId="10" xfId="17" applyNumberFormat="1" applyFont="1" applyFill="1" applyBorder="1" applyAlignment="1" applyProtection="1">
      <alignment vertical="center"/>
    </xf>
    <xf numFmtId="0" fontId="97" fillId="5" borderId="10" xfId="17" applyNumberFormat="1" applyFont="1" applyFill="1" applyBorder="1" applyAlignment="1" applyProtection="1">
      <alignment horizontal="right" vertical="center"/>
    </xf>
    <xf numFmtId="0" fontId="97" fillId="5" borderId="10" xfId="17" applyNumberFormat="1" applyFont="1" applyFill="1" applyBorder="1" applyAlignment="1" applyProtection="1">
      <alignment horizontal="center" vertical="center"/>
    </xf>
    <xf numFmtId="0" fontId="106" fillId="5" borderId="0" xfId="17" applyNumberFormat="1" applyFont="1" applyFill="1" applyAlignment="1" applyProtection="1">
      <alignment horizontal="center" vertical="center"/>
    </xf>
    <xf numFmtId="0" fontId="83" fillId="5" borderId="26" xfId="17" applyNumberFormat="1" applyFont="1" applyFill="1" applyBorder="1" applyAlignment="1" applyProtection="1">
      <alignment vertical="center" wrapText="1"/>
    </xf>
    <xf numFmtId="0" fontId="83" fillId="5" borderId="28" xfId="17" applyNumberFormat="1" applyFont="1" applyFill="1" applyBorder="1" applyAlignment="1" applyProtection="1">
      <alignment vertical="center" wrapText="1"/>
    </xf>
    <xf numFmtId="0" fontId="71" fillId="5" borderId="57"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vertical="center" wrapText="1"/>
      <protection locked="0"/>
    </xf>
    <xf numFmtId="0" fontId="84" fillId="5" borderId="0" xfId="17" applyNumberFormat="1" applyFont="1" applyFill="1" applyBorder="1" applyAlignment="1" applyProtection="1">
      <alignment horizontal="center" vertical="center"/>
      <protection locked="0"/>
    </xf>
    <xf numFmtId="0" fontId="84" fillId="5" borderId="3" xfId="17" applyNumberFormat="1" applyFont="1" applyFill="1" applyBorder="1" applyAlignment="1" applyProtection="1">
      <alignment horizontal="center" vertical="center"/>
    </xf>
    <xf numFmtId="0" fontId="84" fillId="0" borderId="0" xfId="17" applyNumberFormat="1" applyFont="1" applyFill="1" applyAlignment="1" applyProtection="1">
      <alignment horizontal="center" vertical="center"/>
    </xf>
    <xf numFmtId="0" fontId="83" fillId="5" borderId="31" xfId="17" applyNumberFormat="1" applyFont="1" applyFill="1" applyBorder="1" applyAlignment="1" applyProtection="1">
      <alignment vertical="center" wrapText="1"/>
    </xf>
    <xf numFmtId="0" fontId="83" fillId="5" borderId="0" xfId="17" applyNumberFormat="1" applyFont="1" applyFill="1" applyBorder="1" applyAlignment="1" applyProtection="1">
      <alignment vertical="center" wrapText="1"/>
    </xf>
    <xf numFmtId="0" fontId="71" fillId="5" borderId="16" xfId="17" applyNumberFormat="1" applyFont="1" applyFill="1" applyBorder="1" applyAlignment="1" applyProtection="1">
      <alignment horizontal="center" vertical="center" wrapText="1"/>
    </xf>
    <xf numFmtId="0" fontId="83" fillId="5" borderId="54" xfId="17" applyNumberFormat="1" applyFont="1" applyFill="1" applyBorder="1" applyAlignment="1" applyProtection="1">
      <alignment vertical="center" wrapText="1"/>
    </xf>
    <xf numFmtId="0" fontId="83" fillId="5" borderId="61" xfId="17" applyNumberFormat="1" applyFont="1" applyFill="1" applyBorder="1" applyAlignment="1" applyProtection="1">
      <alignment vertical="center" wrapText="1"/>
    </xf>
    <xf numFmtId="0" fontId="75" fillId="5" borderId="59" xfId="17" applyNumberFormat="1" applyFont="1" applyFill="1" applyBorder="1" applyAlignment="1" applyProtection="1">
      <alignment vertical="center" wrapText="1"/>
    </xf>
    <xf numFmtId="0" fontId="75" fillId="5" borderId="57" xfId="17" applyNumberFormat="1" applyFont="1" applyFill="1" applyBorder="1" applyAlignment="1" applyProtection="1">
      <alignment horizontal="left" vertical="center" wrapText="1"/>
    </xf>
    <xf numFmtId="0" fontId="71" fillId="5" borderId="33" xfId="17" applyNumberFormat="1" applyFont="1" applyFill="1" applyBorder="1" applyAlignment="1" applyProtection="1">
      <alignment horizontal="center" vertical="center" wrapText="1"/>
    </xf>
    <xf numFmtId="0" fontId="71" fillId="5" borderId="34" xfId="17" applyNumberFormat="1" applyFont="1" applyFill="1" applyBorder="1" applyAlignment="1" applyProtection="1">
      <alignment horizontal="center" vertical="center" wrapText="1"/>
    </xf>
    <xf numFmtId="0" fontId="71" fillId="0" borderId="62" xfId="17" applyNumberFormat="1" applyFont="1" applyFill="1" applyBorder="1" applyAlignment="1" applyProtection="1">
      <alignment horizontal="center" vertical="center" wrapText="1"/>
      <protection locked="0"/>
    </xf>
    <xf numFmtId="0" fontId="71" fillId="5" borderId="49"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horizontal="center" vertical="center" wrapText="1"/>
      <protection locked="0"/>
    </xf>
    <xf numFmtId="0" fontId="71" fillId="5" borderId="0" xfId="17" applyNumberFormat="1" applyFont="1" applyFill="1" applyBorder="1" applyAlignment="1" applyProtection="1">
      <alignment horizontal="center" vertical="center"/>
      <protection locked="0"/>
    </xf>
    <xf numFmtId="0" fontId="71" fillId="5" borderId="5"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71" fillId="5" borderId="3" xfId="17" applyNumberFormat="1" applyFont="1" applyFill="1" applyBorder="1" applyAlignment="1" applyProtection="1">
      <alignment horizontal="center" vertical="center"/>
    </xf>
    <xf numFmtId="0" fontId="71" fillId="5" borderId="2" xfId="17" applyNumberFormat="1" applyFont="1" applyFill="1" applyBorder="1" applyAlignment="1" applyProtection="1">
      <alignment horizontal="center" vertical="center"/>
    </xf>
    <xf numFmtId="0" fontId="71" fillId="0" borderId="0" xfId="17" applyNumberFormat="1" applyFont="1" applyFill="1" applyAlignment="1" applyProtection="1">
      <alignment horizontal="center" vertical="center"/>
    </xf>
    <xf numFmtId="0" fontId="75" fillId="5" borderId="64" xfId="17" applyNumberFormat="1" applyFont="1" applyFill="1" applyBorder="1" applyAlignment="1" applyProtection="1">
      <alignment vertical="center" wrapText="1"/>
    </xf>
    <xf numFmtId="0" fontId="75" fillId="5" borderId="16" xfId="17" applyNumberFormat="1" applyFont="1" applyFill="1" applyBorder="1" applyAlignment="1" applyProtection="1">
      <alignment horizontal="left" vertical="center" wrapText="1"/>
    </xf>
    <xf numFmtId="0" fontId="71" fillId="2" borderId="33" xfId="17" applyNumberFormat="1" applyFont="1" applyFill="1" applyBorder="1" applyAlignment="1" applyProtection="1">
      <alignment horizontal="center" vertical="center" wrapText="1"/>
      <protection locked="0"/>
    </xf>
    <xf numFmtId="0" fontId="71" fillId="2" borderId="62" xfId="17" applyNumberFormat="1" applyFont="1" applyFill="1" applyBorder="1" applyAlignment="1" applyProtection="1">
      <alignment horizontal="center" vertical="center" wrapText="1"/>
      <protection locked="0"/>
    </xf>
    <xf numFmtId="0" fontId="75" fillId="5" borderId="87" xfId="17" applyNumberFormat="1" applyFont="1" applyFill="1" applyBorder="1" applyAlignment="1" applyProtection="1">
      <alignment vertical="center" wrapText="1"/>
    </xf>
    <xf numFmtId="0" fontId="75" fillId="5" borderId="63" xfId="17" applyNumberFormat="1" applyFont="1" applyFill="1" applyBorder="1" applyAlignment="1" applyProtection="1">
      <alignment horizontal="left" vertical="center" wrapText="1"/>
    </xf>
    <xf numFmtId="0" fontId="81" fillId="0" borderId="59" xfId="17" applyNumberFormat="1" applyFont="1" applyFill="1" applyBorder="1" applyAlignment="1" applyProtection="1">
      <alignment horizontal="center" vertical="center" wrapText="1"/>
      <protection locked="0"/>
    </xf>
    <xf numFmtId="0" fontId="71" fillId="5" borderId="7" xfId="17" applyNumberFormat="1" applyFont="1" applyFill="1" applyBorder="1" applyAlignment="1" applyProtection="1">
      <alignment horizontal="center" vertical="center" wrapText="1"/>
    </xf>
    <xf numFmtId="0" fontId="71" fillId="2" borderId="42" xfId="17" applyNumberFormat="1" applyFont="1" applyFill="1" applyBorder="1" applyAlignment="1" applyProtection="1">
      <alignment horizontal="center" vertical="center" wrapText="1"/>
      <protection locked="0"/>
    </xf>
    <xf numFmtId="0" fontId="71" fillId="5" borderId="29" xfId="17" applyNumberFormat="1" applyFont="1" applyFill="1" applyBorder="1" applyAlignment="1" applyProtection="1">
      <alignment horizontal="center" vertical="center" wrapText="1"/>
    </xf>
    <xf numFmtId="0" fontId="71" fillId="2" borderId="1" xfId="17" applyNumberFormat="1" applyFont="1" applyFill="1" applyBorder="1" applyAlignment="1" applyProtection="1">
      <alignment horizontal="center" vertical="center" wrapText="1"/>
      <protection locked="0"/>
    </xf>
    <xf numFmtId="0" fontId="71" fillId="5" borderId="18" xfId="17" applyNumberFormat="1" applyFont="1" applyFill="1" applyBorder="1" applyAlignment="1" applyProtection="1">
      <alignment horizontal="center" vertical="center"/>
      <protection locked="0"/>
    </xf>
    <xf numFmtId="0" fontId="71" fillId="5" borderId="2" xfId="17" applyNumberFormat="1" applyFont="1" applyFill="1" applyBorder="1" applyAlignment="1" applyProtection="1">
      <alignment horizontal="center" vertical="center" wrapText="1"/>
    </xf>
    <xf numFmtId="0" fontId="103" fillId="5" borderId="64" xfId="17" applyNumberFormat="1" applyFont="1" applyFill="1" applyBorder="1" applyAlignment="1" applyProtection="1">
      <alignment vertical="center" wrapText="1"/>
    </xf>
    <xf numFmtId="0" fontId="71" fillId="2" borderId="11" xfId="17" applyNumberFormat="1" applyFont="1" applyFill="1" applyBorder="1" applyAlignment="1" applyProtection="1">
      <alignment horizontal="center" vertical="center" wrapText="1"/>
      <protection locked="0"/>
    </xf>
    <xf numFmtId="0" fontId="71" fillId="5" borderId="12" xfId="17" applyNumberFormat="1" applyFont="1" applyFill="1" applyBorder="1" applyAlignment="1" applyProtection="1">
      <alignment horizontal="center" vertical="center" wrapText="1"/>
    </xf>
    <xf numFmtId="0" fontId="71" fillId="2" borderId="9" xfId="17" applyNumberFormat="1" applyFont="1" applyFill="1" applyBorder="1" applyAlignment="1" applyProtection="1">
      <alignment horizontal="center" vertical="center" wrapText="1"/>
      <protection locked="0"/>
    </xf>
    <xf numFmtId="0" fontId="71" fillId="5" borderId="5" xfId="17" applyNumberFormat="1" applyFont="1" applyFill="1" applyBorder="1" applyAlignment="1" applyProtection="1">
      <alignment horizontal="center" vertical="center" wrapText="1"/>
    </xf>
    <xf numFmtId="0" fontId="106" fillId="0" borderId="16"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protection locked="0"/>
    </xf>
    <xf numFmtId="0" fontId="104" fillId="5" borderId="18" xfId="17" applyNumberFormat="1" applyFont="1" applyFill="1" applyBorder="1" applyAlignment="1" applyProtection="1">
      <alignment horizontal="center" vertical="center"/>
      <protection locked="0"/>
    </xf>
    <xf numFmtId="0" fontId="104" fillId="0" borderId="0" xfId="17" applyNumberFormat="1" applyFont="1" applyFill="1" applyAlignment="1" applyProtection="1">
      <alignment horizontal="center" vertical="center"/>
    </xf>
    <xf numFmtId="0" fontId="83" fillId="5" borderId="64" xfId="17" applyNumberFormat="1" applyFont="1" applyFill="1" applyBorder="1" applyAlignment="1" applyProtection="1">
      <alignment vertical="center" wrapText="1"/>
    </xf>
    <xf numFmtId="0" fontId="71" fillId="0" borderId="11" xfId="17" applyNumberFormat="1" applyFont="1" applyFill="1" applyBorder="1" applyAlignment="1" applyProtection="1">
      <alignment horizontal="center" vertical="center" wrapText="1"/>
      <protection locked="0"/>
    </xf>
    <xf numFmtId="0" fontId="71" fillId="0" borderId="9"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wrapText="1"/>
      <protection locked="0"/>
    </xf>
    <xf numFmtId="0" fontId="84" fillId="5" borderId="18" xfId="17" applyNumberFormat="1" applyFont="1" applyFill="1" applyBorder="1" applyAlignment="1" applyProtection="1">
      <alignment horizontal="center" vertical="center"/>
      <protection locked="0"/>
    </xf>
    <xf numFmtId="0" fontId="83" fillId="8" borderId="87" xfId="17" applyNumberFormat="1" applyFont="1" applyFill="1" applyBorder="1" applyAlignment="1" applyProtection="1">
      <alignment vertical="center" wrapText="1"/>
    </xf>
    <xf numFmtId="0" fontId="75" fillId="8" borderId="63" xfId="17" applyNumberFormat="1" applyFont="1" applyFill="1" applyBorder="1" applyAlignment="1" applyProtection="1">
      <alignment horizontal="left" vertical="center" wrapText="1"/>
      <protection locked="0"/>
    </xf>
    <xf numFmtId="0" fontId="71" fillId="0" borderId="50" xfId="17" applyNumberFormat="1" applyFont="1" applyFill="1" applyBorder="1" applyAlignment="1" applyProtection="1">
      <alignment horizontal="center" vertical="center" wrapText="1"/>
      <protection locked="0"/>
    </xf>
    <xf numFmtId="0" fontId="71" fillId="5" borderId="63" xfId="17" applyNumberFormat="1" applyFont="1" applyFill="1" applyBorder="1" applyAlignment="1" applyProtection="1">
      <alignment horizontal="center" vertical="center" wrapText="1"/>
    </xf>
    <xf numFmtId="0" fontId="106" fillId="5" borderId="16" xfId="17" applyNumberFormat="1" applyFont="1" applyFill="1" applyBorder="1" applyAlignment="1" applyProtection="1">
      <alignment horizontal="center" vertical="center" wrapText="1"/>
    </xf>
    <xf numFmtId="0" fontId="84" fillId="0" borderId="64" xfId="17" applyNumberFormat="1" applyFont="1" applyFill="1" applyBorder="1" applyAlignment="1" applyProtection="1">
      <alignment horizontal="center" vertical="center" wrapText="1"/>
      <protection locked="0"/>
    </xf>
    <xf numFmtId="0" fontId="84" fillId="5" borderId="12" xfId="17" applyNumberFormat="1" applyFont="1" applyFill="1" applyBorder="1" applyAlignment="1" applyProtection="1">
      <alignment horizontal="center" vertical="center" wrapText="1"/>
    </xf>
    <xf numFmtId="0" fontId="105" fillId="5" borderId="0" xfId="17" applyNumberFormat="1" applyFont="1" applyFill="1" applyBorder="1" applyAlignment="1" applyProtection="1">
      <alignment horizontal="center" vertical="center" wrapText="1"/>
      <protection locked="0"/>
    </xf>
    <xf numFmtId="0" fontId="83" fillId="8" borderId="54" xfId="17" applyNumberFormat="1" applyFont="1" applyFill="1" applyBorder="1" applyAlignment="1" applyProtection="1">
      <alignment vertical="center" wrapText="1"/>
    </xf>
    <xf numFmtId="0" fontId="75" fillId="8" borderId="66" xfId="17" applyNumberFormat="1" applyFont="1" applyFill="1" applyBorder="1" applyAlignment="1" applyProtection="1">
      <alignment horizontal="left" vertical="center" wrapText="1"/>
      <protection locked="0"/>
    </xf>
    <xf numFmtId="0" fontId="84" fillId="0" borderId="60" xfId="17" applyNumberFormat="1" applyFont="1" applyFill="1" applyBorder="1" applyAlignment="1" applyProtection="1">
      <alignment horizontal="center" vertical="center" wrapText="1"/>
      <protection locked="0"/>
    </xf>
    <xf numFmtId="0" fontId="84" fillId="5" borderId="46" xfId="17" applyNumberFormat="1" applyFont="1" applyFill="1" applyBorder="1" applyAlignment="1" applyProtection="1">
      <alignment horizontal="center" vertical="center" wrapText="1"/>
    </xf>
    <xf numFmtId="0" fontId="84" fillId="5" borderId="45" xfId="17" applyNumberFormat="1" applyFont="1" applyFill="1" applyBorder="1" applyAlignment="1" applyProtection="1">
      <alignment horizontal="center" vertical="center" wrapText="1"/>
    </xf>
    <xf numFmtId="0" fontId="253" fillId="5" borderId="24" xfId="17" applyNumberFormat="1" applyFont="1" applyFill="1" applyBorder="1" applyAlignment="1" applyProtection="1">
      <alignment vertical="center" wrapText="1"/>
    </xf>
    <xf numFmtId="0" fontId="71" fillId="5" borderId="40" xfId="17" applyNumberFormat="1" applyFont="1" applyFill="1" applyBorder="1" applyAlignment="1" applyProtection="1">
      <alignment horizontal="center" vertical="center" wrapText="1"/>
    </xf>
    <xf numFmtId="0" fontId="84" fillId="5" borderId="53" xfId="17" applyNumberFormat="1" applyFont="1" applyFill="1" applyBorder="1" applyAlignment="1" applyProtection="1">
      <alignment horizontal="center" vertical="center" wrapText="1"/>
    </xf>
    <xf numFmtId="0" fontId="84" fillId="5" borderId="41" xfId="17" applyNumberFormat="1" applyFont="1" applyFill="1" applyBorder="1" applyAlignment="1" applyProtection="1">
      <alignment horizontal="center" vertical="center" wrapText="1"/>
    </xf>
    <xf numFmtId="0" fontId="144" fillId="0" borderId="58" xfId="17" applyNumberFormat="1" applyFont="1" applyFill="1" applyBorder="1" applyAlignment="1" applyProtection="1">
      <alignment horizontal="center" vertical="center" wrapText="1"/>
      <protection locked="0"/>
    </xf>
    <xf numFmtId="0" fontId="84" fillId="5" borderId="40" xfId="17" applyNumberFormat="1" applyFont="1" applyFill="1" applyBorder="1" applyAlignment="1" applyProtection="1">
      <alignment horizontal="center" vertical="center" wrapText="1"/>
    </xf>
    <xf numFmtId="0" fontId="106" fillId="0" borderId="76" xfId="17" applyNumberFormat="1" applyFont="1" applyFill="1" applyBorder="1" applyAlignment="1" applyProtection="1">
      <alignment horizontal="center" vertical="center" wrapText="1"/>
      <protection locked="0"/>
    </xf>
    <xf numFmtId="0" fontId="84" fillId="5" borderId="2" xfId="17" applyNumberFormat="1" applyFont="1" applyFill="1" applyBorder="1" applyAlignment="1" applyProtection="1">
      <alignment horizontal="center" vertical="center" wrapText="1"/>
    </xf>
    <xf numFmtId="0" fontId="84" fillId="5" borderId="5" xfId="17" applyNumberFormat="1" applyFont="1" applyFill="1" applyBorder="1" applyAlignment="1" applyProtection="1">
      <alignment horizontal="center" vertical="center"/>
    </xf>
    <xf numFmtId="0" fontId="84"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83" fillId="5" borderId="24" xfId="17" applyNumberFormat="1" applyFont="1" applyFill="1" applyBorder="1" applyAlignment="1" applyProtection="1">
      <alignment vertical="center" wrapText="1"/>
    </xf>
    <xf numFmtId="0" fontId="84" fillId="5" borderId="0" xfId="17" applyNumberFormat="1" applyFont="1" applyFill="1" applyBorder="1" applyAlignment="1" applyProtection="1">
      <alignment horizontal="center" vertical="center"/>
    </xf>
    <xf numFmtId="0" fontId="84" fillId="2" borderId="50" xfId="17" applyNumberFormat="1" applyFont="1" applyFill="1" applyBorder="1" applyAlignment="1" applyProtection="1">
      <alignment horizontal="center" vertical="center" wrapText="1"/>
      <protection locked="0"/>
    </xf>
    <xf numFmtId="0" fontId="84" fillId="5" borderId="51" xfId="17" applyNumberFormat="1" applyFont="1" applyFill="1" applyBorder="1" applyAlignment="1" applyProtection="1">
      <alignment horizontal="center" vertical="center" wrapText="1"/>
    </xf>
    <xf numFmtId="0" fontId="84" fillId="2" borderId="20" xfId="17" applyNumberFormat="1" applyFont="1" applyFill="1" applyBorder="1" applyAlignment="1" applyProtection="1">
      <alignment horizontal="center" vertical="center" wrapText="1"/>
      <protection locked="0"/>
    </xf>
    <xf numFmtId="0" fontId="84" fillId="5" borderId="17" xfId="17" applyNumberFormat="1" applyFont="1" applyFill="1" applyBorder="1" applyAlignment="1" applyProtection="1">
      <alignment horizontal="center" vertical="center" wrapText="1"/>
    </xf>
    <xf numFmtId="0" fontId="84" fillId="16" borderId="50" xfId="17" applyNumberFormat="1" applyFont="1" applyFill="1" applyBorder="1" applyAlignment="1" applyProtection="1">
      <alignment horizontal="center" vertical="center" wrapText="1"/>
      <protection locked="0"/>
    </xf>
    <xf numFmtId="0" fontId="84" fillId="5" borderId="52" xfId="17" applyNumberFormat="1" applyFont="1" applyFill="1" applyBorder="1" applyAlignment="1" applyProtection="1">
      <alignment horizontal="center" vertical="center" wrapText="1"/>
    </xf>
    <xf numFmtId="0" fontId="84" fillId="16" borderId="20" xfId="17" applyNumberFormat="1" applyFont="1" applyFill="1" applyBorder="1" applyAlignment="1" applyProtection="1">
      <alignment horizontal="center" vertical="center" wrapText="1"/>
      <protection locked="0"/>
    </xf>
    <xf numFmtId="0" fontId="106" fillId="5" borderId="77" xfId="17" applyNumberFormat="1" applyFont="1" applyFill="1" applyBorder="1" applyAlignment="1" applyProtection="1">
      <alignment horizontal="center" vertical="center" wrapText="1"/>
    </xf>
    <xf numFmtId="0" fontId="71" fillId="5" borderId="4" xfId="17" applyNumberFormat="1" applyFont="1" applyFill="1" applyBorder="1" applyAlignment="1" applyProtection="1">
      <alignment horizontal="center" vertical="center" wrapText="1"/>
    </xf>
    <xf numFmtId="0" fontId="84" fillId="5" borderId="22" xfId="17" applyNumberFormat="1" applyFont="1" applyFill="1" applyBorder="1" applyAlignment="1" applyProtection="1">
      <alignment horizontal="center" vertical="center" wrapText="1"/>
    </xf>
    <xf numFmtId="0" fontId="144" fillId="0" borderId="18" xfId="17" applyNumberFormat="1" applyFont="1" applyFill="1" applyBorder="1" applyAlignment="1" applyProtection="1">
      <alignment horizontal="center" vertical="center" wrapText="1"/>
      <protection locked="0"/>
    </xf>
    <xf numFmtId="0" fontId="84" fillId="5" borderId="13" xfId="17" applyNumberFormat="1" applyFont="1" applyFill="1" applyBorder="1" applyAlignment="1" applyProtection="1">
      <alignment horizontal="center" vertical="center" wrapText="1"/>
    </xf>
    <xf numFmtId="0" fontId="84" fillId="5" borderId="25" xfId="17" applyNumberFormat="1" applyFont="1" applyFill="1" applyBorder="1" applyAlignment="1" applyProtection="1">
      <alignment horizontal="center" vertical="center" wrapText="1"/>
    </xf>
    <xf numFmtId="0" fontId="71" fillId="5" borderId="17" xfId="17" applyNumberFormat="1" applyFont="1" applyFill="1" applyBorder="1" applyAlignment="1" applyProtection="1">
      <alignment horizontal="center" vertical="center" wrapText="1"/>
    </xf>
    <xf numFmtId="0" fontId="84" fillId="2" borderId="24" xfId="17" applyNumberFormat="1" applyFont="1" applyFill="1" applyBorder="1" applyAlignment="1" applyProtection="1">
      <alignment horizontal="center" vertical="center" wrapText="1"/>
      <protection locked="0"/>
    </xf>
    <xf numFmtId="0" fontId="84" fillId="2" borderId="18" xfId="17" applyNumberFormat="1" applyFont="1" applyFill="1" applyBorder="1" applyAlignment="1" applyProtection="1">
      <alignment horizontal="center" vertical="center" wrapText="1"/>
      <protection locked="0"/>
    </xf>
    <xf numFmtId="0" fontId="52" fillId="5" borderId="4" xfId="17" applyNumberFormat="1" applyFont="1" applyFill="1" applyBorder="1" applyAlignment="1" applyProtection="1">
      <alignment horizontal="center" vertical="center" wrapText="1"/>
    </xf>
    <xf numFmtId="0" fontId="144" fillId="0" borderId="32" xfId="17" applyNumberFormat="1" applyFont="1" applyFill="1" applyBorder="1" applyAlignment="1" applyProtection="1">
      <alignment horizontal="center" vertical="center" wrapText="1"/>
      <protection locked="0"/>
    </xf>
    <xf numFmtId="0" fontId="84" fillId="5" borderId="4" xfId="17" applyNumberFormat="1" applyFont="1" applyFill="1" applyBorder="1" applyAlignment="1" applyProtection="1">
      <alignment horizontal="center" vertical="center" wrapText="1"/>
    </xf>
    <xf numFmtId="0" fontId="52" fillId="5" borderId="13" xfId="17" applyNumberFormat="1" applyFont="1" applyFill="1" applyBorder="1" applyAlignment="1" applyProtection="1">
      <alignment horizontal="center" vertical="center" wrapText="1"/>
    </xf>
    <xf numFmtId="0" fontId="144" fillId="0" borderId="22"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wrapText="1"/>
    </xf>
    <xf numFmtId="0" fontId="106" fillId="5" borderId="79" xfId="17" applyNumberFormat="1" applyFont="1" applyFill="1" applyBorder="1" applyAlignment="1" applyProtection="1">
      <alignment horizontal="center" vertical="center" wrapText="1"/>
    </xf>
    <xf numFmtId="0" fontId="52" fillId="5" borderId="5" xfId="17" applyNumberFormat="1" applyFont="1" applyFill="1" applyBorder="1" applyAlignment="1" applyProtection="1">
      <alignment horizontal="center" vertical="center" wrapText="1"/>
    </xf>
    <xf numFmtId="0" fontId="84" fillId="2" borderId="11" xfId="17" applyNumberFormat="1" applyFont="1" applyFill="1" applyBorder="1" applyAlignment="1" applyProtection="1">
      <alignment horizontal="center" vertical="center" wrapText="1"/>
      <protection locked="0"/>
    </xf>
    <xf numFmtId="0" fontId="84" fillId="2" borderId="9" xfId="17" applyNumberFormat="1" applyFont="1" applyFill="1" applyBorder="1" applyAlignment="1" applyProtection="1">
      <alignment horizontal="center" vertical="center" wrapText="1"/>
      <protection locked="0"/>
    </xf>
    <xf numFmtId="0" fontId="84" fillId="5" borderId="5" xfId="17" applyNumberFormat="1" applyFont="1" applyFill="1" applyBorder="1" applyAlignment="1" applyProtection="1">
      <alignment horizontal="center" vertical="center" wrapText="1"/>
    </xf>
    <xf numFmtId="0" fontId="75" fillId="5" borderId="24" xfId="17" applyNumberFormat="1" applyFont="1" applyFill="1" applyBorder="1" applyAlignment="1" applyProtection="1">
      <alignment vertical="center" wrapText="1"/>
    </xf>
    <xf numFmtId="0" fontId="52" fillId="0" borderId="4" xfId="17" applyNumberFormat="1" applyFont="1" applyFill="1" applyBorder="1" applyAlignment="1" applyProtection="1">
      <alignment horizontal="center" vertical="center" wrapText="1"/>
      <protection locked="0"/>
    </xf>
    <xf numFmtId="0" fontId="81" fillId="0" borderId="50" xfId="17" applyNumberFormat="1" applyFont="1" applyFill="1" applyBorder="1" applyAlignment="1" applyProtection="1">
      <alignment horizontal="center" vertical="center" wrapText="1"/>
      <protection locked="0"/>
    </xf>
    <xf numFmtId="0" fontId="71" fillId="5" borderId="51" xfId="17" applyNumberFormat="1" applyFont="1" applyFill="1" applyBorder="1" applyAlignment="1" applyProtection="1">
      <alignment horizontal="center" vertical="center" wrapText="1"/>
    </xf>
    <xf numFmtId="0" fontId="71" fillId="0" borderId="5" xfId="17" applyNumberFormat="1" applyFont="1" applyFill="1" applyBorder="1" applyAlignment="1" applyProtection="1">
      <alignment horizontal="center" vertical="center" wrapText="1"/>
      <protection locked="0"/>
    </xf>
    <xf numFmtId="0" fontId="83" fillId="5" borderId="23" xfId="17" applyNumberFormat="1" applyFont="1" applyFill="1" applyBorder="1" applyAlignment="1" applyProtection="1">
      <alignment vertical="center" wrapText="1"/>
    </xf>
    <xf numFmtId="0" fontId="253" fillId="17" borderId="53" xfId="17" applyNumberFormat="1" applyFont="1" applyFill="1" applyBorder="1" applyAlignment="1" applyProtection="1">
      <alignment vertical="center" wrapText="1"/>
    </xf>
    <xf numFmtId="0" fontId="71" fillId="17" borderId="29" xfId="17" applyNumberFormat="1" applyFont="1" applyFill="1" applyBorder="1" applyAlignment="1" applyProtection="1">
      <alignment horizontal="center" vertical="center" wrapText="1"/>
    </xf>
    <xf numFmtId="0" fontId="84" fillId="17" borderId="1" xfId="17" applyNumberFormat="1" applyFont="1" applyFill="1" applyBorder="1" applyAlignment="1" applyProtection="1">
      <alignment horizontal="center" vertical="center" wrapText="1"/>
      <protection locked="0"/>
    </xf>
    <xf numFmtId="0" fontId="84" fillId="17" borderId="7" xfId="17" applyNumberFormat="1" applyFont="1" applyFill="1" applyBorder="1" applyAlignment="1" applyProtection="1">
      <alignment horizontal="center" vertical="center" wrapText="1"/>
    </xf>
    <xf numFmtId="0" fontId="84" fillId="17" borderId="42" xfId="17" applyNumberFormat="1" applyFont="1" applyFill="1" applyBorder="1" applyAlignment="1" applyProtection="1">
      <alignment horizontal="center" vertical="center" wrapText="1"/>
      <protection locked="0"/>
    </xf>
    <xf numFmtId="0" fontId="84" fillId="17" borderId="5" xfId="17" applyNumberFormat="1" applyFont="1" applyFill="1" applyBorder="1" applyAlignment="1" applyProtection="1">
      <alignment horizontal="center" vertical="center" wrapText="1"/>
    </xf>
    <xf numFmtId="0" fontId="84" fillId="16" borderId="42" xfId="17" applyNumberFormat="1" applyFont="1" applyFill="1" applyBorder="1" applyAlignment="1" applyProtection="1">
      <alignment horizontal="center" vertical="center" wrapText="1"/>
      <protection locked="0"/>
    </xf>
    <xf numFmtId="0" fontId="84" fillId="17" borderId="12" xfId="17" applyNumberFormat="1" applyFont="1" applyFill="1" applyBorder="1" applyAlignment="1" applyProtection="1">
      <alignment horizontal="center" vertical="center" wrapText="1"/>
    </xf>
    <xf numFmtId="0" fontId="106" fillId="17" borderId="16" xfId="17" applyNumberFormat="1" applyFont="1" applyFill="1" applyBorder="1" applyAlignment="1" applyProtection="1">
      <alignment horizontal="center" vertical="center" wrapText="1"/>
      <protection locked="0"/>
    </xf>
    <xf numFmtId="0" fontId="105" fillId="17" borderId="0" xfId="17" applyNumberFormat="1" applyFont="1" applyFill="1" applyBorder="1" applyAlignment="1" applyProtection="1">
      <alignment horizontal="center" vertical="center" wrapText="1"/>
      <protection locked="0"/>
    </xf>
    <xf numFmtId="0" fontId="84" fillId="17" borderId="0" xfId="17" applyNumberFormat="1" applyFont="1" applyFill="1" applyBorder="1" applyAlignment="1" applyProtection="1">
      <alignment horizontal="center" vertical="center"/>
      <protection locked="0"/>
    </xf>
    <xf numFmtId="0" fontId="84" fillId="17" borderId="18" xfId="17" applyNumberFormat="1" applyFont="1" applyFill="1" applyBorder="1" applyAlignment="1" applyProtection="1">
      <alignment horizontal="center" vertical="center"/>
      <protection locked="0"/>
    </xf>
    <xf numFmtId="0" fontId="84" fillId="17" borderId="2" xfId="17" applyNumberFormat="1" applyFont="1" applyFill="1" applyBorder="1" applyAlignment="1" applyProtection="1">
      <alignment horizontal="center" vertical="center" wrapText="1"/>
    </xf>
    <xf numFmtId="0" fontId="84" fillId="17" borderId="5" xfId="17" applyNumberFormat="1" applyFont="1" applyFill="1" applyBorder="1" applyAlignment="1" applyProtection="1">
      <alignment horizontal="center" vertical="center"/>
    </xf>
    <xf numFmtId="0" fontId="84" fillId="17" borderId="9" xfId="17" applyNumberFormat="1" applyFont="1" applyFill="1" applyBorder="1" applyAlignment="1" applyProtection="1">
      <alignment horizontal="center" vertical="center"/>
    </xf>
    <xf numFmtId="0" fontId="84" fillId="17" borderId="3" xfId="17" applyNumberFormat="1" applyFont="1" applyFill="1" applyBorder="1" applyAlignment="1" applyProtection="1">
      <alignment horizontal="center" vertical="center"/>
    </xf>
    <xf numFmtId="0" fontId="84" fillId="17" borderId="2" xfId="17" applyNumberFormat="1" applyFont="1" applyFill="1" applyBorder="1" applyAlignment="1" applyProtection="1">
      <alignment horizontal="center" vertical="center"/>
    </xf>
    <xf numFmtId="0" fontId="84" fillId="17" borderId="0" xfId="17" applyNumberFormat="1" applyFont="1" applyFill="1" applyAlignment="1" applyProtection="1">
      <alignment horizontal="center" vertical="center"/>
    </xf>
    <xf numFmtId="0" fontId="100" fillId="5" borderId="24" xfId="17" applyNumberFormat="1" applyFont="1" applyFill="1" applyBorder="1" applyAlignment="1" applyProtection="1">
      <alignment vertical="center" textRotation="255" wrapText="1"/>
    </xf>
    <xf numFmtId="0" fontId="71" fillId="0" borderId="64"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protection locked="0"/>
    </xf>
    <xf numFmtId="0" fontId="80" fillId="5" borderId="18" xfId="17" applyNumberFormat="1" applyFont="1" applyFill="1" applyBorder="1" applyAlignment="1" applyProtection="1">
      <alignment horizontal="center" vertical="center"/>
      <protection locked="0"/>
    </xf>
    <xf numFmtId="0" fontId="80" fillId="5" borderId="2" xfId="17" applyNumberFormat="1" applyFont="1" applyFill="1" applyBorder="1" applyAlignment="1" applyProtection="1">
      <alignment horizontal="center" vertical="center" wrapText="1"/>
    </xf>
    <xf numFmtId="0" fontId="80" fillId="5" borderId="5" xfId="17" applyNumberFormat="1" applyFont="1" applyFill="1" applyBorder="1" applyAlignment="1" applyProtection="1">
      <alignment horizontal="center" vertical="center"/>
    </xf>
    <xf numFmtId="0" fontId="80" fillId="5" borderId="9" xfId="17" applyNumberFormat="1" applyFont="1" applyFill="1" applyBorder="1" applyAlignment="1" applyProtection="1">
      <alignment horizontal="center" vertical="center"/>
    </xf>
    <xf numFmtId="0" fontId="80" fillId="5" borderId="3" xfId="17" applyNumberFormat="1" applyFont="1" applyFill="1" applyBorder="1" applyAlignment="1" applyProtection="1">
      <alignment horizontal="center" vertical="center"/>
    </xf>
    <xf numFmtId="0" fontId="80" fillId="5" borderId="2" xfId="17" applyNumberFormat="1" applyFont="1" applyFill="1" applyBorder="1" applyAlignment="1" applyProtection="1">
      <alignment horizontal="center" vertical="center"/>
    </xf>
    <xf numFmtId="0" fontId="80" fillId="0" borderId="0" xfId="17" applyNumberFormat="1" applyFont="1" applyFill="1" applyAlignment="1" applyProtection="1">
      <alignment horizontal="center" vertical="center"/>
    </xf>
    <xf numFmtId="0" fontId="83" fillId="5" borderId="24" xfId="17" applyNumberFormat="1" applyFont="1" applyFill="1" applyBorder="1" applyAlignment="1" applyProtection="1">
      <alignment vertical="center" textRotation="255" wrapText="1"/>
    </xf>
    <xf numFmtId="0" fontId="75" fillId="5" borderId="24" xfId="17" applyNumberFormat="1" applyFont="1" applyFill="1" applyBorder="1" applyAlignment="1" applyProtection="1">
      <alignment vertical="center" textRotation="255" wrapText="1"/>
    </xf>
    <xf numFmtId="0" fontId="84" fillId="0" borderId="9" xfId="17" applyNumberFormat="1" applyFont="1" applyFill="1" applyBorder="1" applyAlignment="1" applyProtection="1">
      <alignment horizontal="center" vertical="center" wrapText="1"/>
      <protection locked="0"/>
    </xf>
    <xf numFmtId="0" fontId="83" fillId="5" borderId="23" xfId="17" applyNumberFormat="1" applyFont="1" applyFill="1" applyBorder="1" applyAlignment="1" applyProtection="1">
      <alignment vertical="center" textRotation="255" wrapText="1"/>
    </xf>
    <xf numFmtId="0" fontId="71" fillId="0" borderId="45" xfId="17" applyNumberFormat="1" applyFont="1" applyFill="1" applyBorder="1" applyAlignment="1" applyProtection="1">
      <alignment horizontal="center" vertical="center" wrapText="1"/>
      <protection locked="0"/>
    </xf>
    <xf numFmtId="0" fontId="83" fillId="5" borderId="59" xfId="17" applyNumberFormat="1" applyFont="1" applyFill="1" applyBorder="1" applyAlignment="1" applyProtection="1">
      <alignment vertical="center"/>
    </xf>
    <xf numFmtId="0" fontId="83" fillId="5" borderId="30" xfId="17" applyNumberFormat="1" applyFont="1" applyFill="1" applyBorder="1" applyAlignment="1" applyProtection="1">
      <alignment vertical="center"/>
    </xf>
    <xf numFmtId="0" fontId="83" fillId="5" borderId="59" xfId="17" applyNumberFormat="1" applyFont="1" applyFill="1" applyBorder="1" applyAlignment="1" applyProtection="1">
      <alignment horizontal="right" vertical="center" wrapText="1"/>
    </xf>
    <xf numFmtId="0" fontId="83" fillId="5" borderId="57" xfId="17" applyNumberFormat="1" applyFont="1" applyFill="1" applyBorder="1" applyAlignment="1" applyProtection="1">
      <alignment vertical="center" wrapText="1"/>
    </xf>
    <xf numFmtId="0" fontId="108" fillId="3" borderId="30" xfId="17" applyNumberFormat="1" applyFont="1" applyFill="1" applyBorder="1" applyAlignment="1" applyProtection="1">
      <alignment vertical="center" wrapText="1"/>
      <protection locked="0"/>
    </xf>
    <xf numFmtId="0" fontId="108" fillId="5" borderId="30" xfId="17" applyNumberFormat="1" applyFont="1" applyFill="1" applyBorder="1" applyAlignment="1" applyProtection="1">
      <alignment vertical="center" wrapText="1"/>
    </xf>
    <xf numFmtId="0" fontId="108" fillId="3" borderId="59" xfId="17" applyNumberFormat="1" applyFont="1" applyFill="1" applyBorder="1" applyAlignment="1" applyProtection="1">
      <alignment vertical="center" wrapText="1"/>
      <protection locked="0"/>
    </xf>
    <xf numFmtId="0" fontId="108" fillId="5" borderId="57"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xf>
    <xf numFmtId="0" fontId="84" fillId="5" borderId="0" xfId="17" applyNumberFormat="1" applyFont="1" applyFill="1" applyBorder="1" applyAlignment="1" applyProtection="1">
      <alignment vertical="center" wrapText="1"/>
      <protection locked="0"/>
    </xf>
    <xf numFmtId="0" fontId="84" fillId="5" borderId="0" xfId="17" applyNumberFormat="1" applyFont="1" applyFill="1" applyAlignment="1" applyProtection="1">
      <alignment horizontal="center" vertical="center"/>
      <protection locked="0"/>
    </xf>
    <xf numFmtId="0" fontId="84" fillId="5" borderId="0" xfId="17" applyNumberFormat="1" applyFont="1" applyFill="1" applyAlignment="1" applyProtection="1">
      <alignment horizontal="center" vertical="center"/>
    </xf>
    <xf numFmtId="0" fontId="84" fillId="5" borderId="21" xfId="17" applyNumberFormat="1" applyFont="1" applyFill="1" applyBorder="1" applyAlignment="1" applyProtection="1">
      <alignment vertical="center" textRotation="255" wrapText="1"/>
    </xf>
    <xf numFmtId="0" fontId="83" fillId="5" borderId="60" xfId="17" applyNumberFormat="1" applyFont="1" applyFill="1" applyBorder="1" applyAlignment="1" applyProtection="1">
      <alignment vertical="center"/>
    </xf>
    <xf numFmtId="0" fontId="83" fillId="5" borderId="56" xfId="17" applyNumberFormat="1" applyFont="1" applyFill="1" applyBorder="1" applyAlignment="1" applyProtection="1">
      <alignment vertical="center"/>
    </xf>
    <xf numFmtId="0" fontId="83" fillId="5" borderId="60" xfId="17" applyNumberFormat="1" applyFont="1" applyFill="1" applyBorder="1" applyAlignment="1" applyProtection="1">
      <alignment vertical="center" wrapText="1"/>
    </xf>
    <xf numFmtId="0" fontId="83" fillId="5" borderId="48" xfId="17" applyNumberFormat="1" applyFont="1" applyFill="1" applyBorder="1" applyAlignment="1" applyProtection="1">
      <alignment vertical="center" wrapText="1"/>
    </xf>
    <xf numFmtId="0" fontId="83" fillId="5" borderId="56"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wrapText="1"/>
    </xf>
    <xf numFmtId="0" fontId="83" fillId="0" borderId="54" xfId="17" applyNumberFormat="1" applyFont="1" applyFill="1" applyBorder="1" applyAlignment="1" applyProtection="1">
      <alignment vertical="center"/>
      <protection locked="0"/>
    </xf>
    <xf numFmtId="0" fontId="83" fillId="0" borderId="66" xfId="17" applyNumberFormat="1" applyFont="1" applyFill="1" applyBorder="1" applyAlignment="1" applyProtection="1">
      <alignment vertical="center"/>
      <protection locked="0"/>
    </xf>
    <xf numFmtId="0" fontId="83" fillId="5" borderId="2" xfId="17" applyNumberFormat="1" applyFont="1" applyFill="1" applyBorder="1" applyAlignment="1" applyProtection="1">
      <alignment horizontal="left" vertical="center"/>
    </xf>
    <xf numFmtId="0" fontId="83" fillId="5" borderId="2"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vertical="center"/>
    </xf>
    <xf numFmtId="0" fontId="83" fillId="5" borderId="9" xfId="17" applyNumberFormat="1" applyFont="1" applyFill="1" applyBorder="1" applyAlignment="1" applyProtection="1">
      <alignment horizontal="center" vertical="center" wrapText="1"/>
    </xf>
    <xf numFmtId="0" fontId="105" fillId="5" borderId="0" xfId="17" applyNumberFormat="1" applyFont="1" applyFill="1" applyAlignment="1" applyProtection="1">
      <alignment horizontal="center" vertical="center"/>
      <protection locked="0"/>
    </xf>
    <xf numFmtId="0" fontId="105" fillId="0" borderId="0" xfId="17" applyNumberFormat="1" applyFont="1" applyFill="1" applyAlignment="1" applyProtection="1">
      <alignment horizontal="center" vertical="center"/>
    </xf>
    <xf numFmtId="0" fontId="110" fillId="5" borderId="0" xfId="17" applyNumberFormat="1" applyFont="1" applyFill="1" applyBorder="1" applyAlignment="1" applyProtection="1"/>
    <xf numFmtId="0" fontId="84" fillId="5" borderId="0" xfId="17" applyNumberFormat="1" applyFont="1" applyFill="1" applyBorder="1" applyAlignment="1" applyProtection="1"/>
    <xf numFmtId="0" fontId="84" fillId="5" borderId="0" xfId="17" applyNumberFormat="1" applyFont="1" applyFill="1" applyBorder="1" applyAlignment="1" applyProtection="1">
      <alignment horizontal="center"/>
    </xf>
    <xf numFmtId="0" fontId="84" fillId="5" borderId="0" xfId="17" applyNumberFormat="1" applyFont="1" applyFill="1" applyBorder="1" applyAlignment="1" applyProtection="1">
      <protection locked="0"/>
    </xf>
    <xf numFmtId="0" fontId="75" fillId="5" borderId="26" xfId="17" applyNumberFormat="1" applyFont="1" applyFill="1" applyBorder="1" applyAlignment="1" applyProtection="1">
      <alignment vertical="center" wrapText="1"/>
    </xf>
    <xf numFmtId="0" fontId="75" fillId="5" borderId="58" xfId="17" applyNumberFormat="1" applyFont="1" applyFill="1" applyBorder="1" applyAlignment="1" applyProtection="1">
      <alignment vertical="center" wrapText="1"/>
    </xf>
    <xf numFmtId="0" fontId="71" fillId="5" borderId="6" xfId="17" applyNumberFormat="1" applyFont="1" applyFill="1" applyBorder="1" applyAlignment="1" applyProtection="1">
      <alignment horizontal="center" vertical="center" wrapText="1"/>
    </xf>
    <xf numFmtId="0" fontId="71" fillId="5" borderId="0" xfId="17" applyNumberFormat="1" applyFont="1" applyFill="1" applyAlignment="1" applyProtection="1">
      <alignment horizontal="center" vertical="center"/>
      <protection locked="0"/>
    </xf>
    <xf numFmtId="0" fontId="75" fillId="5" borderId="31" xfId="17" applyNumberFormat="1" applyFont="1" applyFill="1" applyBorder="1" applyAlignment="1" applyProtection="1">
      <alignment vertical="center" wrapText="1"/>
    </xf>
    <xf numFmtId="0" fontId="75" fillId="5" borderId="18" xfId="17" applyNumberFormat="1" applyFont="1" applyFill="1" applyBorder="1" applyAlignment="1" applyProtection="1">
      <alignment vertical="center" wrapText="1"/>
    </xf>
    <xf numFmtId="0" fontId="71" fillId="5" borderId="32" xfId="17" applyNumberFormat="1" applyFont="1" applyFill="1" applyBorder="1" applyAlignment="1" applyProtection="1">
      <alignment horizontal="center" vertical="center" wrapText="1"/>
    </xf>
    <xf numFmtId="0" fontId="71" fillId="0" borderId="10" xfId="17" applyNumberFormat="1" applyFont="1" applyFill="1" applyBorder="1" applyAlignment="1" applyProtection="1">
      <alignment horizontal="center" vertical="center" wrapText="1"/>
      <protection locked="0"/>
    </xf>
    <xf numFmtId="0" fontId="75" fillId="5" borderId="54" xfId="17" applyNumberFormat="1" applyFont="1" applyFill="1" applyBorder="1" applyAlignment="1" applyProtection="1">
      <alignment vertical="center"/>
    </xf>
    <xf numFmtId="0" fontId="75" fillId="5" borderId="67" xfId="17" applyNumberFormat="1" applyFont="1" applyFill="1" applyBorder="1" applyAlignment="1" applyProtection="1">
      <alignment vertical="center" wrapText="1"/>
    </xf>
    <xf numFmtId="0" fontId="71" fillId="0" borderId="67" xfId="17" applyNumberFormat="1" applyFont="1" applyFill="1" applyBorder="1" applyAlignment="1" applyProtection="1">
      <alignment horizontal="center" vertical="center" wrapText="1"/>
      <protection locked="0"/>
    </xf>
    <xf numFmtId="0" fontId="71" fillId="0" borderId="55" xfId="17" applyNumberFormat="1" applyFont="1" applyFill="1" applyBorder="1" applyAlignment="1" applyProtection="1">
      <alignment horizontal="center" vertical="center" wrapText="1"/>
      <protection locked="0"/>
    </xf>
    <xf numFmtId="0" fontId="71" fillId="0" borderId="68" xfId="17" applyNumberFormat="1" applyFont="1" applyFill="1" applyBorder="1" applyAlignment="1" applyProtection="1">
      <alignment horizontal="center" vertical="center" wrapText="1"/>
      <protection locked="0"/>
    </xf>
    <xf numFmtId="0" fontId="71" fillId="0" borderId="69" xfId="17" applyNumberFormat="1" applyFont="1" applyFill="1" applyBorder="1" applyAlignment="1" applyProtection="1">
      <alignment horizontal="center" vertical="center" wrapText="1"/>
      <protection locked="0"/>
    </xf>
    <xf numFmtId="0" fontId="75" fillId="5" borderId="13" xfId="17" applyNumberFormat="1" applyFont="1" applyFill="1" applyBorder="1" applyAlignment="1" applyProtection="1">
      <alignment vertical="center" wrapText="1"/>
    </xf>
    <xf numFmtId="0" fontId="71" fillId="5" borderId="20" xfId="17" applyNumberFormat="1" applyFont="1" applyFill="1" applyBorder="1" applyAlignment="1" applyProtection="1">
      <alignment horizontal="center" vertical="center" wrapText="1"/>
    </xf>
    <xf numFmtId="0" fontId="71" fillId="0" borderId="21" xfId="17" applyNumberFormat="1" applyFont="1" applyFill="1" applyBorder="1" applyAlignment="1" applyProtection="1">
      <alignment horizontal="center" vertical="center" wrapText="1"/>
      <protection locked="0"/>
    </xf>
    <xf numFmtId="0" fontId="71" fillId="0" borderId="21" xfId="17" applyNumberFormat="1" applyFont="1" applyFill="1" applyBorder="1" applyAlignment="1" applyProtection="1">
      <alignment horizontal="left" vertical="center" wrapText="1"/>
      <protection locked="0"/>
    </xf>
    <xf numFmtId="0" fontId="71" fillId="0" borderId="51" xfId="17" applyNumberFormat="1" applyFont="1" applyFill="1" applyBorder="1" applyAlignment="1" applyProtection="1">
      <alignment horizontal="center" vertical="center" wrapText="1"/>
      <protection locked="0"/>
    </xf>
    <xf numFmtId="0" fontId="149" fillId="5" borderId="0" xfId="17" applyNumberFormat="1" applyFont="1" applyFill="1" applyBorder="1" applyAlignment="1" applyProtection="1">
      <alignment vertical="center"/>
      <protection locked="0"/>
    </xf>
    <xf numFmtId="0" fontId="71" fillId="0" borderId="32" xfId="17" applyNumberFormat="1" applyFont="1" applyFill="1" applyBorder="1" applyAlignment="1" applyProtection="1">
      <alignment horizontal="center" vertical="center" wrapText="1"/>
      <protection locked="0"/>
    </xf>
    <xf numFmtId="0" fontId="71" fillId="0" borderId="25" xfId="17" applyNumberFormat="1" applyFont="1" applyFill="1" applyBorder="1" applyAlignment="1" applyProtection="1">
      <alignment horizontal="center" vertical="center" wrapText="1"/>
      <protection locked="0"/>
    </xf>
    <xf numFmtId="0" fontId="83" fillId="5" borderId="53" xfId="17" applyNumberFormat="1" applyFont="1" applyFill="1" applyBorder="1" applyAlignment="1" applyProtection="1">
      <alignment vertical="center" wrapText="1"/>
    </xf>
    <xf numFmtId="0" fontId="71" fillId="5" borderId="27" xfId="17" applyNumberFormat="1" applyFont="1" applyFill="1" applyBorder="1" applyAlignment="1" applyProtection="1">
      <alignment horizontal="center" vertical="center" wrapText="1"/>
    </xf>
    <xf numFmtId="0" fontId="84" fillId="5" borderId="6" xfId="17" applyNumberFormat="1" applyFont="1" applyFill="1" applyBorder="1" applyAlignment="1" applyProtection="1">
      <alignment horizontal="center" vertical="center" wrapText="1"/>
    </xf>
    <xf numFmtId="0" fontId="84"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left" vertical="center" wrapText="1"/>
      <protection locked="0"/>
    </xf>
    <xf numFmtId="0" fontId="105" fillId="0" borderId="7" xfId="17" applyNumberFormat="1" applyFont="1" applyFill="1" applyBorder="1" applyAlignment="1" applyProtection="1">
      <alignment horizontal="center" vertical="center" wrapText="1"/>
      <protection locked="0"/>
    </xf>
    <xf numFmtId="0" fontId="80" fillId="5" borderId="70" xfId="17" applyNumberFormat="1" applyFont="1" applyFill="1" applyBorder="1" applyAlignment="1" applyProtection="1">
      <alignment horizontal="center" vertical="center" wrapText="1"/>
    </xf>
    <xf numFmtId="0" fontId="84" fillId="0" borderId="71" xfId="17" applyNumberFormat="1" applyFont="1" applyFill="1" applyBorder="1" applyAlignment="1" applyProtection="1">
      <alignment horizontal="center" vertical="center" wrapText="1"/>
      <protection locked="0"/>
    </xf>
    <xf numFmtId="0" fontId="84" fillId="0" borderId="71" xfId="17" applyNumberFormat="1" applyFont="1" applyFill="1" applyBorder="1" applyAlignment="1" applyProtection="1">
      <alignment horizontal="center" vertical="center" wrapText="1"/>
    </xf>
    <xf numFmtId="0" fontId="84" fillId="0" borderId="72" xfId="17" applyNumberFormat="1" applyFont="1" applyFill="1" applyBorder="1" applyAlignment="1" applyProtection="1">
      <alignment horizontal="center" vertical="center" wrapText="1"/>
    </xf>
    <xf numFmtId="0" fontId="84" fillId="5" borderId="0" xfId="17" applyNumberFormat="1" applyFont="1" applyFill="1" applyBorder="1" applyAlignment="1" applyProtection="1">
      <alignment horizontal="center" vertical="center" wrapText="1"/>
      <protection locked="0"/>
    </xf>
    <xf numFmtId="0" fontId="71" fillId="5" borderId="73" xfId="17" applyNumberFormat="1" applyFont="1" applyFill="1" applyBorder="1" applyAlignment="1" applyProtection="1">
      <alignment horizontal="center" vertical="center" wrapText="1"/>
    </xf>
    <xf numFmtId="0" fontId="84"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left" vertical="center" wrapText="1"/>
    </xf>
    <xf numFmtId="0" fontId="105" fillId="5" borderId="75" xfId="17" applyNumberFormat="1" applyFont="1" applyFill="1" applyBorder="1" applyAlignment="1" applyProtection="1">
      <alignment horizontal="center" vertical="center" wrapText="1"/>
    </xf>
    <xf numFmtId="0" fontId="71" fillId="5" borderId="70" xfId="17" applyNumberFormat="1" applyFont="1" applyFill="1" applyBorder="1" applyAlignment="1" applyProtection="1">
      <alignment horizontal="center" vertical="center" wrapText="1"/>
    </xf>
    <xf numFmtId="0" fontId="84" fillId="5" borderId="71" xfId="17" applyNumberFormat="1" applyFont="1" applyFill="1" applyBorder="1" applyAlignment="1" applyProtection="1">
      <alignment horizontal="center" vertical="center" wrapText="1"/>
    </xf>
    <xf numFmtId="0" fontId="84" fillId="5" borderId="72" xfId="17" applyNumberFormat="1" applyFont="1" applyFill="1" applyBorder="1" applyAlignment="1" applyProtection="1">
      <alignment horizontal="center" vertical="center" wrapText="1"/>
    </xf>
    <xf numFmtId="0" fontId="71" fillId="5" borderId="3" xfId="17" applyNumberFormat="1" applyFont="1" applyFill="1" applyBorder="1" applyAlignment="1" applyProtection="1">
      <alignment horizontal="center" vertical="center" wrapText="1"/>
    </xf>
    <xf numFmtId="0" fontId="84" fillId="5" borderId="21" xfId="17" applyNumberFormat="1" applyFont="1" applyFill="1" applyBorder="1" applyAlignment="1" applyProtection="1">
      <alignment horizontal="center" vertical="center" wrapText="1"/>
    </xf>
    <xf numFmtId="0" fontId="80" fillId="5" borderId="3" xfId="17" applyNumberFormat="1" applyFont="1" applyFill="1" applyBorder="1" applyAlignment="1" applyProtection="1">
      <alignment horizontal="center" vertical="center" wrapText="1"/>
    </xf>
    <xf numFmtId="0" fontId="84" fillId="0" borderId="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left" vertical="center" wrapText="1"/>
      <protection locked="0"/>
    </xf>
    <xf numFmtId="0" fontId="105" fillId="0" borderId="12" xfId="17" applyNumberFormat="1" applyFont="1" applyFill="1" applyBorder="1" applyAlignment="1" applyProtection="1">
      <alignment horizontal="center" vertical="center" wrapText="1"/>
      <protection locked="0"/>
    </xf>
    <xf numFmtId="0" fontId="100" fillId="5" borderId="24" xfId="17" applyNumberFormat="1" applyFont="1" applyFill="1" applyBorder="1" applyAlignment="1" applyProtection="1">
      <alignment vertical="center" wrapText="1"/>
    </xf>
    <xf numFmtId="0" fontId="71"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left" vertical="center" wrapText="1"/>
      <protection locked="0"/>
    </xf>
    <xf numFmtId="0" fontId="80" fillId="0" borderId="75" xfId="17" applyNumberFormat="1" applyFont="1" applyFill="1" applyBorder="1" applyAlignment="1" applyProtection="1">
      <alignment horizontal="center" vertical="center" wrapText="1"/>
      <protection locked="0"/>
    </xf>
    <xf numFmtId="0" fontId="80" fillId="5" borderId="0" xfId="17" applyNumberFormat="1" applyFont="1" applyFill="1" applyAlignment="1" applyProtection="1">
      <alignment horizontal="center" vertical="center"/>
      <protection locked="0"/>
    </xf>
    <xf numFmtId="0" fontId="71" fillId="0" borderId="71" xfId="17" applyNumberFormat="1" applyFont="1" applyFill="1" applyBorder="1" applyAlignment="1" applyProtection="1">
      <alignment horizontal="center" vertical="center" wrapText="1"/>
      <protection locked="0"/>
    </xf>
    <xf numFmtId="0" fontId="84" fillId="0" borderId="72" xfId="17" applyNumberFormat="1" applyFont="1" applyFill="1" applyBorder="1" applyAlignment="1" applyProtection="1">
      <alignment horizontal="center" vertical="center" wrapText="1"/>
      <protection locked="0"/>
    </xf>
    <xf numFmtId="0" fontId="80" fillId="0" borderId="71" xfId="17" applyNumberFormat="1" applyFont="1" applyFill="1" applyBorder="1" applyAlignment="1" applyProtection="1">
      <alignment horizontal="center" vertical="center" wrapText="1"/>
      <protection locked="0"/>
    </xf>
    <xf numFmtId="0" fontId="80" fillId="0" borderId="72"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left" vertical="center" wrapText="1"/>
      <protection locked="0"/>
    </xf>
    <xf numFmtId="0" fontId="80" fillId="0" borderId="51"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vertical="center" wrapText="1"/>
      <protection locked="0"/>
    </xf>
    <xf numFmtId="0" fontId="100" fillId="5" borderId="23" xfId="17" applyNumberFormat="1" applyFont="1" applyFill="1" applyBorder="1" applyAlignment="1" applyProtection="1">
      <alignment vertical="center" wrapText="1"/>
    </xf>
    <xf numFmtId="0" fontId="71" fillId="5" borderId="55" xfId="17" applyNumberFormat="1" applyFont="1" applyFill="1" applyBorder="1" applyAlignment="1" applyProtection="1">
      <alignment horizontal="center" vertical="center" wrapText="1"/>
    </xf>
    <xf numFmtId="0" fontId="71" fillId="0" borderId="44" xfId="17" applyNumberFormat="1" applyFont="1" applyFill="1" applyBorder="1" applyAlignment="1" applyProtection="1">
      <alignment horizontal="center" vertical="center" wrapText="1"/>
      <protection locked="0"/>
    </xf>
    <xf numFmtId="0" fontId="80" fillId="0" borderId="44" xfId="17" applyNumberFormat="1" applyFont="1" applyFill="1" applyBorder="1" applyAlignment="1" applyProtection="1">
      <alignment horizontal="center" vertical="center" wrapText="1"/>
      <protection locked="0"/>
    </xf>
    <xf numFmtId="0" fontId="80" fillId="0" borderId="46" xfId="17" applyNumberFormat="1" applyFont="1" applyFill="1" applyBorder="1" applyAlignment="1" applyProtection="1">
      <alignment horizontal="center" vertical="center" wrapText="1"/>
      <protection locked="0"/>
    </xf>
    <xf numFmtId="0" fontId="105" fillId="5" borderId="6" xfId="17" applyNumberFormat="1" applyFont="1" applyFill="1" applyBorder="1" applyAlignment="1" applyProtection="1">
      <alignment horizontal="center" vertical="center" wrapText="1"/>
    </xf>
    <xf numFmtId="0" fontId="105" fillId="5" borderId="6" xfId="17" applyNumberFormat="1" applyFont="1" applyFill="1" applyBorder="1" applyAlignment="1" applyProtection="1">
      <alignment horizontal="left" vertical="center" wrapText="1"/>
    </xf>
    <xf numFmtId="0" fontId="105" fillId="5" borderId="7" xfId="17" applyNumberFormat="1" applyFont="1" applyFill="1" applyBorder="1" applyAlignment="1" applyProtection="1">
      <alignment horizontal="center" vertical="center" wrapText="1"/>
    </xf>
    <xf numFmtId="0" fontId="71" fillId="5" borderId="74" xfId="17" applyNumberFormat="1" applyFont="1" applyFill="1" applyBorder="1" applyAlignment="1" applyProtection="1">
      <alignment horizontal="center" vertical="center" wrapText="1"/>
    </xf>
    <xf numFmtId="0" fontId="52" fillId="5" borderId="73" xfId="17" applyNumberFormat="1" applyFont="1" applyFill="1" applyBorder="1" applyAlignment="1" applyProtection="1">
      <alignment horizontal="center" vertical="center" wrapText="1"/>
    </xf>
    <xf numFmtId="0" fontId="52" fillId="5" borderId="3" xfId="17" applyNumberFormat="1" applyFont="1" applyFill="1" applyBorder="1" applyAlignment="1" applyProtection="1">
      <alignment horizontal="center" vertical="center" wrapText="1"/>
    </xf>
    <xf numFmtId="0" fontId="58" fillId="5" borderId="3" xfId="17" applyNumberFormat="1" applyFont="1" applyFill="1" applyBorder="1" applyAlignment="1" applyProtection="1">
      <alignment horizontal="center" vertical="center" wrapText="1"/>
    </xf>
    <xf numFmtId="0" fontId="84" fillId="5" borderId="75"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71" fillId="0" borderId="74" xfId="17" applyNumberFormat="1" applyFont="1" applyFill="1" applyBorder="1" applyAlignment="1" applyProtection="1">
      <alignment horizontal="left" vertical="center" wrapText="1"/>
      <protection locked="0"/>
    </xf>
    <xf numFmtId="0" fontId="71" fillId="0" borderId="75" xfId="17" applyNumberFormat="1" applyFont="1" applyFill="1" applyBorder="1" applyAlignment="1" applyProtection="1">
      <alignment horizontal="center" vertical="center" wrapText="1"/>
      <protection locked="0"/>
    </xf>
    <xf numFmtId="0" fontId="71" fillId="5" borderId="71" xfId="17" applyNumberFormat="1" applyFont="1" applyFill="1" applyBorder="1" applyAlignment="1" applyProtection="1">
      <alignment horizontal="center" vertical="center" wrapText="1"/>
    </xf>
    <xf numFmtId="0" fontId="71" fillId="0" borderId="78" xfId="17" applyNumberFormat="1" applyFont="1" applyFill="1" applyBorder="1" applyAlignment="1" applyProtection="1">
      <alignment horizontal="center" vertical="center"/>
      <protection locked="0"/>
    </xf>
    <xf numFmtId="0" fontId="81" fillId="0" borderId="74" xfId="17" applyNumberFormat="1" applyFont="1" applyFill="1" applyBorder="1" applyAlignment="1" applyProtection="1">
      <alignment horizontal="center" vertical="center" wrapText="1"/>
      <protection locked="0"/>
    </xf>
    <xf numFmtId="0" fontId="84"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left" vertical="center" wrapText="1"/>
      <protection locked="0"/>
    </xf>
    <xf numFmtId="0" fontId="105" fillId="0" borderId="75" xfId="17" applyNumberFormat="1" applyFont="1" applyFill="1" applyBorder="1" applyAlignment="1" applyProtection="1">
      <alignment horizontal="center" vertical="center" wrapText="1"/>
      <protection locked="0"/>
    </xf>
    <xf numFmtId="0" fontId="84"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left" vertical="center" wrapText="1"/>
      <protection locked="0"/>
    </xf>
    <xf numFmtId="0" fontId="105" fillId="0" borderId="51" xfId="17" applyNumberFormat="1" applyFont="1" applyFill="1" applyBorder="1" applyAlignment="1" applyProtection="1">
      <alignment horizontal="center" vertical="center" wrapText="1"/>
      <protection locked="0"/>
    </xf>
    <xf numFmtId="0" fontId="84" fillId="0" borderId="44" xfId="17" applyNumberFormat="1" applyFont="1" applyFill="1" applyBorder="1" applyAlignment="1" applyProtection="1">
      <alignment horizontal="center" vertical="center" wrapText="1"/>
      <protection locked="0"/>
    </xf>
    <xf numFmtId="0" fontId="84" fillId="0" borderId="46" xfId="17" applyNumberFormat="1" applyFont="1" applyFill="1" applyBorder="1" applyAlignment="1" applyProtection="1">
      <alignment horizontal="center" vertical="center" wrapText="1"/>
      <protection locked="0"/>
    </xf>
    <xf numFmtId="0" fontId="144" fillId="0" borderId="6"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xf>
    <xf numFmtId="0" fontId="71" fillId="0" borderId="2" xfId="17" applyNumberFormat="1" applyFont="1" applyFill="1" applyBorder="1" applyAlignment="1" applyProtection="1">
      <alignment horizontal="center" vertical="center" wrapText="1"/>
      <protection locked="0"/>
    </xf>
    <xf numFmtId="0" fontId="80" fillId="0" borderId="2" xfId="17" applyNumberFormat="1" applyFont="1" applyFill="1" applyBorder="1" applyAlignment="1" applyProtection="1">
      <alignment horizontal="center" vertical="center" wrapText="1"/>
      <protection locked="0"/>
    </xf>
    <xf numFmtId="0" fontId="80" fillId="0" borderId="2" xfId="17" applyNumberFormat="1" applyFont="1" applyFill="1" applyBorder="1" applyAlignment="1" applyProtection="1">
      <alignment horizontal="left" vertical="center" wrapText="1"/>
      <protection locked="0"/>
    </xf>
    <xf numFmtId="0" fontId="80" fillId="0" borderId="12" xfId="17" applyNumberFormat="1" applyFont="1" applyFill="1" applyBorder="1" applyAlignment="1" applyProtection="1">
      <alignment horizontal="center" vertical="center" wrapText="1"/>
      <protection locked="0"/>
    </xf>
    <xf numFmtId="0" fontId="144" fillId="0" borderId="74" xfId="17" applyNumberFormat="1" applyFont="1" applyFill="1" applyBorder="1" applyAlignment="1" applyProtection="1">
      <alignment horizontal="center" vertical="center" wrapText="1"/>
      <protection locked="0"/>
    </xf>
    <xf numFmtId="0" fontId="80" fillId="5" borderId="74" xfId="17" applyNumberFormat="1" applyFont="1" applyFill="1" applyBorder="1" applyAlignment="1" applyProtection="1">
      <alignment horizontal="center" vertical="center" wrapText="1"/>
    </xf>
    <xf numFmtId="0" fontId="80" fillId="5" borderId="74" xfId="17" applyNumberFormat="1" applyFont="1" applyFill="1" applyBorder="1" applyAlignment="1" applyProtection="1">
      <alignment horizontal="left" vertical="center" wrapText="1"/>
    </xf>
    <xf numFmtId="0" fontId="80" fillId="5" borderId="75" xfId="17" applyNumberFormat="1" applyFont="1" applyFill="1" applyBorder="1" applyAlignment="1" applyProtection="1">
      <alignment horizontal="center" vertical="center" wrapText="1"/>
    </xf>
    <xf numFmtId="0" fontId="80" fillId="5" borderId="2" xfId="17" applyNumberFormat="1" applyFont="1" applyFill="1" applyBorder="1" applyAlignment="1" applyProtection="1">
      <alignment horizontal="left" vertical="center" wrapText="1"/>
    </xf>
    <xf numFmtId="0" fontId="80" fillId="5" borderId="12" xfId="17" applyNumberFormat="1" applyFont="1" applyFill="1" applyBorder="1" applyAlignment="1" applyProtection="1">
      <alignment horizontal="center" vertical="center" wrapText="1"/>
    </xf>
    <xf numFmtId="0" fontId="80" fillId="5" borderId="71" xfId="17" applyNumberFormat="1" applyFont="1" applyFill="1" applyBorder="1" applyAlignment="1" applyProtection="1">
      <alignment horizontal="center" vertical="center" wrapText="1"/>
    </xf>
    <xf numFmtId="0" fontId="80" fillId="5" borderId="72" xfId="17" applyNumberFormat="1" applyFont="1" applyFill="1" applyBorder="1" applyAlignment="1" applyProtection="1">
      <alignment horizontal="center" vertical="center" wrapText="1"/>
    </xf>
    <xf numFmtId="0" fontId="84" fillId="0" borderId="0" xfId="17" applyNumberFormat="1" applyFont="1" applyFill="1" applyAlignment="1" applyProtection="1">
      <alignment horizontal="center" vertical="center"/>
      <protection locked="0"/>
    </xf>
    <xf numFmtId="0" fontId="183" fillId="0" borderId="0" xfId="17" applyNumberFormat="1" applyFont="1" applyFill="1" applyAlignment="1" applyProtection="1">
      <alignment horizontal="left" vertical="center"/>
      <protection locked="0"/>
    </xf>
    <xf numFmtId="0" fontId="58" fillId="0" borderId="0" xfId="17" applyNumberFormat="1" applyFont="1" applyFill="1" applyAlignment="1" applyProtection="1">
      <alignment horizontal="center" vertical="center"/>
      <protection locked="0"/>
    </xf>
    <xf numFmtId="0" fontId="160" fillId="5" borderId="26" xfId="17" applyNumberFormat="1" applyFont="1" applyFill="1" applyBorder="1" applyAlignment="1" applyProtection="1">
      <alignment horizontal="center" vertical="center"/>
    </xf>
    <xf numFmtId="0" fontId="140" fillId="5" borderId="28" xfId="17" applyNumberFormat="1" applyFont="1" applyFill="1" applyBorder="1" applyAlignment="1" applyProtection="1">
      <alignment horizontal="center" vertical="center"/>
    </xf>
    <xf numFmtId="0" fontId="58" fillId="5" borderId="28" xfId="17" applyNumberFormat="1" applyFont="1" applyFill="1" applyBorder="1" applyAlignment="1" applyProtection="1">
      <alignment horizontal="center" vertical="center"/>
    </xf>
    <xf numFmtId="0" fontId="58" fillId="5" borderId="39" xfId="17" applyNumberFormat="1" applyFont="1" applyFill="1" applyBorder="1" applyAlignment="1" applyProtection="1">
      <alignment horizontal="center" vertical="center"/>
    </xf>
    <xf numFmtId="0" fontId="160" fillId="5" borderId="28" xfId="17" applyNumberFormat="1" applyFont="1" applyFill="1" applyBorder="1" applyAlignment="1" applyProtection="1">
      <alignment horizontal="center" vertical="center"/>
    </xf>
    <xf numFmtId="0" fontId="140" fillId="5" borderId="39" xfId="17" applyNumberFormat="1" applyFont="1" applyFill="1" applyBorder="1" applyAlignment="1" applyProtection="1">
      <alignment horizontal="center" vertical="center"/>
    </xf>
    <xf numFmtId="0" fontId="140" fillId="5" borderId="87" xfId="17" applyNumberFormat="1" applyFont="1" applyFill="1" applyBorder="1" applyProtection="1">
      <alignment vertical="center"/>
    </xf>
    <xf numFmtId="0" fontId="160" fillId="5" borderId="2" xfId="17" applyNumberFormat="1" applyFont="1" applyFill="1" applyBorder="1" applyAlignment="1" applyProtection="1">
      <alignment horizontal="center" vertical="center"/>
    </xf>
    <xf numFmtId="0" fontId="160" fillId="5" borderId="5" xfId="17" applyNumberFormat="1" applyFont="1" applyFill="1" applyBorder="1" applyAlignment="1" applyProtection="1">
      <alignment horizontal="center" vertical="center"/>
    </xf>
    <xf numFmtId="0" fontId="160" fillId="5" borderId="94" xfId="17" applyNumberFormat="1" applyFont="1" applyFill="1" applyBorder="1" applyAlignment="1" applyProtection="1">
      <alignment horizontal="center" vertical="center"/>
    </xf>
    <xf numFmtId="0" fontId="160" fillId="5" borderId="12" xfId="17" applyNumberFormat="1" applyFont="1" applyFill="1" applyBorder="1" applyAlignment="1" applyProtection="1">
      <alignment horizontal="center" vertical="center"/>
    </xf>
    <xf numFmtId="0" fontId="140" fillId="5" borderId="19" xfId="17" applyNumberFormat="1" applyFont="1" applyFill="1" applyBorder="1" applyAlignment="1" applyProtection="1">
      <alignment horizontal="center" vertical="center"/>
    </xf>
    <xf numFmtId="0" fontId="106" fillId="5" borderId="50" xfId="17" applyNumberFormat="1" applyFont="1" applyFill="1" applyBorder="1" applyAlignment="1" applyProtection="1">
      <alignment horizontal="center" vertical="center"/>
    </xf>
    <xf numFmtId="0" fontId="106" fillId="0" borderId="21" xfId="17" applyNumberFormat="1" applyFont="1" applyBorder="1" applyAlignment="1" applyProtection="1">
      <alignment horizontal="center" vertical="center"/>
      <protection locked="0"/>
    </xf>
    <xf numFmtId="0" fontId="160" fillId="0" borderId="21" xfId="17" applyNumberFormat="1" applyFont="1" applyBorder="1" applyAlignment="1" applyProtection="1">
      <alignment horizontal="center" vertical="center"/>
      <protection locked="0"/>
    </xf>
    <xf numFmtId="0" fontId="106" fillId="0" borderId="17" xfId="17" applyNumberFormat="1" applyFont="1" applyBorder="1" applyAlignment="1" applyProtection="1">
      <alignment horizontal="center" vertical="center"/>
      <protection locked="0"/>
    </xf>
    <xf numFmtId="0" fontId="106" fillId="0" borderId="93" xfId="17" applyNumberFormat="1" applyFont="1" applyFill="1" applyBorder="1" applyAlignment="1" applyProtection="1">
      <alignment horizontal="center" vertical="center"/>
      <protection locked="0"/>
    </xf>
    <xf numFmtId="0" fontId="106" fillId="0" borderId="51" xfId="17" applyNumberFormat="1" applyFont="1" applyBorder="1" applyAlignment="1" applyProtection="1">
      <alignment horizontal="center" vertical="center"/>
      <protection locked="0"/>
    </xf>
    <xf numFmtId="0" fontId="160" fillId="5" borderId="20" xfId="17" applyNumberFormat="1" applyFont="1" applyFill="1" applyBorder="1" applyAlignment="1" applyProtection="1">
      <alignment horizontal="center" vertical="center"/>
    </xf>
    <xf numFmtId="0" fontId="106" fillId="5" borderId="51" xfId="17" applyNumberFormat="1" applyFont="1" applyFill="1" applyBorder="1" applyAlignment="1" applyProtection="1">
      <alignment horizontal="center" vertical="center"/>
    </xf>
    <xf numFmtId="0" fontId="106" fillId="5" borderId="11" xfId="17" applyNumberFormat="1" applyFont="1" applyFill="1" applyBorder="1" applyAlignment="1" applyProtection="1">
      <alignment horizontal="center" vertical="center"/>
    </xf>
    <xf numFmtId="0" fontId="106" fillId="0" borderId="2" xfId="17" applyNumberFormat="1" applyFont="1" applyBorder="1" applyAlignment="1" applyProtection="1">
      <alignment horizontal="center" vertical="center"/>
      <protection locked="0"/>
    </xf>
    <xf numFmtId="0" fontId="140" fillId="0" borderId="2" xfId="17" applyNumberFormat="1" applyFont="1" applyBorder="1" applyAlignment="1" applyProtection="1">
      <alignment horizontal="center" vertical="center"/>
      <protection locked="0"/>
    </xf>
    <xf numFmtId="0" fontId="106" fillId="0" borderId="5" xfId="17" applyNumberFormat="1" applyFont="1" applyBorder="1" applyAlignment="1" applyProtection="1">
      <alignment horizontal="center" vertical="center"/>
      <protection locked="0"/>
    </xf>
    <xf numFmtId="0" fontId="106" fillId="0" borderId="94" xfId="17" applyNumberFormat="1" applyFont="1" applyFill="1" applyBorder="1" applyAlignment="1" applyProtection="1">
      <alignment horizontal="center" vertical="center"/>
      <protection locked="0"/>
    </xf>
    <xf numFmtId="0" fontId="106" fillId="0" borderId="12" xfId="17" applyNumberFormat="1" applyFont="1" applyBorder="1" applyAlignment="1" applyProtection="1">
      <alignment horizontal="center" vertical="center"/>
      <protection locked="0"/>
    </xf>
    <xf numFmtId="0" fontId="160" fillId="5" borderId="9" xfId="17" applyNumberFormat="1" applyFont="1" applyFill="1" applyBorder="1" applyAlignment="1" applyProtection="1">
      <alignment horizontal="center" vertical="center"/>
    </xf>
    <xf numFmtId="0" fontId="106" fillId="5" borderId="2" xfId="17" applyNumberFormat="1" applyFont="1" applyFill="1" applyBorder="1" applyAlignment="1" applyProtection="1">
      <alignment horizontal="center" vertical="center"/>
    </xf>
    <xf numFmtId="0" fontId="106" fillId="5" borderId="12" xfId="17" applyNumberFormat="1" applyFont="1" applyFill="1" applyBorder="1" applyAlignment="1" applyProtection="1">
      <alignment horizontal="center" vertical="center"/>
    </xf>
    <xf numFmtId="0" fontId="160" fillId="0" borderId="2" xfId="17" applyNumberFormat="1" applyFont="1" applyBorder="1" applyAlignment="1" applyProtection="1">
      <alignment horizontal="center" vertical="center"/>
      <protection locked="0"/>
    </xf>
    <xf numFmtId="0" fontId="149" fillId="0" borderId="94" xfId="17" applyNumberFormat="1" applyFont="1" applyFill="1" applyBorder="1" applyAlignment="1" applyProtection="1">
      <alignment horizontal="center" vertical="center"/>
      <protection locked="0"/>
    </xf>
    <xf numFmtId="0" fontId="160" fillId="5" borderId="43" xfId="17" applyNumberFormat="1" applyFont="1" applyFill="1" applyBorder="1" applyAlignment="1" applyProtection="1">
      <alignment horizontal="center" vertical="center"/>
    </xf>
    <xf numFmtId="0" fontId="106" fillId="5" borderId="44" xfId="17" applyNumberFormat="1" applyFont="1" applyFill="1" applyBorder="1" applyAlignment="1" applyProtection="1">
      <alignment horizontal="center" vertical="center"/>
    </xf>
    <xf numFmtId="0" fontId="140" fillId="5" borderId="61" xfId="17" applyNumberFormat="1" applyFont="1" applyFill="1" applyBorder="1" applyAlignment="1" applyProtection="1">
      <alignment horizontal="center" vertical="center"/>
    </xf>
    <xf numFmtId="0" fontId="140" fillId="5" borderId="95" xfId="17" applyNumberFormat="1" applyFont="1" applyFill="1" applyBorder="1" applyAlignment="1" applyProtection="1">
      <alignment horizontal="left" vertical="center"/>
    </xf>
    <xf numFmtId="0" fontId="58" fillId="5" borderId="61" xfId="17" applyNumberFormat="1" applyFont="1" applyFill="1" applyBorder="1" applyAlignment="1" applyProtection="1">
      <alignment horizontal="center" vertical="center"/>
    </xf>
    <xf numFmtId="0" fontId="58" fillId="5" borderId="66" xfId="17" applyNumberFormat="1" applyFont="1" applyFill="1" applyBorder="1" applyAlignment="1" applyProtection="1">
      <alignment horizontal="center" vertical="center"/>
    </xf>
    <xf numFmtId="0" fontId="160" fillId="5" borderId="47" xfId="17" applyNumberFormat="1" applyFont="1" applyFill="1" applyBorder="1" applyAlignment="1" applyProtection="1">
      <alignment horizontal="center" vertical="center"/>
    </xf>
    <xf numFmtId="0" fontId="106" fillId="0" borderId="44" xfId="17" applyNumberFormat="1" applyFont="1" applyBorder="1" applyAlignment="1" applyProtection="1">
      <alignment horizontal="center" vertical="center"/>
      <protection locked="0"/>
    </xf>
    <xf numFmtId="0" fontId="106" fillId="5" borderId="46" xfId="17" applyNumberFormat="1" applyFont="1" applyFill="1" applyBorder="1" applyAlignment="1" applyProtection="1">
      <alignment horizontal="center" vertical="center"/>
    </xf>
    <xf numFmtId="0" fontId="202" fillId="0" borderId="0" xfId="17" applyNumberFormat="1" applyFont="1" applyFill="1" applyAlignment="1" applyProtection="1">
      <alignment horizontal="left" vertical="center"/>
      <protection locked="0"/>
    </xf>
    <xf numFmtId="0" fontId="101" fillId="5" borderId="14" xfId="17" applyNumberFormat="1" applyFont="1" applyFill="1" applyBorder="1" applyAlignment="1" applyProtection="1">
      <alignment horizontal="right" vertical="center"/>
    </xf>
    <xf numFmtId="0" fontId="101" fillId="5" borderId="0" xfId="17" applyNumberFormat="1" applyFont="1" applyFill="1" applyAlignment="1" applyProtection="1">
      <alignment horizontal="center" vertical="center"/>
    </xf>
    <xf numFmtId="0" fontId="217" fillId="2" borderId="14" xfId="17" applyNumberFormat="1" applyFont="1" applyFill="1" applyBorder="1" applyAlignment="1" applyProtection="1">
      <alignment vertical="center"/>
      <protection locked="0"/>
    </xf>
    <xf numFmtId="0" fontId="97" fillId="5" borderId="2" xfId="17" applyNumberFormat="1" applyFont="1" applyFill="1" applyBorder="1" applyAlignment="1" applyProtection="1">
      <alignment horizontal="right" vertical="center"/>
    </xf>
    <xf numFmtId="0" fontId="98" fillId="5" borderId="0" xfId="17" applyNumberFormat="1" applyFont="1" applyFill="1" applyAlignment="1" applyProtection="1">
      <alignment horizontal="center" vertical="center"/>
      <protection locked="0"/>
    </xf>
    <xf numFmtId="0" fontId="102" fillId="5" borderId="0" xfId="17" applyNumberFormat="1" applyFont="1" applyFill="1" applyBorder="1" applyAlignment="1" applyProtection="1">
      <alignment vertical="center"/>
      <protection locked="0"/>
    </xf>
    <xf numFmtId="0" fontId="101" fillId="5" borderId="0" xfId="17" applyNumberFormat="1" applyFont="1" applyFill="1" applyBorder="1" applyAlignment="1" applyProtection="1">
      <alignment vertical="center"/>
      <protection locked="0"/>
    </xf>
    <xf numFmtId="0" fontId="101" fillId="5" borderId="0" xfId="17" applyNumberFormat="1" applyFont="1" applyFill="1" applyBorder="1" applyAlignment="1" applyProtection="1">
      <alignment horizontal="center" vertical="center"/>
      <protection locked="0"/>
    </xf>
    <xf numFmtId="0" fontId="98" fillId="5" borderId="0" xfId="17" applyNumberFormat="1" applyFont="1" applyFill="1" applyAlignment="1" applyProtection="1">
      <alignment horizontal="center" vertical="center"/>
    </xf>
    <xf numFmtId="0" fontId="71" fillId="5" borderId="9" xfId="17" applyNumberFormat="1" applyFont="1" applyFill="1" applyBorder="1" applyAlignment="1" applyProtection="1">
      <alignment horizontal="center" vertical="center" wrapText="1"/>
    </xf>
    <xf numFmtId="0" fontId="106" fillId="0" borderId="9" xfId="17" applyNumberFormat="1" applyFont="1" applyFill="1" applyBorder="1" applyAlignment="1" applyProtection="1">
      <alignment horizontal="center" vertical="center" wrapText="1"/>
      <protection locked="0"/>
    </xf>
    <xf numFmtId="0" fontId="84" fillId="0" borderId="8" xfId="17" applyNumberFormat="1" applyFont="1" applyFill="1" applyBorder="1" applyAlignment="1" applyProtection="1">
      <alignment horizontal="center" vertical="center" wrapText="1"/>
      <protection locked="0"/>
    </xf>
    <xf numFmtId="0" fontId="106" fillId="5" borderId="9" xfId="17" applyNumberFormat="1" applyFont="1" applyFill="1" applyBorder="1" applyAlignment="1" applyProtection="1">
      <alignment horizontal="center" vertical="center" wrapText="1"/>
    </xf>
    <xf numFmtId="0" fontId="144" fillId="0" borderId="53" xfId="17" applyNumberFormat="1" applyFont="1" applyFill="1" applyBorder="1" applyAlignment="1" applyProtection="1">
      <alignment horizontal="center" vertical="center" wrapText="1"/>
      <protection locked="0"/>
    </xf>
    <xf numFmtId="0" fontId="106" fillId="0" borderId="22" xfId="17" applyNumberFormat="1" applyFont="1" applyFill="1" applyBorder="1" applyAlignment="1" applyProtection="1">
      <alignment horizontal="center" vertical="center" wrapText="1"/>
      <protection locked="0"/>
    </xf>
    <xf numFmtId="0" fontId="106" fillId="5" borderId="50" xfId="17" applyNumberFormat="1" applyFont="1" applyFill="1" applyBorder="1" applyAlignment="1" applyProtection="1">
      <alignment horizontal="center" vertical="center" wrapText="1"/>
    </xf>
    <xf numFmtId="0" fontId="144" fillId="0" borderId="24" xfId="17" applyNumberFormat="1" applyFont="1" applyFill="1" applyBorder="1" applyAlignment="1" applyProtection="1">
      <alignment horizontal="center" vertical="center" wrapText="1"/>
      <protection locked="0"/>
    </xf>
    <xf numFmtId="0" fontId="106" fillId="5" borderId="24" xfId="17" applyNumberFormat="1" applyFont="1" applyFill="1" applyBorder="1" applyAlignment="1" applyProtection="1">
      <alignment horizontal="center" vertical="center" wrapText="1"/>
    </xf>
    <xf numFmtId="0" fontId="144" fillId="16" borderId="18" xfId="17" applyNumberFormat="1" applyFont="1" applyFill="1" applyBorder="1" applyAlignment="1" applyProtection="1">
      <alignment horizontal="center" vertical="center" wrapText="1"/>
      <protection locked="0"/>
    </xf>
    <xf numFmtId="0" fontId="84" fillId="2" borderId="64" xfId="17" applyNumberFormat="1" applyFont="1" applyFill="1" applyBorder="1" applyAlignment="1" applyProtection="1">
      <alignment horizontal="center" vertical="center" wrapText="1"/>
      <protection locked="0"/>
    </xf>
    <xf numFmtId="0" fontId="71" fillId="2" borderId="50" xfId="17" applyNumberFormat="1" applyFont="1" applyFill="1" applyBorder="1" applyAlignment="1" applyProtection="1">
      <alignment horizontal="center" vertical="center" wrapText="1"/>
      <protection locked="0"/>
    </xf>
    <xf numFmtId="0" fontId="81" fillId="0" borderId="5" xfId="17" applyNumberFormat="1" applyFont="1" applyFill="1" applyBorder="1" applyAlignment="1" applyProtection="1">
      <alignment horizontal="center" vertical="center" wrapText="1"/>
      <protection locked="0"/>
    </xf>
    <xf numFmtId="0" fontId="253" fillId="5" borderId="53" xfId="17" applyNumberFormat="1" applyFont="1" applyFill="1" applyBorder="1" applyAlignment="1" applyProtection="1">
      <alignment vertical="center" wrapText="1"/>
    </xf>
    <xf numFmtId="0" fontId="84" fillId="2" borderId="1" xfId="17" applyNumberFormat="1" applyFont="1" applyFill="1" applyBorder="1" applyAlignment="1" applyProtection="1">
      <alignment horizontal="center" vertical="center" wrapText="1"/>
      <protection locked="0"/>
    </xf>
    <xf numFmtId="0" fontId="84" fillId="5" borderId="7" xfId="17" applyNumberFormat="1" applyFont="1" applyFill="1" applyBorder="1" applyAlignment="1" applyProtection="1">
      <alignment horizontal="center" vertical="center" wrapText="1"/>
    </xf>
    <xf numFmtId="0" fontId="83" fillId="0" borderId="24" xfId="17" applyNumberFormat="1" applyFont="1" applyFill="1" applyBorder="1" applyAlignment="1" applyProtection="1">
      <alignment vertical="center" textRotation="255" wrapText="1"/>
    </xf>
    <xf numFmtId="0" fontId="71" fillId="0" borderId="5" xfId="17" applyNumberFormat="1" applyFont="1" applyFill="1" applyBorder="1" applyAlignment="1" applyProtection="1">
      <alignment horizontal="center" vertical="center" wrapText="1"/>
    </xf>
    <xf numFmtId="0" fontId="84" fillId="0" borderId="11" xfId="17" applyNumberFormat="1" applyFont="1" applyFill="1" applyBorder="1" applyAlignment="1" applyProtection="1">
      <alignment horizontal="center" vertical="center" wrapText="1"/>
      <protection locked="0"/>
    </xf>
    <xf numFmtId="0" fontId="84" fillId="0" borderId="12" xfId="17" applyNumberFormat="1" applyFont="1" applyFill="1" applyBorder="1" applyAlignment="1" applyProtection="1">
      <alignment horizontal="center" vertical="center" wrapText="1"/>
    </xf>
    <xf numFmtId="0" fontId="84" fillId="0" borderId="5" xfId="17" applyNumberFormat="1" applyFont="1" applyFill="1" applyBorder="1" applyAlignment="1" applyProtection="1">
      <alignment horizontal="center" vertical="center" wrapText="1"/>
    </xf>
    <xf numFmtId="0" fontId="105" fillId="0" borderId="0" xfId="17" applyNumberFormat="1" applyFont="1" applyFill="1" applyBorder="1" applyAlignment="1" applyProtection="1">
      <alignment horizontal="center" vertical="center" wrapText="1"/>
      <protection locked="0"/>
    </xf>
    <xf numFmtId="0" fontId="84" fillId="0" borderId="0" xfId="17" applyNumberFormat="1" applyFont="1" applyFill="1" applyBorder="1" applyAlignment="1" applyProtection="1">
      <alignment horizontal="center" vertical="center"/>
      <protection locked="0"/>
    </xf>
    <xf numFmtId="0" fontId="84" fillId="0" borderId="18" xfId="17" applyNumberFormat="1" applyFont="1" applyFill="1" applyBorder="1" applyAlignment="1" applyProtection="1">
      <alignment horizontal="center" vertical="center"/>
      <protection locked="0"/>
    </xf>
    <xf numFmtId="0" fontId="84" fillId="0" borderId="2" xfId="17" applyNumberFormat="1" applyFont="1" applyFill="1" applyBorder="1" applyAlignment="1" applyProtection="1">
      <alignment horizontal="center" vertical="center" wrapText="1"/>
    </xf>
    <xf numFmtId="0" fontId="84" fillId="0" borderId="5" xfId="17" applyNumberFormat="1" applyFont="1" applyFill="1" applyBorder="1" applyAlignment="1" applyProtection="1">
      <alignment horizontal="center" vertical="center"/>
    </xf>
    <xf numFmtId="0" fontId="84" fillId="0" borderId="9" xfId="17" applyNumberFormat="1" applyFont="1" applyFill="1" applyBorder="1" applyAlignment="1" applyProtection="1">
      <alignment horizontal="center" vertical="center"/>
    </xf>
    <xf numFmtId="0" fontId="84" fillId="0" borderId="3" xfId="17" applyNumberFormat="1" applyFont="1" applyFill="1" applyBorder="1" applyAlignment="1" applyProtection="1">
      <alignment horizontal="center" vertical="center"/>
    </xf>
    <xf numFmtId="0" fontId="84" fillId="0" borderId="2" xfId="17" applyNumberFormat="1" applyFont="1" applyFill="1" applyBorder="1" applyAlignment="1" applyProtection="1">
      <alignment horizontal="center" vertical="center"/>
    </xf>
    <xf numFmtId="0" fontId="75" fillId="0" borderId="24" xfId="17" applyNumberFormat="1" applyFont="1" applyFill="1" applyBorder="1" applyAlignment="1" applyProtection="1">
      <alignment vertical="center" textRotation="255" wrapText="1"/>
    </xf>
    <xf numFmtId="0" fontId="52" fillId="0" borderId="5" xfId="17" applyNumberFormat="1" applyFont="1" applyFill="1" applyBorder="1" applyAlignment="1" applyProtection="1">
      <alignment horizontal="center" vertical="center" wrapText="1"/>
    </xf>
    <xf numFmtId="0" fontId="71" fillId="0" borderId="12" xfId="17" applyNumberFormat="1" applyFont="1" applyFill="1" applyBorder="1" applyAlignment="1" applyProtection="1">
      <alignment horizontal="center" vertical="center" wrapText="1"/>
    </xf>
    <xf numFmtId="0" fontId="71" fillId="0" borderId="0" xfId="17" applyNumberFormat="1" applyFont="1" applyFill="1" applyBorder="1" applyAlignment="1" applyProtection="1">
      <alignment horizontal="center" vertical="center" wrapText="1"/>
      <protection locked="0"/>
    </xf>
    <xf numFmtId="0" fontId="71" fillId="0" borderId="0" xfId="17" applyNumberFormat="1" applyFont="1" applyFill="1" applyBorder="1" applyAlignment="1" applyProtection="1">
      <alignment horizontal="center" vertical="center"/>
      <protection locked="0"/>
    </xf>
    <xf numFmtId="0" fontId="71" fillId="0" borderId="18" xfId="17" applyNumberFormat="1" applyFont="1" applyFill="1" applyBorder="1" applyAlignment="1" applyProtection="1">
      <alignment horizontal="center" vertical="center"/>
      <protection locked="0"/>
    </xf>
    <xf numFmtId="0" fontId="71" fillId="0" borderId="2" xfId="17" applyNumberFormat="1" applyFont="1" applyFill="1" applyBorder="1" applyAlignment="1" applyProtection="1">
      <alignment horizontal="center" vertical="center" wrapText="1"/>
    </xf>
    <xf numFmtId="0" fontId="71" fillId="0" borderId="5" xfId="17" applyNumberFormat="1" applyFont="1" applyFill="1" applyBorder="1" applyAlignment="1" applyProtection="1">
      <alignment horizontal="center" vertical="center"/>
    </xf>
    <xf numFmtId="0" fontId="71" fillId="0" borderId="9" xfId="17" applyNumberFormat="1" applyFont="1" applyFill="1" applyBorder="1" applyAlignment="1" applyProtection="1">
      <alignment horizontal="center" vertical="center"/>
    </xf>
    <xf numFmtId="0" fontId="71" fillId="0" borderId="3" xfId="17" applyNumberFormat="1" applyFont="1" applyFill="1" applyBorder="1" applyAlignment="1" applyProtection="1">
      <alignment horizontal="center" vertical="center"/>
    </xf>
    <xf numFmtId="0" fontId="71" fillId="0" borderId="2" xfId="17" applyNumberFormat="1" applyFont="1" applyFill="1" applyBorder="1" applyAlignment="1" applyProtection="1">
      <alignment horizontal="center" vertical="center"/>
    </xf>
    <xf numFmtId="0" fontId="80" fillId="0" borderId="64" xfId="17" applyNumberFormat="1" applyFont="1" applyFill="1" applyBorder="1" applyAlignment="1" applyProtection="1">
      <alignment horizontal="center" vertical="center" wrapText="1"/>
      <protection locked="0"/>
    </xf>
    <xf numFmtId="0" fontId="106" fillId="0" borderId="9" xfId="17" applyNumberFormat="1" applyFont="1" applyFill="1" applyBorder="1" applyAlignment="1" applyProtection="1">
      <alignment horizontal="center" vertical="center" wrapText="1"/>
    </xf>
    <xf numFmtId="0" fontId="100" fillId="0" borderId="24" xfId="17" applyNumberFormat="1" applyFont="1" applyFill="1" applyBorder="1" applyAlignment="1" applyProtection="1">
      <alignment vertical="center" textRotation="255" wrapText="1"/>
    </xf>
    <xf numFmtId="0" fontId="80" fillId="0" borderId="0" xfId="17" applyNumberFormat="1" applyFont="1" applyFill="1" applyBorder="1" applyAlignment="1" applyProtection="1">
      <alignment horizontal="center" vertical="center" wrapText="1"/>
      <protection locked="0"/>
    </xf>
    <xf numFmtId="0" fontId="80" fillId="0" borderId="0" xfId="17" applyNumberFormat="1" applyFont="1" applyFill="1" applyBorder="1" applyAlignment="1" applyProtection="1">
      <alignment horizontal="center" vertical="center"/>
      <protection locked="0"/>
    </xf>
    <xf numFmtId="0" fontId="80" fillId="0" borderId="18" xfId="17" applyNumberFormat="1" applyFont="1" applyFill="1" applyBorder="1" applyAlignment="1" applyProtection="1">
      <alignment horizontal="center" vertical="center"/>
      <protection locked="0"/>
    </xf>
    <xf numFmtId="0" fontId="80" fillId="0" borderId="2" xfId="17" applyNumberFormat="1" applyFont="1" applyFill="1" applyBorder="1" applyAlignment="1" applyProtection="1">
      <alignment horizontal="center" vertical="center" wrapText="1"/>
    </xf>
    <xf numFmtId="0" fontId="80" fillId="0" borderId="5" xfId="17" applyNumberFormat="1" applyFont="1" applyFill="1" applyBorder="1" applyAlignment="1" applyProtection="1">
      <alignment horizontal="center" vertical="center"/>
    </xf>
    <xf numFmtId="0" fontId="80" fillId="0" borderId="9" xfId="17" applyNumberFormat="1" applyFont="1" applyFill="1" applyBorder="1" applyAlignment="1" applyProtection="1">
      <alignment horizontal="center" vertical="center"/>
    </xf>
    <xf numFmtId="0" fontId="80" fillId="0" borderId="3" xfId="17" applyNumberFormat="1" applyFont="1" applyFill="1" applyBorder="1" applyAlignment="1" applyProtection="1">
      <alignment horizontal="center" vertical="center"/>
    </xf>
    <xf numFmtId="0" fontId="80" fillId="0" borderId="2" xfId="17" applyNumberFormat="1" applyFont="1" applyFill="1" applyBorder="1" applyAlignment="1" applyProtection="1">
      <alignment horizontal="center" vertical="center"/>
    </xf>
    <xf numFmtId="0" fontId="108" fillId="16" borderId="59" xfId="17" applyNumberFormat="1" applyFont="1" applyFill="1" applyBorder="1" applyAlignment="1" applyProtection="1">
      <alignment vertical="center" wrapText="1"/>
      <protection locked="0"/>
    </xf>
    <xf numFmtId="0" fontId="84" fillId="5" borderId="9" xfId="17" applyNumberFormat="1" applyFont="1" applyFill="1" applyBorder="1" applyAlignment="1" applyProtection="1">
      <alignment horizontal="center" vertical="center" wrapText="1"/>
    </xf>
    <xf numFmtId="0" fontId="71" fillId="5" borderId="42" xfId="17" applyNumberFormat="1" applyFont="1" applyFill="1" applyBorder="1" applyAlignment="1" applyProtection="1">
      <alignment horizontal="center" vertical="center" wrapText="1"/>
    </xf>
    <xf numFmtId="0" fontId="71" fillId="0" borderId="4" xfId="17" applyNumberFormat="1" applyFont="1" applyFill="1" applyBorder="1" applyAlignment="1" applyProtection="1">
      <alignment horizontal="center" vertical="center" wrapText="1"/>
      <protection locked="0"/>
    </xf>
    <xf numFmtId="0" fontId="71" fillId="5" borderId="0" xfId="17" applyNumberFormat="1" applyFont="1" applyFill="1" applyAlignment="1" applyProtection="1">
      <alignment horizontal="center" vertical="center"/>
    </xf>
    <xf numFmtId="0" fontId="71" fillId="5" borderId="75" xfId="17" applyNumberFormat="1" applyFont="1" applyFill="1" applyBorder="1" applyAlignment="1" applyProtection="1">
      <alignment horizontal="center" vertical="center" wrapText="1"/>
    </xf>
    <xf numFmtId="0" fontId="84"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left" vertical="center" wrapText="1"/>
      <protection locked="0"/>
    </xf>
    <xf numFmtId="0" fontId="105" fillId="0" borderId="52" xfId="17" applyNumberFormat="1" applyFont="1" applyFill="1" applyBorder="1" applyAlignment="1" applyProtection="1">
      <alignment horizontal="center" vertical="center" wrapText="1"/>
      <protection locked="0"/>
    </xf>
    <xf numFmtId="0" fontId="149" fillId="0" borderId="74" xfId="17"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15" applyNumberFormat="1" applyFont="1" applyFill="1" applyBorder="1" applyAlignment="1" applyProtection="1">
      <alignment horizontal="center" vertical="center" wrapText="1"/>
      <protection locked="0"/>
    </xf>
    <xf numFmtId="0" fontId="84" fillId="0" borderId="25" xfId="15" applyNumberFormat="1" applyFont="1" applyFill="1" applyBorder="1" applyAlignment="1" applyProtection="1">
      <alignment horizontal="center" vertical="center" wrapText="1"/>
      <protection locked="0"/>
    </xf>
    <xf numFmtId="0" fontId="84" fillId="0" borderId="11" xfId="15" applyNumberFormat="1" applyFont="1" applyFill="1" applyBorder="1" applyAlignment="1" applyProtection="1">
      <alignment horizontal="center" vertical="center" wrapText="1"/>
      <protection locked="0"/>
    </xf>
    <xf numFmtId="0" fontId="84" fillId="0" borderId="12" xfId="15" applyNumberFormat="1" applyFont="1" applyFill="1" applyBorder="1" applyAlignment="1" applyProtection="1">
      <alignment horizontal="center" vertical="center" wrapText="1"/>
      <protection locked="0"/>
    </xf>
    <xf numFmtId="0" fontId="58" fillId="0" borderId="11" xfId="15" applyNumberFormat="1" applyFont="1" applyFill="1" applyBorder="1" applyAlignment="1" applyProtection="1">
      <alignment horizontal="center" vertical="center" wrapText="1"/>
      <protection locked="0"/>
    </xf>
    <xf numFmtId="0" fontId="84" fillId="0" borderId="43" xfId="15" applyNumberFormat="1" applyFont="1" applyFill="1" applyBorder="1" applyAlignment="1" applyProtection="1">
      <alignment horizontal="center" vertical="center" wrapText="1"/>
      <protection locked="0"/>
    </xf>
    <xf numFmtId="0" fontId="84" fillId="0" borderId="46" xfId="15"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17" applyNumberFormat="1" applyFont="1" applyFill="1" applyBorder="1" applyAlignment="1" applyProtection="1">
      <alignment horizontal="center" vertical="center"/>
    </xf>
    <xf numFmtId="0" fontId="84" fillId="5" borderId="3" xfId="17" applyNumberFormat="1" applyFont="1" applyFill="1" applyBorder="1" applyAlignment="1" applyProtection="1">
      <alignment horizontal="center" vertical="center"/>
    </xf>
    <xf numFmtId="0" fontId="84" fillId="5" borderId="21" xfId="17" applyNumberFormat="1" applyFont="1" applyFill="1" applyBorder="1" applyAlignment="1" applyProtection="1">
      <alignment horizontal="center" vertical="center"/>
    </xf>
    <xf numFmtId="0" fontId="84" fillId="5" borderId="1" xfId="17" applyNumberFormat="1" applyFont="1" applyFill="1" applyBorder="1" applyAlignment="1" applyProtection="1">
      <alignment horizontal="center" vertical="center" wrapText="1"/>
    </xf>
    <xf numFmtId="0" fontId="84" fillId="5" borderId="7" xfId="17" applyNumberFormat="1" applyFont="1" applyFill="1" applyBorder="1" applyAlignment="1" applyProtection="1">
      <alignment horizontal="center" vertical="center" wrapText="1"/>
    </xf>
    <xf numFmtId="0" fontId="84" fillId="5" borderId="42" xfId="17" applyNumberFormat="1" applyFont="1" applyFill="1" applyBorder="1" applyAlignment="1" applyProtection="1">
      <alignment horizontal="center" vertical="center" wrapText="1"/>
    </xf>
    <xf numFmtId="0" fontId="84" fillId="5" borderId="29"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wrapText="1"/>
    </xf>
    <xf numFmtId="0" fontId="84" fillId="5" borderId="32" xfId="17" applyNumberFormat="1" applyFont="1" applyFill="1" applyBorder="1" applyAlignment="1" applyProtection="1">
      <alignment horizontal="center" vertical="center" wrapText="1"/>
    </xf>
    <xf numFmtId="0" fontId="84" fillId="5" borderId="13" xfId="17" applyNumberFormat="1" applyFont="1" applyFill="1" applyBorder="1" applyAlignment="1" applyProtection="1">
      <alignment horizontal="center" vertical="center" wrapText="1"/>
    </xf>
    <xf numFmtId="0" fontId="84" fillId="5" borderId="18" xfId="17" applyNumberFormat="1" applyFont="1" applyFill="1" applyBorder="1" applyAlignment="1" applyProtection="1">
      <alignment horizontal="center" vertical="center" wrapText="1"/>
    </xf>
    <xf numFmtId="0" fontId="84" fillId="5" borderId="17" xfId="17" applyNumberFormat="1" applyFont="1" applyFill="1" applyBorder="1" applyAlignment="1" applyProtection="1">
      <alignment horizontal="center" vertical="center" wrapText="1"/>
    </xf>
    <xf numFmtId="0" fontId="84" fillId="5" borderId="20"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xf>
    <xf numFmtId="0" fontId="84" fillId="5" borderId="32" xfId="17" applyNumberFormat="1" applyFont="1" applyFill="1" applyBorder="1" applyAlignment="1" applyProtection="1">
      <alignment horizontal="center" vertical="center"/>
    </xf>
    <xf numFmtId="0" fontId="84" fillId="5" borderId="13" xfId="17" applyNumberFormat="1" applyFont="1" applyFill="1" applyBorder="1" applyAlignment="1" applyProtection="1">
      <alignment horizontal="center" vertical="center"/>
    </xf>
    <xf numFmtId="0" fontId="84" fillId="5" borderId="18" xfId="17" applyNumberFormat="1" applyFont="1" applyFill="1" applyBorder="1" applyAlignment="1" applyProtection="1">
      <alignment horizontal="center" vertical="center"/>
    </xf>
    <xf numFmtId="0" fontId="84" fillId="0" borderId="11" xfId="17" applyNumberFormat="1" applyFont="1" applyFill="1" applyBorder="1" applyAlignment="1" applyProtection="1">
      <alignment horizontal="center" vertical="center" wrapText="1"/>
      <protection locked="0"/>
    </xf>
    <xf numFmtId="0" fontId="84" fillId="0" borderId="12" xfId="17" applyNumberFormat="1" applyFont="1" applyFill="1" applyBorder="1" applyAlignment="1" applyProtection="1">
      <alignment horizontal="center" vertical="center" wrapText="1"/>
      <protection locked="0"/>
    </xf>
    <xf numFmtId="0" fontId="58" fillId="0" borderId="9" xfId="17" applyNumberFormat="1" applyFont="1" applyFill="1" applyBorder="1" applyAlignment="1" applyProtection="1">
      <alignment horizontal="center" vertical="center" wrapText="1"/>
      <protection locked="0"/>
    </xf>
    <xf numFmtId="0" fontId="84" fillId="0" borderId="5" xfId="17" applyNumberFormat="1" applyFont="1" applyFill="1" applyBorder="1" applyAlignment="1" applyProtection="1">
      <alignment horizontal="center" vertical="center" wrapText="1"/>
      <protection locked="0"/>
    </xf>
    <xf numFmtId="0" fontId="58" fillId="0" borderId="11" xfId="17" applyNumberFormat="1" applyFont="1" applyFill="1" applyBorder="1" applyAlignment="1" applyProtection="1">
      <alignment horizontal="center" vertical="center" wrapText="1"/>
      <protection locked="0"/>
    </xf>
    <xf numFmtId="0" fontId="84" fillId="0" borderId="22" xfId="17" applyNumberFormat="1" applyFont="1" applyFill="1" applyBorder="1" applyAlignment="1" applyProtection="1">
      <alignment horizontal="center" vertical="center" wrapText="1"/>
      <protection locked="0"/>
    </xf>
    <xf numFmtId="0" fontId="84" fillId="0" borderId="25" xfId="17" applyNumberFormat="1" applyFont="1" applyFill="1" applyBorder="1" applyAlignment="1" applyProtection="1">
      <alignment horizontal="center" vertical="center" wrapText="1"/>
      <protection locked="0"/>
    </xf>
    <xf numFmtId="0" fontId="84" fillId="0" borderId="32" xfId="17" applyNumberFormat="1" applyFont="1" applyFill="1" applyBorder="1" applyAlignment="1" applyProtection="1">
      <alignment horizontal="center" vertical="center" wrapText="1"/>
      <protection locked="0"/>
    </xf>
    <xf numFmtId="0" fontId="84" fillId="0" borderId="4" xfId="17" applyNumberFormat="1" applyFont="1" applyFill="1" applyBorder="1" applyAlignment="1" applyProtection="1">
      <alignment horizontal="center" vertical="center" wrapText="1"/>
      <protection locked="0"/>
    </xf>
    <xf numFmtId="0" fontId="84" fillId="5" borderId="17" xfId="17" applyNumberFormat="1" applyFont="1" applyFill="1" applyBorder="1" applyAlignment="1" applyProtection="1">
      <alignment horizontal="center" vertical="center"/>
    </xf>
    <xf numFmtId="0" fontId="84" fillId="5" borderId="20"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71" fillId="5" borderId="5" xfId="17" applyNumberFormat="1" applyFont="1" applyFill="1" applyBorder="1" applyAlignment="1" applyProtection="1">
      <alignment horizontal="center" vertical="center"/>
    </xf>
    <xf numFmtId="0" fontId="71" fillId="5" borderId="8"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wrapText="1"/>
    </xf>
    <xf numFmtId="0" fontId="71" fillId="5" borderId="2"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textRotation="255" wrapText="1"/>
    </xf>
    <xf numFmtId="0" fontId="84" fillId="5" borderId="3" xfId="17" applyNumberFormat="1" applyFont="1" applyFill="1" applyBorder="1" applyAlignment="1" applyProtection="1">
      <alignment horizontal="center" vertical="center" textRotation="255" wrapText="1"/>
    </xf>
    <xf numFmtId="0" fontId="84" fillId="5" borderId="21" xfId="17" applyNumberFormat="1" applyFont="1" applyFill="1" applyBorder="1" applyAlignment="1" applyProtection="1">
      <alignment horizontal="center" vertical="center" textRotation="255" wrapText="1"/>
    </xf>
    <xf numFmtId="0" fontId="84" fillId="5" borderId="5"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horizontal="center" vertical="center" wrapText="1"/>
    </xf>
    <xf numFmtId="0" fontId="83" fillId="5" borderId="2" xfId="17" applyNumberFormat="1" applyFont="1" applyFill="1" applyBorder="1" applyAlignment="1" applyProtection="1">
      <alignment horizontal="center" vertical="center"/>
    </xf>
    <xf numFmtId="0" fontId="84" fillId="5" borderId="10" xfId="15" applyNumberFormat="1" applyFont="1" applyFill="1" applyBorder="1" applyAlignment="1" applyProtection="1">
      <alignment horizontal="center" vertical="center"/>
    </xf>
    <xf numFmtId="0" fontId="84" fillId="5" borderId="3" xfId="15" applyNumberFormat="1" applyFont="1" applyFill="1" applyBorder="1" applyAlignment="1" applyProtection="1">
      <alignment horizontal="center" vertical="center"/>
    </xf>
    <xf numFmtId="0" fontId="84" fillId="5" borderId="21" xfId="15" applyNumberFormat="1" applyFont="1" applyFill="1" applyBorder="1" applyAlignment="1" applyProtection="1">
      <alignment horizontal="center" vertical="center"/>
    </xf>
    <xf numFmtId="0" fontId="84" fillId="5" borderId="1" xfId="15" applyNumberFormat="1" applyFont="1" applyFill="1" applyBorder="1" applyAlignment="1" applyProtection="1">
      <alignment horizontal="center" vertical="center" wrapText="1"/>
    </xf>
    <xf numFmtId="0" fontId="84" fillId="5" borderId="7" xfId="15" applyNumberFormat="1" applyFont="1" applyFill="1" applyBorder="1" applyAlignment="1" applyProtection="1">
      <alignment horizontal="center" vertical="center" wrapText="1"/>
    </xf>
    <xf numFmtId="0" fontId="84" fillId="5" borderId="4" xfId="15" applyNumberFormat="1" applyFont="1" applyFill="1" applyBorder="1" applyAlignment="1" applyProtection="1">
      <alignment horizontal="center" vertical="center" wrapText="1"/>
    </xf>
    <xf numFmtId="0" fontId="84" fillId="5" borderId="32" xfId="15" applyNumberFormat="1" applyFont="1" applyFill="1" applyBorder="1" applyAlignment="1" applyProtection="1">
      <alignment horizontal="center" vertical="center" wrapText="1"/>
    </xf>
    <xf numFmtId="0" fontId="84" fillId="5" borderId="13" xfId="15" applyNumberFormat="1" applyFont="1" applyFill="1" applyBorder="1" applyAlignment="1" applyProtection="1">
      <alignment horizontal="center" vertical="center" wrapText="1"/>
    </xf>
    <xf numFmtId="0" fontId="84" fillId="5" borderId="18" xfId="15" applyNumberFormat="1" applyFont="1" applyFill="1" applyBorder="1" applyAlignment="1" applyProtection="1">
      <alignment horizontal="center" vertical="center" wrapText="1"/>
    </xf>
    <xf numFmtId="0" fontId="84" fillId="5" borderId="17" xfId="15" applyNumberFormat="1" applyFont="1" applyFill="1" applyBorder="1" applyAlignment="1" applyProtection="1">
      <alignment horizontal="center" vertical="center" wrapText="1"/>
    </xf>
    <xf numFmtId="0" fontId="84" fillId="5" borderId="20" xfId="15" applyNumberFormat="1" applyFont="1" applyFill="1" applyBorder="1" applyAlignment="1" applyProtection="1">
      <alignment horizontal="center" vertical="center" wrapText="1"/>
    </xf>
    <xf numFmtId="0" fontId="84" fillId="5" borderId="4" xfId="15" applyNumberFormat="1" applyFont="1" applyFill="1" applyBorder="1" applyAlignment="1" applyProtection="1">
      <alignment horizontal="center" vertical="center"/>
    </xf>
    <xf numFmtId="0" fontId="84" fillId="5" borderId="32" xfId="15" applyNumberFormat="1" applyFont="1" applyFill="1" applyBorder="1" applyAlignment="1" applyProtection="1">
      <alignment horizontal="center" vertical="center"/>
    </xf>
    <xf numFmtId="0" fontId="84" fillId="5" borderId="13" xfId="15" applyNumberFormat="1" applyFont="1" applyFill="1" applyBorder="1" applyAlignment="1" applyProtection="1">
      <alignment horizontal="center" vertical="center"/>
    </xf>
    <xf numFmtId="0" fontId="84" fillId="5" borderId="18" xfId="15" applyNumberFormat="1" applyFont="1" applyFill="1" applyBorder="1" applyAlignment="1" applyProtection="1">
      <alignment horizontal="center" vertical="center"/>
    </xf>
    <xf numFmtId="0" fontId="84" fillId="5" borderId="17" xfId="15" applyNumberFormat="1" applyFont="1" applyFill="1" applyBorder="1" applyAlignment="1" applyProtection="1">
      <alignment horizontal="center" vertical="center"/>
    </xf>
    <xf numFmtId="0" fontId="84" fillId="5" borderId="20" xfId="15" applyNumberFormat="1" applyFont="1" applyFill="1" applyBorder="1" applyAlignment="1" applyProtection="1">
      <alignment horizontal="center" vertical="center"/>
    </xf>
    <xf numFmtId="0" fontId="84" fillId="5" borderId="2" xfId="15" applyNumberFormat="1" applyFont="1" applyFill="1" applyBorder="1" applyAlignment="1" applyProtection="1">
      <alignment horizontal="center" vertical="center"/>
    </xf>
    <xf numFmtId="0" fontId="71" fillId="5" borderId="5" xfId="15" applyNumberFormat="1" applyFont="1" applyFill="1" applyBorder="1" applyAlignment="1" applyProtection="1">
      <alignment horizontal="center" vertical="center"/>
    </xf>
    <xf numFmtId="0" fontId="71" fillId="5" borderId="8" xfId="15" applyNumberFormat="1" applyFont="1" applyFill="1" applyBorder="1" applyAlignment="1" applyProtection="1">
      <alignment horizontal="center" vertical="center"/>
    </xf>
    <xf numFmtId="0" fontId="71" fillId="5" borderId="9" xfId="15" applyNumberFormat="1" applyFont="1" applyFill="1" applyBorder="1" applyAlignment="1" applyProtection="1">
      <alignment horizontal="center" vertical="center"/>
    </xf>
    <xf numFmtId="0" fontId="84" fillId="5" borderId="2" xfId="15" applyNumberFormat="1" applyFont="1" applyFill="1" applyBorder="1" applyAlignment="1" applyProtection="1">
      <alignment horizontal="center" vertical="center" wrapText="1"/>
    </xf>
    <xf numFmtId="0" fontId="71" fillId="5" borderId="2" xfId="15" applyNumberFormat="1" applyFont="1" applyFill="1" applyBorder="1" applyAlignment="1" applyProtection="1">
      <alignment horizontal="center" vertical="center" wrapText="1"/>
    </xf>
    <xf numFmtId="0" fontId="84" fillId="5" borderId="10" xfId="15" applyNumberFormat="1" applyFont="1" applyFill="1" applyBorder="1" applyAlignment="1" applyProtection="1">
      <alignment horizontal="center" vertical="center" wrapText="1"/>
    </xf>
    <xf numFmtId="0" fontId="84" fillId="5" borderId="3" xfId="15" applyNumberFormat="1" applyFont="1" applyFill="1" applyBorder="1" applyAlignment="1" applyProtection="1">
      <alignment horizontal="center" vertical="center" wrapText="1"/>
    </xf>
    <xf numFmtId="0" fontId="84" fillId="5" borderId="5" xfId="15" applyNumberFormat="1" applyFont="1" applyFill="1" applyBorder="1" applyAlignment="1" applyProtection="1">
      <alignment horizontal="center" vertical="center" wrapText="1"/>
    </xf>
    <xf numFmtId="0" fontId="84" fillId="5" borderId="9" xfId="15" applyNumberFormat="1" applyFont="1" applyFill="1" applyBorder="1" applyAlignment="1" applyProtection="1">
      <alignment horizontal="center" vertical="center" wrapText="1"/>
    </xf>
    <xf numFmtId="0" fontId="83" fillId="5" borderId="2" xfId="15" applyNumberFormat="1" applyFont="1" applyFill="1" applyBorder="1" applyAlignment="1" applyProtection="1">
      <alignment horizontal="center" vertical="center"/>
    </xf>
    <xf numFmtId="0" fontId="84" fillId="5" borderId="10" xfId="15" applyNumberFormat="1" applyFont="1" applyFill="1" applyBorder="1" applyAlignment="1" applyProtection="1">
      <alignment horizontal="center" vertical="center" textRotation="255" wrapText="1"/>
    </xf>
    <xf numFmtId="0" fontId="84" fillId="5" borderId="3" xfId="15" applyNumberFormat="1" applyFont="1" applyFill="1" applyBorder="1" applyAlignment="1" applyProtection="1">
      <alignment horizontal="center" vertical="center" textRotation="255" wrapText="1"/>
    </xf>
    <xf numFmtId="0" fontId="144" fillId="5" borderId="1" xfId="15" applyNumberFormat="1" applyFont="1" applyFill="1" applyBorder="1" applyAlignment="1" applyProtection="1">
      <alignment horizontal="center" vertical="center" wrapText="1"/>
    </xf>
    <xf numFmtId="0" fontId="144" fillId="5" borderId="6" xfId="15" applyNumberFormat="1" applyFont="1" applyFill="1" applyBorder="1" applyAlignment="1" applyProtection="1">
      <alignment horizontal="center" vertical="center" wrapText="1"/>
    </xf>
    <xf numFmtId="0" fontId="144" fillId="5" borderId="11" xfId="15" applyNumberFormat="1" applyFont="1" applyFill="1" applyBorder="1" applyAlignment="1" applyProtection="1">
      <alignment horizontal="center" vertical="center" wrapText="1"/>
    </xf>
    <xf numFmtId="0" fontId="144" fillId="5" borderId="2" xfId="15" applyNumberFormat="1" applyFont="1" applyFill="1" applyBorder="1" applyAlignment="1" applyProtection="1">
      <alignment horizontal="center" vertical="center" wrapText="1"/>
    </xf>
    <xf numFmtId="0" fontId="201" fillId="5" borderId="11" xfId="15"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6" xfId="1"/>
    <cellStyle name="常规 2" xfId="2"/>
    <cellStyle name="常规 2 2" xfId="3"/>
    <cellStyle name="常规 2 2 2" xfId="17"/>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7-1-0716%20&#28246;&#21335;&#30465;&#38271;&#27801;&#24066;&#22825;&#24515;&#21306;&#26286;&#20113;&#34903;&#36947;&#39640;&#20113;&#26449;&#21450;&#38902;&#23665;&#21335;&#36335;&#20197;&#35199;&#12289;&#39640;&#20113;&#36335;&#20197;&#21271;&#20849;&#20004;&#23447;&#20303;&#23429;&#12289;&#21830;&#19994;&#29992;&#22320;/&#32467;&#26524;/&#27979;&#31639;&#38271;&#278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801;&#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土地案例"/>
      <sheetName val="Sheet1"/>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20">
          <cell r="D20" t="str">
            <v>住宅69.64、商业39.63</v>
          </cell>
        </row>
        <row r="41">
          <cell r="F41" t="str">
            <v>湖南省长沙市</v>
          </cell>
        </row>
      </sheetData>
      <sheetData sheetId="10">
        <row r="3">
          <cell r="A3">
            <v>242832.6</v>
          </cell>
        </row>
      </sheetData>
      <sheetData sheetId="11"/>
      <sheetData sheetId="12">
        <row r="3">
          <cell r="D3">
            <v>242832.6</v>
          </cell>
          <cell r="E3">
            <v>623369</v>
          </cell>
        </row>
        <row r="4">
          <cell r="I4">
            <v>2.57</v>
          </cell>
        </row>
        <row r="8">
          <cell r="E8">
            <v>623369</v>
          </cell>
        </row>
        <row r="9">
          <cell r="E9">
            <v>0</v>
          </cell>
        </row>
        <row r="11">
          <cell r="E11">
            <v>0</v>
          </cell>
        </row>
        <row r="12">
          <cell r="E12">
            <v>0</v>
          </cell>
        </row>
        <row r="13">
          <cell r="E13">
            <v>0</v>
          </cell>
        </row>
        <row r="14">
          <cell r="E14">
            <v>0</v>
          </cell>
        </row>
        <row r="15">
          <cell r="E15">
            <v>0</v>
          </cell>
        </row>
        <row r="17">
          <cell r="C17" t="str">
            <v>项目类型</v>
          </cell>
        </row>
        <row r="19">
          <cell r="C19" t="str">
            <v>高层住宅</v>
          </cell>
          <cell r="E19">
            <v>609369</v>
          </cell>
        </row>
        <row r="20">
          <cell r="C20" t="str">
            <v>住宅底商</v>
          </cell>
          <cell r="E20">
            <v>14000</v>
          </cell>
        </row>
        <row r="21">
          <cell r="E21">
            <v>0</v>
          </cell>
        </row>
        <row r="22">
          <cell r="E22">
            <v>0</v>
          </cell>
        </row>
        <row r="23">
          <cell r="E23">
            <v>0</v>
          </cell>
        </row>
        <row r="24">
          <cell r="E24">
            <v>0</v>
          </cell>
        </row>
        <row r="25">
          <cell r="E25">
            <v>0</v>
          </cell>
        </row>
        <row r="26">
          <cell r="E26">
            <v>0</v>
          </cell>
        </row>
        <row r="27">
          <cell r="C27" t="str">
            <v>小计</v>
          </cell>
          <cell r="E27">
            <v>623369</v>
          </cell>
        </row>
        <row r="28">
          <cell r="C28" t="str">
            <v>设备及其他</v>
          </cell>
          <cell r="E28">
            <v>0</v>
          </cell>
        </row>
        <row r="29">
          <cell r="C29" t="str">
            <v>公共配套及物业（住宅）</v>
          </cell>
          <cell r="E29">
            <v>0</v>
          </cell>
        </row>
        <row r="30">
          <cell r="C30" t="str">
            <v>小计</v>
          </cell>
          <cell r="E30">
            <v>0</v>
          </cell>
        </row>
        <row r="31">
          <cell r="C31" t="str">
            <v>总计</v>
          </cell>
          <cell r="E31">
            <v>623369</v>
          </cell>
        </row>
        <row r="32">
          <cell r="E32">
            <v>623369</v>
          </cell>
        </row>
      </sheetData>
      <sheetData sheetId="13">
        <row r="2">
          <cell r="B2">
            <v>42940</v>
          </cell>
        </row>
        <row r="16">
          <cell r="G16">
            <v>0.999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估价对象周边居住用地比例一般、有一定数量居住小区、入住率一般，综合评价居住社区成熟度一般。</v>
          </cell>
        </row>
        <row r="4">
          <cell r="C4" t="str">
            <v>估价对象周边商业氛围一般、大型商业较少、人流量一般、商业繁华度一般。</v>
          </cell>
        </row>
        <row r="6">
          <cell r="C6" t="str">
            <v>估价对象周边路网密集程度一般、有一定数量公交车、停车较便捷，综合评价交通便捷度一般。</v>
          </cell>
        </row>
        <row r="7">
          <cell r="C7" t="str">
            <v>估价对象所在区域公共配套设施较齐备。</v>
          </cell>
        </row>
        <row r="8">
          <cell r="C8" t="str">
            <v>六通</v>
          </cell>
        </row>
        <row r="9">
          <cell r="C9" t="str">
            <v>估价对象周边无大型绿化，公园等自然环境一般：周边有长沙理工大学，无其他博物馆，图书馆等人文环境一般；综合评价环境状况一般。</v>
          </cell>
        </row>
        <row r="15">
          <cell r="C15" t="str">
            <v>估价对象周边居住用地比例一般、有一定数量居住小区、入住率一般，综合评价居住社区成熟度一般。</v>
          </cell>
        </row>
        <row r="16">
          <cell r="C16" t="str">
            <v>估价对象周边商业氛围一般、大型商业较少、人流量一般、商业繁华度一般。</v>
          </cell>
        </row>
        <row r="17">
          <cell r="C17">
            <v>0</v>
          </cell>
        </row>
        <row r="18">
          <cell r="C18" t="str">
            <v>估价对象周边路网密集程度一般、有一定数量公交车、停车较便捷，综合评价交通便捷度一般。</v>
          </cell>
        </row>
        <row r="19">
          <cell r="C19" t="str">
            <v>一致</v>
          </cell>
        </row>
        <row r="20">
          <cell r="C20" t="str">
            <v>估价对象周边无大型绿化，公园等自然环境一般：周边有长沙理工大学，无其他博物馆，图书馆等人文环境一般；综合评价环境状况一般。</v>
          </cell>
        </row>
        <row r="21">
          <cell r="C21" t="str">
            <v>估价对象所在区域公共配套设施较齐备。</v>
          </cell>
        </row>
        <row r="22">
          <cell r="C22" t="str">
            <v>六通</v>
          </cell>
        </row>
      </sheetData>
      <sheetData sheetId="15"/>
      <sheetData sheetId="16"/>
      <sheetData sheetId="17">
        <row r="13">
          <cell r="C13">
            <v>2.57</v>
          </cell>
        </row>
        <row r="75">
          <cell r="A75" t="str">
            <v>交易情况</v>
          </cell>
          <cell r="C75" t="str">
            <v>正常</v>
          </cell>
        </row>
        <row r="77">
          <cell r="B77" t="str">
            <v>用途</v>
          </cell>
          <cell r="C77" t="str">
            <v>住宅、商业</v>
          </cell>
          <cell r="D77" t="str">
            <v>住宅</v>
          </cell>
        </row>
        <row r="108">
          <cell r="B108" t="str">
            <v>毗邻道路的类型与等级</v>
          </cell>
          <cell r="C108" t="str">
            <v>快速路</v>
          </cell>
          <cell r="D108" t="str">
            <v>主干道</v>
          </cell>
          <cell r="E108" t="str">
            <v>次干道</v>
          </cell>
          <cell r="F108" t="str">
            <v>支路</v>
          </cell>
          <cell r="G108" t="str">
            <v>规划路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row>
        <row r="125">
          <cell r="B125" t="str">
            <v>宗地开发程度</v>
          </cell>
          <cell r="C125" t="str">
            <v>六通</v>
          </cell>
          <cell r="D125" t="str">
            <v>五通</v>
          </cell>
          <cell r="E125" t="str">
            <v>四通</v>
          </cell>
          <cell r="F125" t="str">
            <v>三通</v>
          </cell>
          <cell r="G125" t="str">
            <v>临时三通</v>
          </cell>
        </row>
        <row r="127">
          <cell r="B127" t="str">
            <v>工程地质条件</v>
          </cell>
          <cell r="C127" t="str">
            <v>良好</v>
          </cell>
          <cell r="D127" t="str">
            <v>较差</v>
          </cell>
        </row>
      </sheetData>
      <sheetData sheetId="18"/>
      <sheetData sheetId="19"/>
      <sheetData sheetId="20">
        <row r="72">
          <cell r="B72" t="str">
            <v>用途</v>
          </cell>
        </row>
        <row r="101">
          <cell r="B101" t="str">
            <v>土地级别</v>
          </cell>
        </row>
      </sheetData>
      <sheetData sheetId="21">
        <row r="21">
          <cell r="N21" t="str">
            <v>商业</v>
          </cell>
          <cell r="P21">
            <v>1.5699999999999999E-2</v>
          </cell>
        </row>
        <row r="22">
          <cell r="N22" t="str">
            <v>办公</v>
          </cell>
          <cell r="P22">
            <v>1.5699999999999999E-2</v>
          </cell>
        </row>
        <row r="23">
          <cell r="N23" t="str">
            <v>住宅</v>
          </cell>
          <cell r="P23">
            <v>2.6599999999999999E-2</v>
          </cell>
        </row>
        <row r="24">
          <cell r="N24" t="str">
            <v>工业</v>
          </cell>
          <cell r="P24">
            <v>1.34E-2</v>
          </cell>
        </row>
        <row r="25">
          <cell r="N25" t="str">
            <v>综合</v>
          </cell>
          <cell r="P25">
            <v>2.3900000000000001E-2</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row r="11">
          <cell r="C11">
            <v>2.57</v>
          </cell>
        </row>
        <row r="27">
          <cell r="C27" t="str">
            <v>城市主干道</v>
          </cell>
          <cell r="E27" t="str">
            <v>城市次干道</v>
          </cell>
          <cell r="G27" t="str">
            <v>城市主干道</v>
          </cell>
          <cell r="I27" t="str">
            <v>城市主干道</v>
          </cell>
        </row>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cell r="D100" t="str">
            <v>板塔结合</v>
          </cell>
          <cell r="E100" t="str">
            <v>塔楼</v>
          </cell>
        </row>
        <row r="105">
          <cell r="B105" t="str">
            <v>建筑结构</v>
          </cell>
          <cell r="C105" t="str">
            <v>钢混</v>
          </cell>
          <cell r="D105" t="str">
            <v>砖混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v>
          </cell>
          <cell r="D114" t="str">
            <v>普通</v>
          </cell>
          <cell r="E114" t="str">
            <v>无物业</v>
          </cell>
        </row>
        <row r="116">
          <cell r="B116" t="str">
            <v>市政基础设施</v>
          </cell>
          <cell r="C116" t="str">
            <v>六通</v>
          </cell>
          <cell r="D116" t="str">
            <v>五通</v>
          </cell>
          <cell r="E116" t="str">
            <v>四通</v>
          </cell>
          <cell r="F116" t="str">
            <v>三通</v>
          </cell>
          <cell r="G116" t="str">
            <v>临三通</v>
          </cell>
        </row>
        <row r="118">
          <cell r="B118" t="str">
            <v>房型</v>
          </cell>
        </row>
        <row r="122">
          <cell r="B122" t="str">
            <v>内部装修</v>
          </cell>
          <cell r="C122" t="str">
            <v>精装修</v>
          </cell>
          <cell r="D122" t="str">
            <v>普通装修</v>
          </cell>
          <cell r="E122" t="str">
            <v>简单装修</v>
          </cell>
          <cell r="F122" t="str">
            <v>毛坯</v>
          </cell>
        </row>
      </sheetData>
      <sheetData sheetId="32">
        <row r="61">
          <cell r="A61" t="str">
            <v>交易情况</v>
          </cell>
          <cell r="C61" t="str">
            <v>正常</v>
          </cell>
        </row>
        <row r="63">
          <cell r="B63" t="str">
            <v>用途</v>
          </cell>
          <cell r="C63" t="str">
            <v>商业</v>
          </cell>
        </row>
        <row r="86">
          <cell r="B86" t="str">
            <v>临街状况</v>
          </cell>
        </row>
        <row r="90">
          <cell r="B90" t="str">
            <v>人流量</v>
          </cell>
          <cell r="C90" t="str">
            <v>大</v>
          </cell>
          <cell r="D90" t="str">
            <v>较大</v>
          </cell>
          <cell r="E90" t="str">
            <v>一般</v>
          </cell>
          <cell r="F90" t="str">
            <v>较小</v>
          </cell>
          <cell r="G90" t="str">
            <v>小</v>
          </cell>
        </row>
        <row r="92">
          <cell r="B92" t="str">
            <v>楼层</v>
          </cell>
          <cell r="C92">
            <v>1</v>
          </cell>
          <cell r="D92" t="str">
            <v>1-2</v>
          </cell>
          <cell r="E92">
            <v>2</v>
          </cell>
          <cell r="F92">
            <v>3</v>
          </cell>
          <cell r="G92">
            <v>4</v>
          </cell>
        </row>
        <row r="100">
          <cell r="B100" t="str">
            <v>商业类型</v>
          </cell>
          <cell r="C100" t="str">
            <v>商业街</v>
          </cell>
          <cell r="D100" t="str">
            <v>独栋商业</v>
          </cell>
          <cell r="E100" t="str">
            <v>住宅底商</v>
          </cell>
        </row>
        <row r="105">
          <cell r="B105" t="str">
            <v>建筑结构</v>
          </cell>
          <cell r="C105" t="str">
            <v>钢混</v>
          </cell>
          <cell r="D105" t="str">
            <v>砖混</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3">
        <row r="8">
          <cell r="A8" t="str">
            <v>天心区大托镇先锋村</v>
          </cell>
          <cell r="C8">
            <v>64418.47</v>
          </cell>
          <cell r="E8">
            <v>2.5</v>
          </cell>
          <cell r="G8" t="str">
            <v>2016-12-02</v>
          </cell>
          <cell r="K8">
            <v>11192</v>
          </cell>
        </row>
        <row r="19">
          <cell r="A19" t="str">
            <v>天心区木莲冲路</v>
          </cell>
          <cell r="C19">
            <v>23636.68</v>
          </cell>
          <cell r="E19">
            <v>4.3</v>
          </cell>
          <cell r="G19" t="str">
            <v>2015-12-10</v>
          </cell>
          <cell r="K19">
            <v>9460</v>
          </cell>
        </row>
        <row r="56">
          <cell r="A56" t="str">
            <v>雨花区劳动东路180号</v>
          </cell>
          <cell r="C56">
            <v>25642.04</v>
          </cell>
          <cell r="E56">
            <v>3.91</v>
          </cell>
          <cell r="G56" t="str">
            <v>2015-08-31</v>
          </cell>
          <cell r="K56">
            <v>9292</v>
          </cell>
        </row>
      </sheetData>
      <sheetData sheetId="34"/>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2)"/>
      <sheetName val="不动产比较法-商业 (2)"/>
      <sheetName val="剩余法-现房"/>
      <sheetName val="比较法-住宅、综合 (2)"/>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7">
          <cell r="D27">
            <v>172071.6</v>
          </cell>
        </row>
        <row r="31">
          <cell r="E31">
            <v>447386.15599999996</v>
          </cell>
        </row>
      </sheetData>
      <sheetData sheetId="13"/>
      <sheetData sheetId="14"/>
      <sheetData sheetId="15"/>
      <sheetData sheetId="16">
        <row r="19">
          <cell r="G19">
            <v>157769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2664</v>
      </c>
      <c r="B1" s="2919" t="s">
        <v>2761</v>
      </c>
    </row>
    <row r="2" spans="1:55" s="2923" customFormat="1" ht="15" thickTop="1">
      <c r="A2" s="2921" t="s">
        <v>2668</v>
      </c>
      <c r="B2" s="2922" t="str">
        <f>'预评函-封皮'!B37</f>
        <v>出让国有建设用地使用权市场价格预评估</v>
      </c>
      <c r="AX2" s="2924"/>
      <c r="AZ2" s="2924"/>
      <c r="BA2" s="2925"/>
      <c r="BC2" s="2925"/>
    </row>
    <row r="3" spans="1:55" s="2926" customFormat="1">
      <c r="A3" s="2905" t="s">
        <v>2669</v>
      </c>
      <c r="B3" s="2908" t="str">
        <f>'预评函-封皮'!B40</f>
        <v>湖南金光华暮云房地产开发有限公司</v>
      </c>
    </row>
    <row r="4" spans="1:55" s="2907" customFormat="1">
      <c r="A4" s="2905" t="s">
        <v>2670</v>
      </c>
      <c r="B4" s="2906" t="str">
        <f>'预评函-封皮'!B46</f>
        <v>刘梅、吴薇</v>
      </c>
      <c r="N4" s="2907" t="str">
        <f>'预评函-1'!A28</f>
        <v>——</v>
      </c>
    </row>
    <row r="5" spans="1:55" s="2920" customFormat="1" ht="15" thickBot="1">
      <c r="A5" s="2927" t="s">
        <v>2671</v>
      </c>
      <c r="B5" s="2928" t="str">
        <f>'预评函-封皮'!B49</f>
        <v>康正预评字2017-1-0716-P01DYGJ2号</v>
      </c>
    </row>
    <row r="6" spans="1:55" s="2929" customFormat="1" ht="15" thickTop="1">
      <c r="A6" s="2921" t="s">
        <v>2713</v>
      </c>
      <c r="B6" s="2922" t="str">
        <f>'预评函-1'!A4</f>
        <v>受贵公司委托，我公司对出让国有建设用地使用权市场价格进行了预评估。</v>
      </c>
      <c r="AM6" s="2930"/>
    </row>
    <row r="7" spans="1:55" s="2904" customFormat="1">
      <c r="A7" s="2905" t="s">
        <v>2665</v>
      </c>
      <c r="B7" s="2906" t="str">
        <f>'预评函-1'!A6</f>
        <v>估价对象为湖南金光华暮云房地产开发有限公司使用的、位于出让国有建设用地使用权。根据，估价对象（分摊）出让国有建设用地使用权面积为70761平方米。根据《国有建设用地使用权出让合同》[电子监管号：4301212017B00548/4301212017B00550]，估价对象规划建筑面积为183978.6平方米。</v>
      </c>
    </row>
    <row r="8" spans="1:55" s="2904" customFormat="1">
      <c r="A8" s="2905" t="s">
        <v>2666</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2716</v>
      </c>
      <c r="B9" s="2906" t="str">
        <f>'预评函-1'!A9</f>
        <v>委托估价方在向金融机构（大业信托有限公司）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2667</v>
      </c>
      <c r="B10" s="2906" t="str">
        <f>'预评函-1'!A11</f>
        <v>2017年7月24日（评估专业人员勘察现场之日）</v>
      </c>
    </row>
    <row r="11" spans="1:55" s="2904" customFormat="1">
      <c r="A11" s="2905" t="s">
        <v>2673</v>
      </c>
      <c r="B11" s="2906" t="str">
        <f>'预评函-1'!A14</f>
        <v>根据《国有土地使用证》[]，本次评估估价对象证载（地类）用途为住宅、商业。</v>
      </c>
    </row>
    <row r="12" spans="1:55" s="2904" customFormat="1">
      <c r="A12" s="2905" t="s">
        <v>2674</v>
      </c>
      <c r="B12" s="2906" t="str">
        <f>'预评函-1'!A15</f>
        <v>本次评估设定用途即为证载用途住宅、商业。</v>
      </c>
    </row>
    <row r="13" spans="1:55" s="2904" customFormat="1">
      <c r="A13" s="2905" t="s">
        <v>2675</v>
      </c>
      <c r="B13" s="2906" t="str">
        <f>'预评函-1'!A17</f>
        <v>根据委托估价方介绍及评估专业人员现场勘查，本次评估估价对象实际土地开发程度为红线外市政基础设施达“七通”（即通路、通电、通讯、、、、）、宗地红线内场地未平整，。</v>
      </c>
    </row>
    <row r="14" spans="1:55" s="2904" customFormat="1">
      <c r="A14" s="2905" t="s">
        <v>2676</v>
      </c>
      <c r="B14" s="2906" t="str">
        <f>'预评函-1'!A18</f>
        <v>。本次评估设定土地开发程度为红线外市政基础设施达“七通”、宗地红线内场地平整。</v>
      </c>
    </row>
    <row r="15" spans="1:55" s="2904" customFormat="1">
      <c r="A15" s="2905" t="s">
        <v>2672</v>
      </c>
      <c r="B15" s="2906" t="str">
        <f>'预评函-1'!A20</f>
        <v>根据，估价对象（分摊）出让国有建设用地使用权面积为70761平方米。根据《国有建设用地使用权出让合同》[电子监管号：4301212017B00548/4301212017B00550]，估价对象规划建筑面积为183978.6平方米。</v>
      </c>
    </row>
    <row r="16" spans="1:55" s="2904" customFormat="1">
      <c r="A16" s="2905" t="s">
        <v>2677</v>
      </c>
      <c r="B16" s="2906" t="str">
        <f>'预评函-1'!A22</f>
        <v>本次估价对象为出让国有建设用地使用权，《国有土地使用证》[]证载土地终止日期为住宅2087年12月29日、商业2057年12月29日。截至估价期日，出让国有建设用地使用权剩余土地使用年限为住宅70年、商业50年。</v>
      </c>
    </row>
    <row r="17" spans="1:48" s="2904" customFormat="1">
      <c r="A17" s="2905" t="s">
        <v>2678</v>
      </c>
      <c r="B17" s="2906" t="str">
        <f>'预评函-1'!A23</f>
        <v>本次评估设定估价对象剩余土地使用年限为住宅70年、商业50年。</v>
      </c>
    </row>
    <row r="18" spans="1:48" s="2904" customFormat="1">
      <c r="A18" s="2905" t="s">
        <v>2679</v>
      </c>
      <c r="B18" s="2906" t="str">
        <f>'预评函-1'!A25</f>
        <v>本次估价的“出让国有建设用地使用权价格”是指在估价对象土地所有权为国家所有，使用权性质为出让，在公开市场条件下、于估价期日2017年7月24日，在规划利用条件下、设定土地开发程度为红线外“七通”、宗地内场地平整，设定用途为住宅、商业，剩余土地使用年限为住宅70年、商业50年的出让国有建设用地使用权价格。</v>
      </c>
    </row>
    <row r="19" spans="1:48" s="2904" customFormat="1">
      <c r="A19" s="2905" t="s">
        <v>2680</v>
      </c>
      <c r="B19" s="2906" t="str">
        <f>'预评函-1'!A26</f>
        <v>——</v>
      </c>
    </row>
    <row r="20" spans="1:48" s="2904" customFormat="1">
      <c r="A20" s="2905" t="s">
        <v>2681</v>
      </c>
      <c r="B20" s="2906" t="str">
        <f>'预评函-1'!A27</f>
        <v>——</v>
      </c>
    </row>
    <row r="21" spans="1:48" s="2920" customFormat="1" ht="15" thickBot="1">
      <c r="A21" s="2927" t="s">
        <v>2682</v>
      </c>
      <c r="B21" s="2928" t="str">
        <f>'预评函-1'!A28</f>
        <v>——</v>
      </c>
    </row>
    <row r="22" spans="1:48" ht="15" thickTop="1">
      <c r="A22" s="2916" t="s">
        <v>2683</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2684</v>
      </c>
      <c r="B23" s="2906" t="str">
        <f>'预评函-2'!K2</f>
        <v>估价期日：2017年7月24日</v>
      </c>
    </row>
    <row r="24" spans="1:48">
      <c r="A24" s="2905" t="s">
        <v>2685</v>
      </c>
      <c r="B24" s="2906" t="str">
        <f>'预评函-2'!R2</f>
        <v>估价期日的国有建设用地使用权性质：出让</v>
      </c>
    </row>
    <row r="25" spans="1:48">
      <c r="A25" s="2905" t="s">
        <v>2741</v>
      </c>
      <c r="B25" s="2906" t="str">
        <f>'预评函-2'!A3</f>
        <v>估价期日土地使用者</v>
      </c>
    </row>
    <row r="26" spans="1:48">
      <c r="A26" s="2905" t="s">
        <v>2717</v>
      </c>
      <c r="B26" s="2906" t="str">
        <f>'预评函-2'!A5</f>
        <v>中信开发</v>
      </c>
    </row>
    <row r="27" spans="1:48">
      <c r="A27" s="2905" t="s">
        <v>2742</v>
      </c>
      <c r="B27" s="2906" t="str">
        <f>'预评函-2'!B3</f>
        <v>宗地编号/不动产单元号</v>
      </c>
    </row>
    <row r="28" spans="1:48">
      <c r="A28" s="2905" t="s">
        <v>2718</v>
      </c>
      <c r="B28" s="2906" t="str">
        <f>'预评函-2'!B5</f>
        <v>11111111111</v>
      </c>
    </row>
    <row r="29" spans="1:48">
      <c r="A29" s="2905" t="s">
        <v>2744</v>
      </c>
      <c r="B29" s="2906">
        <f>'预评函-2'!C5</f>
        <v>22</v>
      </c>
    </row>
    <row r="30" spans="1:48">
      <c r="A30" s="2905" t="s">
        <v>2745</v>
      </c>
      <c r="B30" s="2906" t="str">
        <f>'预评函-2'!D3</f>
        <v>土地使用证编号/不动产权证书编号</v>
      </c>
    </row>
    <row r="31" spans="1:48">
      <c r="A31" s="2905" t="s">
        <v>2719</v>
      </c>
      <c r="B31" s="2906" t="str">
        <f>'预评函-2'!D5</f>
        <v>京国土字第111号</v>
      </c>
    </row>
    <row r="32" spans="1:48">
      <c r="A32" s="2905" t="s">
        <v>2720</v>
      </c>
      <c r="B32" s="2906" t="str">
        <f>'预评函-2'!E5</f>
        <v>住宅、商业</v>
      </c>
      <c r="AV32" s="2910"/>
    </row>
    <row r="33" spans="1:2">
      <c r="A33" s="2905" t="s">
        <v>2721</v>
      </c>
      <c r="B33" s="2906">
        <f>'预评函-2'!F5</f>
        <v>258</v>
      </c>
    </row>
    <row r="34" spans="1:2">
      <c r="A34" s="2905" t="s">
        <v>2722</v>
      </c>
      <c r="B34" s="2906" t="str">
        <f>'预评函-2'!G5</f>
        <v>住宅、商业</v>
      </c>
    </row>
    <row r="35" spans="1:2">
      <c r="A35" s="2905" t="s">
        <v>2723</v>
      </c>
      <c r="B35" s="2906">
        <f>'预评函-2'!H5</f>
        <v>1.5</v>
      </c>
    </row>
    <row r="36" spans="1:2">
      <c r="A36" s="2905" t="s">
        <v>2724</v>
      </c>
      <c r="B36" s="2906">
        <f>'预评函-2'!I5</f>
        <v>1.5</v>
      </c>
    </row>
    <row r="37" spans="1:2">
      <c r="A37" s="2905" t="s">
        <v>2725</v>
      </c>
      <c r="B37" s="2906">
        <f>'预评函-2'!J5</f>
        <v>1.5</v>
      </c>
    </row>
    <row r="38" spans="1:2">
      <c r="A38" s="2905" t="s">
        <v>2726</v>
      </c>
      <c r="B38" s="2906" t="str">
        <f>'预评函-2'!K5</f>
        <v>红线外七通、宗地红线内场地未平整</v>
      </c>
    </row>
    <row r="39" spans="1:2">
      <c r="A39" s="2905" t="s">
        <v>2727</v>
      </c>
      <c r="B39" s="2906" t="str">
        <f>'预评函-2'!L5</f>
        <v>红线外七通、宗地红线内场地平整</v>
      </c>
    </row>
    <row r="40" spans="1:2">
      <c r="A40" s="2905" t="s">
        <v>2746</v>
      </c>
      <c r="B40" s="2906" t="str">
        <f>'预评函-2'!M3</f>
        <v>（剩余）土地使用年限/年</v>
      </c>
    </row>
    <row r="41" spans="1:2">
      <c r="A41" s="2905" t="s">
        <v>2728</v>
      </c>
      <c r="B41" s="2906" t="str">
        <f>'预评函-2'!M5</f>
        <v>住宅70年、商业50年</v>
      </c>
    </row>
    <row r="42" spans="1:2">
      <c r="A42" s="2905" t="s">
        <v>2747</v>
      </c>
      <c r="B42" s="2906" t="str">
        <f>'预评函-2'!N3</f>
        <v>（分摊）出让国有建设用地使用权面积/㎡</v>
      </c>
    </row>
    <row r="43" spans="1:2">
      <c r="A43" s="2905" t="s">
        <v>2729</v>
      </c>
      <c r="B43" s="2906">
        <f>'预评函-2'!N5</f>
        <v>70761</v>
      </c>
    </row>
    <row r="44" spans="1:2">
      <c r="A44" s="2905" t="s">
        <v>2748</v>
      </c>
      <c r="B44" s="2906" t="str">
        <f>'预评函-2'!O3</f>
        <v>规划建筑面积/㎡</v>
      </c>
    </row>
    <row r="45" spans="1:2">
      <c r="A45" s="2905" t="s">
        <v>2730</v>
      </c>
      <c r="B45" s="2906">
        <f>'预评函-2'!O5</f>
        <v>183978.59999999998</v>
      </c>
    </row>
    <row r="46" spans="1:2">
      <c r="A46" s="2905" t="s">
        <v>2731</v>
      </c>
      <c r="B46" s="2906">
        <f ca="1">'预评函-2'!P5</f>
        <v>8930</v>
      </c>
    </row>
    <row r="47" spans="1:2">
      <c r="A47" s="2905" t="s">
        <v>2732</v>
      </c>
      <c r="B47" s="2906">
        <f ca="1">'预评函-2'!Q5</f>
        <v>3435</v>
      </c>
    </row>
    <row r="48" spans="1:2">
      <c r="A48" s="2905" t="s">
        <v>2733</v>
      </c>
      <c r="B48" s="2906">
        <f ca="1">'预评函-2'!R5</f>
        <v>63191</v>
      </c>
    </row>
    <row r="49" spans="1:2">
      <c r="A49" s="2905" t="s">
        <v>2749</v>
      </c>
      <c r="B49" s="2906" t="str">
        <f>'预评函-2'!A6</f>
        <v>——</v>
      </c>
    </row>
    <row r="50" spans="1:2">
      <c r="A50" s="2905" t="s">
        <v>2734</v>
      </c>
      <c r="B50" s="2906">
        <f ca="1">'预评函-2'!R6</f>
        <v>63191</v>
      </c>
    </row>
    <row r="51" spans="1:2">
      <c r="A51" s="2905" t="s">
        <v>2750</v>
      </c>
      <c r="B51" s="2906" t="str">
        <f>'预评函-2'!A7</f>
        <v>——</v>
      </c>
    </row>
    <row r="52" spans="1:2">
      <c r="A52" s="2905" t="s">
        <v>2735</v>
      </c>
      <c r="B52" s="2906" t="str">
        <f>'预评函-2'!R7</f>
        <v>——</v>
      </c>
    </row>
    <row r="53" spans="1:2">
      <c r="A53" s="2905" t="s">
        <v>2751</v>
      </c>
      <c r="B53" s="2906" t="str">
        <f>'预评函-2'!A8</f>
        <v>——</v>
      </c>
    </row>
    <row r="54" spans="1:2" s="2920" customFormat="1" ht="15" thickBot="1">
      <c r="A54" s="2927" t="s">
        <v>2736</v>
      </c>
      <c r="B54" s="2928" t="str">
        <f>'预评函-2'!R8</f>
        <v>——</v>
      </c>
    </row>
    <row r="55" spans="1:2" ht="15" thickTop="1">
      <c r="A55" s="2916" t="s">
        <v>2686</v>
      </c>
      <c r="B55" s="2917" t="str">
        <f>'预评函-3'!A2</f>
        <v>1.权利限制：根据估价对象《不动产权证书》原件、《国有土地使用权》复印件，截至估价期日，估价对象抵押权未见登记。未设定租赁等其他他项权利。</v>
      </c>
    </row>
    <row r="56" spans="1:2">
      <c r="A56" s="2905" t="s">
        <v>2687</v>
      </c>
      <c r="B56" s="2906" t="str">
        <f>'预评函-3'!A3</f>
        <v>2.基础设施条件：估价对象实际开发程度为红线外七通、宗地红线内场地未平整；本次评估设定开发程度为红线外七通、宗地红线内场地平整。</v>
      </c>
    </row>
    <row r="57" spans="1:2">
      <c r="A57" s="2905" t="s">
        <v>2688</v>
      </c>
      <c r="B57" s="2906" t="str">
        <f>'预评函-3'!A4</f>
        <v>3.估价规划限制条件：详见《国有建设用地使用权出让合同》[电子监管号：4301212017B00548/4301212017B00550]。</v>
      </c>
    </row>
    <row r="58" spans="1:2" s="2920" customFormat="1" ht="15" thickBot="1">
      <c r="A58" s="2927" t="s">
        <v>2737</v>
      </c>
      <c r="B58" s="2928" t="str">
        <f>'预评函-3'!A5</f>
        <v>4.影响价格的其他限定条件：无。</v>
      </c>
    </row>
    <row r="59" spans="1:2" ht="15" thickTop="1">
      <c r="A59" s="2916" t="s">
        <v>2689</v>
      </c>
      <c r="B59" s="2917" t="str">
        <f>'预评函-3'!A8</f>
        <v>2.本《评估意见函》仅供金融机构进行内部审核使用，不做其他目的之用。</v>
      </c>
    </row>
    <row r="60" spans="1:2">
      <c r="A60" s="2905" t="s">
        <v>2690</v>
      </c>
      <c r="B60" s="2906" t="str">
        <f>'预评函-3'!A9</f>
        <v>3.抵押双方在办理抵押登记手续时，应使用本公司出具的正式《土地估价报告》，特提请报告使用者注意。</v>
      </c>
    </row>
    <row r="61" spans="1:2">
      <c r="A61" s="2905" t="s">
        <v>2692</v>
      </c>
      <c r="B61" s="2906" t="str">
        <f>'预评函-3'!A10</f>
        <v>4.估价师所知悉的法定优先受偿款情况为：</v>
      </c>
    </row>
    <row r="62" spans="1:2">
      <c r="A62" s="2905" t="s">
        <v>2691</v>
      </c>
      <c r="B62" s="2906" t="str">
        <f>'预评函-3'!A11</f>
        <v>（1）根据估价对象《不动产权证书》原件、《国有土地使用权》复印件，截至估价期日，估价对象抵押权未见登记。</v>
      </c>
    </row>
    <row r="63" spans="1:2">
      <c r="A63" s="2905" t="s">
        <v>2693</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2694</v>
      </c>
      <c r="B64" s="2911" t="str">
        <f>'预评函-3'!A13</f>
        <v>（3）。</v>
      </c>
    </row>
    <row r="65" spans="1:2">
      <c r="A65" s="2905" t="s">
        <v>2695</v>
      </c>
      <c r="B65" s="2912" t="str">
        <f>'预评函-3'!A14</f>
        <v>综上，本次评估不存在估价师知悉的法定优先受偿款</v>
      </c>
    </row>
    <row r="66" spans="1:2">
      <c r="A66" s="2905" t="s">
        <v>2696</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2697</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2700</v>
      </c>
      <c r="B68" s="2931">
        <f>'预评函-3'!D30</f>
        <v>42558</v>
      </c>
    </row>
    <row r="69" spans="1:2" ht="15" thickTop="1">
      <c r="A69" s="2916" t="s">
        <v>2698</v>
      </c>
      <c r="B69" s="2917" t="str">
        <f>'预评函-3'!A20</f>
        <v>刘梅</v>
      </c>
    </row>
    <row r="70" spans="1:2">
      <c r="A70" s="2905" t="s">
        <v>2698</v>
      </c>
      <c r="B70" s="2912">
        <f ca="1">'预评函-3'!B20</f>
        <v>2008110059</v>
      </c>
    </row>
    <row r="71" spans="1:2">
      <c r="A71" s="2905" t="s">
        <v>2699</v>
      </c>
      <c r="B71" s="2906" t="str">
        <f>'预评函-3'!A21</f>
        <v>吴薇</v>
      </c>
    </row>
    <row r="72" spans="1:2" s="2920" customFormat="1" ht="15" thickBot="1">
      <c r="A72" s="2927" t="s">
        <v>2699</v>
      </c>
      <c r="B72" s="2933">
        <f ca="1">'预评函-3'!B21</f>
        <v>2002110125</v>
      </c>
    </row>
    <row r="73" spans="1:2" ht="15" thickTop="1">
      <c r="A73" s="2916" t="s">
        <v>2758</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2759</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2760</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2795</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1" sqref="L11"/>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966" t="str">
        <f>IF(B10="北京市","北京市",C10)&amp;F10&amp;B16&amp;"国有建设用地使用权"&amp;B9&amp;"预评估"</f>
        <v>出让国有建设用地使用权市场价格预评估</v>
      </c>
      <c r="C1" s="3967"/>
      <c r="D1" s="3967"/>
      <c r="E1" s="3967"/>
      <c r="F1" s="3967"/>
      <c r="G1" s="3967"/>
      <c r="H1" s="3967"/>
      <c r="I1" s="3968"/>
      <c r="J1" s="1694"/>
      <c r="K1" s="2480" t="str">
        <f>IF(B10="北京市","北京市",C10)&amp;F10&amp;B16&amp;"国有建设用地使用权"&amp;B9</f>
        <v>出让国有建设用地使用权市场价格</v>
      </c>
      <c r="L1" s="1723"/>
      <c r="M1" s="1723"/>
      <c r="N1" s="1694"/>
      <c r="O1" s="1695"/>
      <c r="P1" s="1694"/>
      <c r="Q1" s="1694"/>
      <c r="R1" s="1694"/>
      <c r="S1" s="1694"/>
      <c r="T1" s="1694"/>
      <c r="U1" s="1694"/>
    </row>
    <row r="2" spans="1:21">
      <c r="A2" s="1660" t="s">
        <v>1942</v>
      </c>
      <c r="B2" s="1842" t="s">
        <v>2978</v>
      </c>
      <c r="D2" s="1694"/>
      <c r="E2" s="1694"/>
      <c r="F2" s="1694"/>
      <c r="G2" s="1694"/>
      <c r="H2" s="1660"/>
      <c r="I2" s="1695"/>
      <c r="J2" s="1694"/>
      <c r="K2" s="2480"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42940</v>
      </c>
      <c r="C3" s="1663" t="s">
        <v>1999</v>
      </c>
      <c r="D3" s="1662">
        <f>B3</f>
        <v>42940</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2979</v>
      </c>
      <c r="C4" s="1846">
        <f ca="1">SUMIF(土地估价师,B4,估价师及机构信息!E3:E24)</f>
        <v>2008110059</v>
      </c>
      <c r="D4" s="1843" t="s">
        <v>2980</v>
      </c>
      <c r="E4" s="1846">
        <f ca="1">SUMIF(土地估价师,D4,估价师及机构信息!E3:E24)</f>
        <v>2002110125</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刘梅、吴薇</v>
      </c>
      <c r="L4" s="1723"/>
      <c r="M4" s="1723"/>
      <c r="N4" s="1694"/>
      <c r="O4" s="1695"/>
      <c r="P4" s="1694"/>
      <c r="Q4" s="1694"/>
      <c r="R4" s="1694"/>
      <c r="S4" s="1694"/>
      <c r="T4" s="1694"/>
      <c r="U4" s="1694"/>
    </row>
    <row r="5" spans="1:21" ht="15" thickTop="1">
      <c r="A5" s="1665" t="s">
        <v>1945</v>
      </c>
      <c r="B5" s="1789" t="s">
        <v>2981</v>
      </c>
      <c r="C5" s="1666"/>
      <c r="D5" s="1667"/>
      <c r="E5" s="1694"/>
      <c r="F5" s="1694"/>
      <c r="G5" s="1694"/>
      <c r="H5" s="1660"/>
      <c r="I5" s="1695"/>
      <c r="J5" s="1694"/>
      <c r="K5" s="1774"/>
      <c r="L5" s="1723"/>
      <c r="M5" s="1723"/>
      <c r="N5" s="1694"/>
      <c r="O5" s="1695"/>
      <c r="P5" s="1694"/>
      <c r="Q5" s="1694"/>
      <c r="R5" s="1694"/>
      <c r="S5" s="1694"/>
      <c r="T5" s="1694"/>
      <c r="U5" s="1694"/>
    </row>
    <row r="6" spans="1:21" ht="26.25">
      <c r="A6" s="1663" t="s">
        <v>2714</v>
      </c>
      <c r="B6" s="1789" t="s">
        <v>2982</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2715</v>
      </c>
      <c r="B7" s="1789" t="str">
        <f>B5</f>
        <v>湖南金光华暮云房地产开发有限公司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2983</v>
      </c>
      <c r="C8" s="1671"/>
      <c r="D8" s="3972" t="s">
        <v>1948</v>
      </c>
      <c r="E8" s="1844" t="s">
        <v>2984</v>
      </c>
      <c r="F8" s="1672"/>
      <c r="G8" s="1660"/>
      <c r="H8" s="1660"/>
      <c r="I8" s="1707"/>
      <c r="J8" s="1694"/>
      <c r="K8" s="1774"/>
      <c r="L8" s="1723"/>
      <c r="M8" s="1723"/>
      <c r="N8" s="1694"/>
      <c r="O8" s="1695"/>
      <c r="P8" s="1694"/>
      <c r="Q8" s="1694"/>
      <c r="R8" s="1694"/>
      <c r="S8" s="1694"/>
      <c r="T8" s="1694"/>
      <c r="U8" s="1694"/>
    </row>
    <row r="9" spans="1:21" ht="15" thickBot="1">
      <c r="A9" s="1673" t="s">
        <v>1947</v>
      </c>
      <c r="B9" s="1674" t="s">
        <v>2985</v>
      </c>
      <c r="C9" s="1675"/>
      <c r="D9" s="3973"/>
      <c r="E9" s="1674" t="s">
        <v>953</v>
      </c>
      <c r="F9" s="1747"/>
      <c r="G9" s="1742"/>
      <c r="H9" s="1742"/>
      <c r="I9" s="1743"/>
      <c r="J9" s="1694"/>
      <c r="K9" s="1774"/>
      <c r="L9" s="1723"/>
      <c r="M9" s="1723"/>
      <c r="N9" s="1694"/>
      <c r="O9" s="1695"/>
      <c r="P9" s="1694"/>
      <c r="Q9" s="1694"/>
      <c r="R9" s="1694"/>
      <c r="S9" s="1694"/>
      <c r="T9" s="1694"/>
      <c r="U9" s="1694"/>
    </row>
    <row r="10" spans="1:21" ht="15" thickTop="1">
      <c r="A10" s="1744" t="s">
        <v>2002</v>
      </c>
      <c r="B10" s="1719" t="s">
        <v>2986</v>
      </c>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ht="42.75">
      <c r="A11" s="1697" t="s">
        <v>2003</v>
      </c>
      <c r="B11" s="1698" t="s">
        <v>2987</v>
      </c>
      <c r="C11" s="1679" t="str">
        <f>B5</f>
        <v>湖南金光华暮云房地产开发有限公司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969" t="s">
        <v>2993</v>
      </c>
      <c r="C12" s="3970"/>
      <c r="D12" s="3971"/>
      <c r="E12" s="1699" t="s">
        <v>2064</v>
      </c>
      <c r="F12" s="3987" t="s">
        <v>2897</v>
      </c>
      <c r="G12" s="3988"/>
      <c r="H12" s="3988"/>
      <c r="I12" s="3989"/>
      <c r="J12" s="1694"/>
      <c r="K12" s="1774"/>
      <c r="L12" s="1723"/>
      <c r="M12" s="1723"/>
      <c r="N12" s="1694"/>
      <c r="O12" s="1695"/>
      <c r="P12" s="1694"/>
      <c r="Q12" s="1694"/>
      <c r="R12" s="1694"/>
      <c r="S12" s="1694"/>
      <c r="T12" s="1694"/>
      <c r="U12" s="1694"/>
    </row>
    <row r="13" spans="1:21">
      <c r="A13" s="1687" t="s">
        <v>2062</v>
      </c>
      <c r="B13" s="3969" t="s">
        <v>2989</v>
      </c>
      <c r="C13" s="3970"/>
      <c r="D13" s="3971"/>
      <c r="E13" s="1699" t="s">
        <v>2064</v>
      </c>
      <c r="F13" s="3987" t="s">
        <v>2898</v>
      </c>
      <c r="G13" s="3988"/>
      <c r="H13" s="3988"/>
      <c r="I13" s="3989"/>
      <c r="J13" s="1694"/>
      <c r="K13" s="1774"/>
      <c r="L13" s="1723"/>
      <c r="M13" s="1723"/>
      <c r="N13" s="1694"/>
      <c r="O13" s="1695"/>
      <c r="P13" s="1694"/>
      <c r="Q13" s="1694"/>
      <c r="R13" s="1694"/>
      <c r="S13" s="1694"/>
      <c r="T13" s="1694"/>
      <c r="U13" s="1694"/>
    </row>
    <row r="14" spans="1:21">
      <c r="A14" s="1661" t="s">
        <v>2065</v>
      </c>
      <c r="B14" s="1699"/>
      <c r="C14" s="1845" t="s">
        <v>2990</v>
      </c>
      <c r="D14" s="1733" t="str">
        <f>IF(C14="不一致","是否符合证载地类范围","")</f>
        <v/>
      </c>
      <c r="E14" s="1699"/>
      <c r="F14" s="1790" t="s">
        <v>2991</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2992</v>
      </c>
      <c r="C16" s="1699" t="s">
        <v>1952</v>
      </c>
      <c r="D16" s="2672" t="s">
        <v>1953</v>
      </c>
      <c r="E16" s="1722" t="s">
        <v>2994</v>
      </c>
      <c r="F16" s="1722"/>
      <c r="G16" s="1722"/>
      <c r="H16" s="1722"/>
      <c r="I16" s="1686" t="s">
        <v>1958</v>
      </c>
      <c r="J16" s="1694"/>
      <c r="K16" s="2481" t="str">
        <f>IF(D17="","",D16&amp;TEXT(D17,"yyyy年m月d日;;"))</f>
        <v>住宅2087年12月29日</v>
      </c>
      <c r="L16" s="1699" t="str">
        <f>IF(OR(K16="",M16=""),"","、")</f>
        <v>、</v>
      </c>
      <c r="M16" s="2481" t="str">
        <f>IF(E17="","",E16&amp;TEXT(E17,"yyyy年m月d日;;"))</f>
        <v>商业2057年12月29日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68665</v>
      </c>
      <c r="E17" s="1700">
        <v>57708</v>
      </c>
      <c r="F17" s="1700"/>
      <c r="G17" s="1700"/>
      <c r="H17" s="1700"/>
      <c r="I17" s="1700"/>
      <c r="J17" s="1694"/>
      <c r="K17" s="2480" t="str">
        <f>CONCATENATE(K16,L16,M16,N16,O16,P16,Q16,R16,S16,T16,,U16)</f>
        <v>住宅2087年12月29日、商业2057年12月29日</v>
      </c>
      <c r="L17" s="1723"/>
      <c r="M17" s="1723"/>
      <c r="N17" s="1694"/>
      <c r="O17" s="1695"/>
      <c r="P17" s="1694"/>
      <c r="Q17" s="1694"/>
      <c r="R17" s="1694"/>
      <c r="S17" s="1694"/>
      <c r="T17" s="1694"/>
      <c r="U17" s="1694"/>
    </row>
    <row r="18" spans="1:21">
      <c r="A18" s="1763"/>
      <c r="B18" s="1682"/>
      <c r="C18" s="1683" t="s">
        <v>1960</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70</v>
      </c>
      <c r="E19" s="1685">
        <f>IF(B16="出让",IF(E17="","",ROUNDDOWN(MIN((E17-$D$3)/365,E18),2)),E18)</f>
        <v>40</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984" t="s">
        <v>2995</v>
      </c>
      <c r="E20" s="3985"/>
      <c r="F20" s="3985"/>
      <c r="G20" s="3985"/>
      <c r="H20" s="3985"/>
      <c r="I20" s="3986"/>
      <c r="J20" s="1694"/>
      <c r="K20" s="1774"/>
      <c r="L20" s="1723"/>
      <c r="M20" s="1723"/>
      <c r="N20" s="1694"/>
      <c r="O20" s="1695"/>
      <c r="P20" s="1694"/>
      <c r="Q20" s="1694"/>
      <c r="R20" s="1694"/>
      <c r="S20" s="1694"/>
      <c r="T20" s="1694"/>
      <c r="U20" s="1694"/>
    </row>
    <row r="21" spans="1:21">
      <c r="A21" s="1763" t="s">
        <v>1962</v>
      </c>
      <c r="B21" s="1764" t="s">
        <v>1963</v>
      </c>
      <c r="C21" s="1759">
        <f>'数据-汇总表'!E3</f>
        <v>183978.59999999998</v>
      </c>
      <c r="D21" s="1760" t="s">
        <v>1964</v>
      </c>
      <c r="E21" s="3974" t="s">
        <v>3405</v>
      </c>
      <c r="F21" s="3975"/>
      <c r="G21" s="3975"/>
      <c r="H21" s="3975"/>
      <c r="I21" s="3976"/>
      <c r="J21" s="1694"/>
      <c r="K21" s="1774"/>
      <c r="L21" s="1723"/>
      <c r="M21" s="1723"/>
      <c r="N21" s="1694"/>
      <c r="O21" s="1695"/>
      <c r="P21" s="1694"/>
      <c r="Q21" s="1694"/>
      <c r="R21" s="1694"/>
      <c r="S21" s="1694"/>
      <c r="T21" s="1694"/>
      <c r="U21" s="1694"/>
    </row>
    <row r="22" spans="1:21">
      <c r="A22" s="2663" t="s">
        <v>953</v>
      </c>
      <c r="B22" s="1661" t="s">
        <v>1965</v>
      </c>
      <c r="C22" s="1686">
        <f>'数据-汇总表'!D3</f>
        <v>70761</v>
      </c>
      <c r="D22" s="1687" t="s">
        <v>1964</v>
      </c>
      <c r="E22" s="3974"/>
      <c r="F22" s="3975"/>
      <c r="G22" s="3975"/>
      <c r="H22" s="3975"/>
      <c r="I22" s="3976"/>
      <c r="J22" s="1694"/>
      <c r="K22" s="1774"/>
      <c r="L22" s="1723"/>
      <c r="M22" s="1723"/>
      <c r="N22" s="1694"/>
      <c r="O22" s="1695"/>
      <c r="P22" s="1694"/>
      <c r="Q22" s="1694"/>
      <c r="R22" s="1694"/>
      <c r="S22" s="1694"/>
      <c r="T22" s="1694"/>
      <c r="U22" s="1694"/>
    </row>
    <row r="23" spans="1:21" ht="43.5" thickBot="1">
      <c r="A23" s="1765" t="s">
        <v>1966</v>
      </c>
      <c r="B23" s="1701" t="s">
        <v>1967</v>
      </c>
      <c r="C23" s="1702" t="s">
        <v>2996</v>
      </c>
      <c r="D23" s="1703" t="s">
        <v>1968</v>
      </c>
      <c r="E23" s="1704" t="s">
        <v>953</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977" t="s">
        <v>1970</v>
      </c>
      <c r="C24" s="3978"/>
      <c r="D24" s="3979" t="s">
        <v>1971</v>
      </c>
      <c r="E24" s="3980"/>
      <c r="F24" s="1708" t="s">
        <v>1972</v>
      </c>
      <c r="G24" s="1694"/>
      <c r="H24" s="1694"/>
      <c r="I24" s="1707"/>
      <c r="J24" s="1694"/>
      <c r="K24" s="3965"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1974</v>
      </c>
      <c r="D25" s="1710"/>
      <c r="E25" s="1711" t="s">
        <v>953</v>
      </c>
      <c r="F25" s="1712"/>
      <c r="G25" s="1694"/>
      <c r="H25" s="1694"/>
      <c r="I25" s="1707"/>
      <c r="J25" s="1694"/>
      <c r="K25" s="396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1975</v>
      </c>
      <c r="C26" s="1709" t="s">
        <v>2329</v>
      </c>
      <c r="D26" s="1660"/>
      <c r="E26" s="1660"/>
      <c r="F26" s="1688"/>
      <c r="G26" s="1694"/>
      <c r="H26" s="1694"/>
      <c r="I26" s="1707"/>
      <c r="J26" s="1694"/>
      <c r="K26" s="396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992" t="s">
        <v>2004</v>
      </c>
      <c r="B31" s="1764" t="s">
        <v>2005</v>
      </c>
      <c r="C31" s="3990" t="s">
        <v>2997</v>
      </c>
      <c r="D31" s="3991"/>
      <c r="E31" s="1694"/>
      <c r="F31" s="1694"/>
      <c r="G31" s="1694"/>
      <c r="H31" s="1694"/>
      <c r="I31" s="1707"/>
      <c r="J31" s="1694"/>
      <c r="K31" s="2483"/>
      <c r="L31" s="1694"/>
      <c r="M31" s="1694"/>
      <c r="N31" s="1694"/>
      <c r="O31" s="1694"/>
      <c r="P31" s="1694"/>
      <c r="Q31" s="1694"/>
      <c r="R31" s="1694"/>
      <c r="S31" s="1694"/>
      <c r="T31" s="1694"/>
      <c r="U31" s="1694"/>
    </row>
    <row r="32" spans="1:21">
      <c r="A32" s="3992"/>
      <c r="B32" s="1661" t="s">
        <v>2006</v>
      </c>
      <c r="C32" s="1719" t="s">
        <v>2998</v>
      </c>
      <c r="D32" s="1720"/>
      <c r="E32" s="1694"/>
      <c r="F32" s="1694"/>
      <c r="G32" s="1694"/>
      <c r="H32" s="1694"/>
      <c r="I32" s="1707"/>
      <c r="J32" s="1694"/>
      <c r="K32" s="2483"/>
      <c r="L32" s="1694"/>
      <c r="M32" s="1694"/>
      <c r="N32" s="1694"/>
      <c r="O32" s="1694"/>
      <c r="P32" s="1694"/>
      <c r="Q32" s="1694"/>
      <c r="R32" s="1694"/>
      <c r="S32" s="1694"/>
      <c r="T32" s="1694"/>
      <c r="U32" s="1694"/>
    </row>
    <row r="33" spans="1:21">
      <c r="A33" s="3992"/>
      <c r="B33" s="1661" t="s">
        <v>2007</v>
      </c>
      <c r="C33" s="1721" t="s">
        <v>2996</v>
      </c>
      <c r="D33" s="1838"/>
      <c r="E33" s="1694"/>
      <c r="F33" s="1694"/>
      <c r="G33" s="1694"/>
      <c r="H33" s="1694"/>
      <c r="I33" s="1707"/>
      <c r="J33" s="1694"/>
      <c r="K33" s="2483"/>
      <c r="L33" s="1694"/>
      <c r="M33" s="1694"/>
      <c r="N33" s="1694"/>
      <c r="O33" s="1694"/>
      <c r="P33" s="1694"/>
      <c r="Q33" s="1694"/>
      <c r="R33" s="1694"/>
      <c r="S33" s="1694"/>
      <c r="T33" s="1694"/>
      <c r="U33" s="1694"/>
    </row>
    <row r="34" spans="1:21">
      <c r="A34" s="3993"/>
      <c r="B34" s="1661" t="s">
        <v>2008</v>
      </c>
      <c r="C34" s="3994"/>
      <c r="D34" s="3995"/>
      <c r="E34" s="1694"/>
      <c r="F34" s="1694"/>
      <c r="G34" s="1694"/>
      <c r="H34" s="1694"/>
      <c r="I34" s="1707"/>
      <c r="J34" s="1694"/>
      <c r="K34" s="2483"/>
      <c r="L34" s="1694"/>
      <c r="M34" s="1694"/>
      <c r="N34" s="1694"/>
      <c r="O34" s="1694"/>
      <c r="P34" s="1694"/>
      <c r="Q34" s="1694"/>
      <c r="R34" s="1694"/>
      <c r="S34" s="1694"/>
      <c r="T34" s="1694"/>
      <c r="U34" s="1694"/>
    </row>
    <row r="35" spans="1:21">
      <c r="A35" s="3996" t="s">
        <v>848</v>
      </c>
      <c r="B35" s="1722" t="s">
        <v>2999</v>
      </c>
      <c r="C35" s="1776" t="str">
        <f>IF(B35="场地平整","——","具体情况：")</f>
        <v>具体情况：</v>
      </c>
      <c r="D35" s="3998"/>
      <c r="E35" s="3999"/>
      <c r="F35" s="3999"/>
      <c r="G35" s="3999"/>
      <c r="H35" s="3999"/>
      <c r="I35" s="4000"/>
      <c r="J35" s="1694"/>
      <c r="K35" s="1775"/>
      <c r="L35" s="1723"/>
      <c r="M35" s="1723"/>
      <c r="N35" s="1694"/>
      <c r="O35" s="1695"/>
      <c r="P35" s="1694"/>
      <c r="Q35" s="1694"/>
      <c r="R35" s="1694"/>
      <c r="S35" s="1694"/>
      <c r="T35" s="1694"/>
      <c r="U35" s="1694"/>
    </row>
    <row r="36" spans="1:21" ht="28.5">
      <c r="A36" s="3992"/>
      <c r="B36" s="4001" t="s">
        <v>2057</v>
      </c>
      <c r="C36" s="4002"/>
      <c r="D36" s="1792" t="s">
        <v>3000</v>
      </c>
      <c r="E36" s="4003"/>
      <c r="F36" s="4003"/>
      <c r="G36" s="1687" t="str">
        <f>IF(B35="场地未平整","估价结果处理","")</f>
        <v>估价结果处理</v>
      </c>
      <c r="H36" s="4004"/>
      <c r="I36" s="4004"/>
      <c r="J36" s="1694"/>
      <c r="K36" s="1775"/>
      <c r="L36" s="1723"/>
      <c r="M36" s="1723"/>
      <c r="N36" s="1694"/>
      <c r="O36" s="1695"/>
      <c r="P36" s="1694"/>
      <c r="Q36" s="1694"/>
      <c r="R36" s="1694"/>
      <c r="S36" s="1694"/>
      <c r="T36" s="1694"/>
      <c r="U36" s="1694"/>
    </row>
    <row r="37" spans="1:21" ht="28.5">
      <c r="A37" s="3992"/>
      <c r="B37" s="3981"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992"/>
      <c r="B38" s="3982"/>
      <c r="C38" s="1669" t="s">
        <v>851</v>
      </c>
      <c r="D38" s="1791">
        <f>ROUNDDOWN(MIN(('数据-取费表'!$B$2-D37)/365,D34),1)</f>
        <v>117.6</v>
      </c>
      <c r="E38" s="1727" t="s">
        <v>852</v>
      </c>
      <c r="F38" s="1694"/>
      <c r="G38" s="1694"/>
      <c r="H38" s="1694"/>
      <c r="I38" s="1707"/>
      <c r="J38" s="1694"/>
      <c r="K38" s="1775"/>
      <c r="L38" s="1694"/>
      <c r="M38" s="1694"/>
      <c r="N38" s="1694"/>
      <c r="O38" s="1694"/>
      <c r="P38" s="1694"/>
      <c r="Q38" s="1694"/>
      <c r="R38" s="1694"/>
      <c r="S38" s="1694"/>
      <c r="T38" s="1694"/>
      <c r="U38" s="1694"/>
    </row>
    <row r="39" spans="1:21">
      <c r="A39" s="3993"/>
      <c r="B39" s="398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t="s">
        <v>3001</v>
      </c>
      <c r="C40" s="1690" t="s">
        <v>3002</v>
      </c>
      <c r="D40" s="1690" t="s">
        <v>3003</v>
      </c>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964" t="s">
        <v>1989</v>
      </c>
      <c r="T40" s="1731" t="str">
        <f>NUMBERSTRING(7-K40,1)&amp;"通"</f>
        <v>七通</v>
      </c>
      <c r="U40" s="1694"/>
    </row>
    <row r="41" spans="1:21">
      <c r="A41" s="1663"/>
      <c r="B41" s="3997" t="s">
        <v>1723</v>
      </c>
      <c r="C41" s="3997"/>
      <c r="D41" s="3997"/>
      <c r="E41" s="3997"/>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v>
      </c>
      <c r="P41" s="1734" t="str">
        <f>B40&amp;"、"&amp;C40&amp;"、"&amp;D40&amp;"、"&amp;E40&amp;"、"&amp;F40</f>
        <v>通路、通电、通讯、、</v>
      </c>
      <c r="Q41" s="1734" t="str">
        <f>B40&amp;"、"&amp;C40&amp;"、"&amp;D40&amp;"、"&amp;E40&amp;"、"&amp;F40&amp;"、"&amp;G40</f>
        <v>通路、通电、通讯、、、</v>
      </c>
      <c r="R41" s="1734" t="str">
        <f>B40&amp;"、"&amp;C40&amp;"、"&amp;D40&amp;"、"&amp;E40&amp;"、"&amp;F40&amp;"、"&amp;G40&amp;"、"&amp;H40</f>
        <v>通路、通电、通讯、、、、</v>
      </c>
      <c r="S41" s="3964"/>
      <c r="T41" s="1733" t="str">
        <f>IF(T40="一通",L41,IF(T40="二通",M41,IF(T40="三通",N41,IF(T40="四通",O41,IF(T40="五通",P41,IF(T40="六通",Q41,R41))))))</f>
        <v>通路、通电、通讯、、、、</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2899</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8" sqref="B3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70761</v>
      </c>
      <c r="B3" s="22">
        <f>IF(C3="否",G5-AT5,G5)</f>
        <v>183978.59999999998</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183978.59999999998</v>
      </c>
      <c r="H5" s="27">
        <f t="shared" ref="H5:AT5" si="0">SUM(H13:H641)</f>
        <v>183978.59999999998</v>
      </c>
      <c r="I5" s="27">
        <f t="shared" si="0"/>
        <v>165580.74</v>
      </c>
      <c r="J5" s="27">
        <f t="shared" si="0"/>
        <v>0</v>
      </c>
      <c r="K5" s="27">
        <f t="shared" si="0"/>
        <v>18397.86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183978.59999999998</v>
      </c>
      <c r="BA5" s="29">
        <f t="shared" si="1"/>
        <v>183978.59999999998</v>
      </c>
      <c r="BB5" s="29">
        <f t="shared" si="1"/>
        <v>165580.74</v>
      </c>
      <c r="BC5" s="29">
        <f t="shared" si="1"/>
        <v>18397.86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70761</v>
      </c>
      <c r="F6" s="27" t="s">
        <v>1</v>
      </c>
      <c r="G6" s="27" t="s">
        <v>2</v>
      </c>
      <c r="H6" s="33">
        <f>SUMIF(I$12:AB$12,"总值",I6:AB6)</f>
        <v>70761</v>
      </c>
      <c r="I6" s="27">
        <f t="shared" ref="I6:AB6" si="2">ROUND($A$3*I5/$B$3,2)</f>
        <v>63684.9</v>
      </c>
      <c r="J6" s="27">
        <f t="shared" si="2"/>
        <v>0</v>
      </c>
      <c r="K6" s="27">
        <f t="shared" si="2"/>
        <v>7076.1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70761</v>
      </c>
      <c r="AZ6" s="27" t="s">
        <v>3</v>
      </c>
      <c r="BA6" s="27">
        <f>ROUND($AY$6*BA5/$AZ$5,2)</f>
        <v>70761</v>
      </c>
      <c r="BB6" s="27">
        <f>ROUND($AY$6*BB5/$AZ$5,2)</f>
        <v>63684.9</v>
      </c>
      <c r="BC6" s="27">
        <f t="shared" ref="BC6:BH6" si="4">ROUND($AY$6*BC5/$AZ$5,2)</f>
        <v>7076.1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3004</v>
      </c>
      <c r="J9" s="51"/>
      <c r="K9" s="3045" t="s">
        <v>3004</v>
      </c>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2994</v>
      </c>
      <c r="L10" s="51"/>
      <c r="M10" s="3047"/>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c r="J11" s="71"/>
      <c r="K11" s="3046"/>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1680</v>
      </c>
      <c r="E13" s="27">
        <f t="shared" ref="E13:E20" si="6">IF($C$3="是",ROUND($A$3*G13/$B$3,2),ROUND($A$3*(G13-AT13)/$B$3,2))</f>
        <v>70761</v>
      </c>
      <c r="F13" s="81"/>
      <c r="G13" s="82">
        <f t="shared" ref="G13:G20" si="7">H13+AC13+AT13</f>
        <v>183978.59999999998</v>
      </c>
      <c r="H13" s="33">
        <f t="shared" ref="H13:H20" si="8">SUMIF(I$12:AB$12,"总值",I13:AB13)</f>
        <v>183978.59999999998</v>
      </c>
      <c r="I13" s="3044">
        <v>165580.74</v>
      </c>
      <c r="J13" s="3044"/>
      <c r="K13" s="3044">
        <v>18397.86</v>
      </c>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70761</v>
      </c>
      <c r="AZ13" s="27">
        <f t="shared" ref="AZ13:AZ20" si="12">BA13+BL13</f>
        <v>183978.59999999998</v>
      </c>
      <c r="BA13" s="27">
        <f t="shared" ref="BA13:BA20" si="13">SUM(BB13:BK13)</f>
        <v>183978.59999999998</v>
      </c>
      <c r="BB13" s="27">
        <f t="shared" ref="BB13:BB20" si="14">IF($D13="是",I13-J13,0)</f>
        <v>165580.74</v>
      </c>
      <c r="BC13" s="27">
        <f t="shared" ref="BC13:BC20" si="15">IF($D13="是",K13-L13,0)</f>
        <v>18397.86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05" t="s">
        <v>0</v>
      </c>
      <c r="B1" s="4005" t="s">
        <v>4</v>
      </c>
      <c r="C1" s="4005" t="s">
        <v>5</v>
      </c>
      <c r="D1" s="4006" t="s">
        <v>40</v>
      </c>
      <c r="E1" s="4006" t="s">
        <v>41</v>
      </c>
      <c r="F1" s="4006"/>
      <c r="G1" s="4006"/>
      <c r="H1" s="4006"/>
      <c r="I1" s="4006"/>
      <c r="J1" s="4006"/>
      <c r="K1" s="4006"/>
      <c r="L1" s="4006"/>
      <c r="M1" s="4006"/>
    </row>
    <row r="2" spans="1:13" ht="27" customHeight="1">
      <c r="A2" s="4005"/>
      <c r="B2" s="4005"/>
      <c r="C2" s="4005"/>
      <c r="D2" s="4006"/>
      <c r="E2" s="4006" t="s">
        <v>24</v>
      </c>
      <c r="F2" s="4006" t="s">
        <v>25</v>
      </c>
      <c r="G2" s="4006"/>
      <c r="H2" s="4006"/>
      <c r="I2" s="4006"/>
      <c r="J2" s="4006" t="s">
        <v>26</v>
      </c>
      <c r="K2" s="4006"/>
      <c r="L2" s="4006"/>
      <c r="M2" s="4006"/>
    </row>
    <row r="3" spans="1:13" ht="28.5">
      <c r="A3" s="4005"/>
      <c r="B3" s="4005"/>
      <c r="C3" s="4005"/>
      <c r="D3" s="4006"/>
      <c r="E3" s="40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06" t="s">
        <v>42</v>
      </c>
      <c r="B9" s="4006"/>
      <c r="C9" s="40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6" sqref="F36"/>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4016" t="s">
        <v>203</v>
      </c>
      <c r="B2" s="4016"/>
      <c r="C2" s="4016"/>
      <c r="D2" s="1976" t="s">
        <v>204</v>
      </c>
      <c r="E2" s="106" t="s">
        <v>205</v>
      </c>
      <c r="F2" s="1985"/>
      <c r="G2" s="1198"/>
      <c r="H2" s="1199"/>
      <c r="I2" s="1200" t="s">
        <v>858</v>
      </c>
      <c r="J2" s="1985"/>
      <c r="K2" s="1985"/>
      <c r="L2" s="1985"/>
    </row>
    <row r="3" spans="1:16" ht="15.75" thickBot="1">
      <c r="A3" s="4017" t="s">
        <v>206</v>
      </c>
      <c r="B3" s="4017"/>
      <c r="C3" s="4017"/>
      <c r="D3" s="107">
        <f>'数据-基础表'!AY6</f>
        <v>70761</v>
      </c>
      <c r="E3" s="107">
        <f>'数据-基础表'!AZ5</f>
        <v>183978.59999999998</v>
      </c>
      <c r="F3" s="1985"/>
      <c r="G3" s="280" t="s">
        <v>859</v>
      </c>
      <c r="H3" s="275" t="s">
        <v>860</v>
      </c>
      <c r="I3" s="1977">
        <f>ROUND('数据-基础表'!B3/'数据-基础表'!A3,2)</f>
        <v>2.6</v>
      </c>
      <c r="J3" s="1985"/>
      <c r="K3" s="1985"/>
      <c r="L3" s="1985"/>
    </row>
    <row r="4" spans="1:16" ht="15">
      <c r="A4" s="4018"/>
      <c r="B4" s="4019"/>
      <c r="C4" s="4020"/>
      <c r="D4" s="108" t="s">
        <v>204</v>
      </c>
      <c r="E4" s="109" t="s">
        <v>205</v>
      </c>
      <c r="F4" s="1985"/>
      <c r="G4" s="1201"/>
      <c r="H4" s="275" t="s">
        <v>861</v>
      </c>
      <c r="I4" s="1977">
        <f>ROUND(SUMIF('数据-基础表'!I9:AS9,"地上",'数据-基础表'!I5:AS5)/'数据-基础表'!A3,2)</f>
        <v>2.6</v>
      </c>
      <c r="J4" s="1985"/>
      <c r="K4" s="1985"/>
      <c r="L4" s="1985"/>
    </row>
    <row r="5" spans="1:16">
      <c r="A5" s="110" t="s">
        <v>207</v>
      </c>
      <c r="B5" s="4021" t="s">
        <v>230</v>
      </c>
      <c r="C5" s="4021"/>
      <c r="D5" s="111">
        <f>ROUND($D$3*E5/$E$3,2)</f>
        <v>63684.9</v>
      </c>
      <c r="E5" s="112">
        <f>SUMIF('数据-基础表'!$11:$11,"住宅",'数据-基础表'!$5:$5)</f>
        <v>165580.74</v>
      </c>
      <c r="F5" s="1985"/>
      <c r="G5" s="280" t="s">
        <v>862</v>
      </c>
      <c r="H5" s="275" t="s">
        <v>860</v>
      </c>
      <c r="I5" s="1977">
        <f>ROUND(E31/D31,2)</f>
        <v>2.6</v>
      </c>
      <c r="J5" s="1985"/>
      <c r="K5" s="1985"/>
      <c r="L5" s="1985"/>
    </row>
    <row r="6" spans="1:16" ht="15" thickBot="1">
      <c r="A6" s="113"/>
      <c r="B6" s="4021" t="s">
        <v>208</v>
      </c>
      <c r="C6" s="4021"/>
      <c r="D6" s="111">
        <f>ROUND($D$3*E6/$E$3,2)</f>
        <v>7076.1</v>
      </c>
      <c r="E6" s="112">
        <f>E3-E5</f>
        <v>18397.859999999986</v>
      </c>
      <c r="F6" s="1985"/>
      <c r="G6" s="1201"/>
      <c r="H6" s="275" t="s">
        <v>861</v>
      </c>
      <c r="I6" s="1977">
        <f>ROUND(F31/D31,2)</f>
        <v>2.6</v>
      </c>
      <c r="J6" s="1985"/>
      <c r="K6" s="1985"/>
      <c r="L6" s="1985"/>
    </row>
    <row r="7" spans="1:16" ht="15">
      <c r="A7" s="4013"/>
      <c r="B7" s="4014"/>
      <c r="C7" s="4015"/>
      <c r="D7" s="108" t="s">
        <v>204</v>
      </c>
      <c r="E7" s="114" t="s">
        <v>231</v>
      </c>
      <c r="F7" s="1985"/>
      <c r="G7" s="1156" t="s">
        <v>1647</v>
      </c>
      <c r="H7" s="1157"/>
      <c r="I7" s="1847">
        <v>4</v>
      </c>
      <c r="J7" s="1985"/>
      <c r="K7" s="1985"/>
      <c r="L7" s="1985"/>
    </row>
    <row r="8" spans="1:16">
      <c r="A8" s="110" t="s">
        <v>209</v>
      </c>
      <c r="B8" s="115" t="s">
        <v>210</v>
      </c>
      <c r="C8" s="111" t="s">
        <v>211</v>
      </c>
      <c r="D8" s="111">
        <f t="shared" ref="D8:D15" si="0">ROUND($D$3*E8/$E$3,2)</f>
        <v>70761</v>
      </c>
      <c r="E8" s="116">
        <f>SUMIF('数据-基础表'!BB10:BK10,"地上",'数据-基础表'!BB5:BK5)</f>
        <v>183978.59999999998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70761</v>
      </c>
      <c r="E16" s="120">
        <f>SUM(E8:E15)</f>
        <v>183978.59999999998</v>
      </c>
      <c r="F16" s="1985"/>
      <c r="G16" s="1987"/>
      <c r="H16" s="968" t="s">
        <v>219</v>
      </c>
      <c r="I16" s="969"/>
      <c r="J16" s="1985"/>
      <c r="K16" s="4007" t="s">
        <v>2572</v>
      </c>
      <c r="L16" s="4008"/>
      <c r="M16" s="4008"/>
      <c r="N16" s="4008"/>
      <c r="O16" s="4008"/>
      <c r="P16" s="4009"/>
    </row>
    <row r="17" spans="1:19" ht="15">
      <c r="A17" s="121" t="s">
        <v>216</v>
      </c>
      <c r="B17" s="122" t="s">
        <v>217</v>
      </c>
      <c r="C17" s="2299" t="s">
        <v>2316</v>
      </c>
      <c r="D17" s="108" t="s">
        <v>204</v>
      </c>
      <c r="E17" s="124" t="s">
        <v>205</v>
      </c>
      <c r="F17" s="125"/>
      <c r="G17" s="1366"/>
      <c r="H17" s="970" t="s">
        <v>218</v>
      </c>
      <c r="I17" s="971" t="s">
        <v>2315</v>
      </c>
      <c r="J17" s="1985"/>
      <c r="K17" s="4010" t="s">
        <v>2573</v>
      </c>
      <c r="L17" s="4011"/>
      <c r="M17" s="4012"/>
      <c r="N17" s="4010" t="s">
        <v>2574</v>
      </c>
      <c r="O17" s="4011"/>
      <c r="P17" s="4012"/>
      <c r="R17" s="2300" t="s">
        <v>2314</v>
      </c>
      <c r="S17" s="144"/>
    </row>
    <row r="18" spans="1:19" ht="15">
      <c r="A18" s="117"/>
      <c r="B18" s="128"/>
      <c r="C18" s="129"/>
      <c r="D18" s="2668"/>
      <c r="E18" s="130" t="s">
        <v>220</v>
      </c>
      <c r="F18" s="131" t="s">
        <v>221</v>
      </c>
      <c r="G18" s="1367" t="s">
        <v>222</v>
      </c>
      <c r="H18" s="972" t="s">
        <v>223</v>
      </c>
      <c r="I18" s="973" t="s">
        <v>224</v>
      </c>
      <c r="J18" s="1985"/>
      <c r="K18" s="2630" t="s">
        <v>2575</v>
      </c>
      <c r="L18" s="2631" t="s">
        <v>2576</v>
      </c>
      <c r="M18" s="2632" t="s">
        <v>2577</v>
      </c>
      <c r="N18" s="2630" t="s">
        <v>2575</v>
      </c>
      <c r="O18" s="2631" t="s">
        <v>2576</v>
      </c>
      <c r="P18" s="2632" t="s">
        <v>2577</v>
      </c>
      <c r="R18" s="2301" t="s">
        <v>2312</v>
      </c>
      <c r="S18" s="2301" t="s">
        <v>2313</v>
      </c>
    </row>
    <row r="19" spans="1:19">
      <c r="A19" s="133"/>
      <c r="B19" s="115" t="s">
        <v>225</v>
      </c>
      <c r="C19" s="3051" t="s">
        <v>3005</v>
      </c>
      <c r="D19" s="111">
        <f t="shared" ref="D19:D26" si="1">ROUND($D$3*E19/$E$3,2)</f>
        <v>63684.9</v>
      </c>
      <c r="E19" s="134">
        <f t="shared" ref="E19:E26" si="2">SUM(F19:G19)</f>
        <v>165580.74</v>
      </c>
      <c r="F19" s="135">
        <f>'数据-基础表'!I13</f>
        <v>165580.74</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63684.9</v>
      </c>
      <c r="S19" s="2302">
        <f t="shared" si="5"/>
        <v>165580.74</v>
      </c>
    </row>
    <row r="20" spans="1:19">
      <c r="A20" s="138"/>
      <c r="B20" s="115" t="s">
        <v>226</v>
      </c>
      <c r="C20" s="3051" t="s">
        <v>3006</v>
      </c>
      <c r="D20" s="111">
        <f t="shared" si="1"/>
        <v>7076.1</v>
      </c>
      <c r="E20" s="134">
        <f t="shared" si="2"/>
        <v>18397.86</v>
      </c>
      <c r="F20" s="135">
        <f>'数据-基础表'!K13</f>
        <v>18397.86</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7076.1</v>
      </c>
      <c r="S20" s="2302">
        <f t="shared" si="5"/>
        <v>18397.86</v>
      </c>
    </row>
    <row r="21" spans="1:19">
      <c r="A21" s="138"/>
      <c r="B21" s="115" t="s">
        <v>226</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70761</v>
      </c>
      <c r="E27" s="143">
        <f>IF(SUM(E19:E26)='数据-基础表'!BA5,SUM(E19:E26),IF(F27="地上面积有误","面积有误","地下面积有误"))</f>
        <v>183978.59999999998</v>
      </c>
      <c r="F27" s="134">
        <f>IF(SUM(F19:F26)=E8,SUM(F19:F26),"地上面积有误")</f>
        <v>183978.59999999998</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70761</v>
      </c>
      <c r="S27" s="275">
        <f>IF(SUM(S19:S26)=$E$3,SUM(S19:S26),SUM(S19:S26)&amp;"误差"&amp;ROUND(SUM(S19:S26)-E3,2))</f>
        <v>183978.59999999998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70761</v>
      </c>
      <c r="E31" s="1372">
        <f>E27+E30</f>
        <v>183978.59999999998</v>
      </c>
      <c r="F31" s="1373">
        <f>F27+F30</f>
        <v>183978.59999999998</v>
      </c>
      <c r="G31" s="1374">
        <f>G27+G30</f>
        <v>0</v>
      </c>
      <c r="H31" s="1985"/>
      <c r="I31" s="1985"/>
      <c r="J31" s="1985"/>
      <c r="K31" s="1985"/>
      <c r="L31" s="1985"/>
    </row>
    <row r="32" spans="1:19">
      <c r="A32" s="1985"/>
      <c r="B32" s="2364" t="s">
        <v>2324</v>
      </c>
      <c r="C32" s="2673"/>
      <c r="D32" s="1201"/>
      <c r="E32" s="1201">
        <f>SUMIF(C19:C26,"*住宅*",E19:E26)</f>
        <v>165580.74</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B44" sqref="B4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42940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2836</v>
      </c>
      <c r="O5" s="163" t="s">
        <v>246</v>
      </c>
      <c r="P5" s="165" t="s">
        <v>247</v>
      </c>
      <c r="Q5" s="166" t="s">
        <v>248</v>
      </c>
      <c r="R5" s="167" t="s">
        <v>249</v>
      </c>
      <c r="S5" s="2646" t="s">
        <v>2578</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2377</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68665</v>
      </c>
      <c r="F6" s="174">
        <f>SUMIF(项目基本情况!D$15:I$15,C6,项目基本情况!D$19:I$19)</f>
        <v>70</v>
      </c>
      <c r="G6" s="175">
        <f>IF(ISERROR(ROUND(POWER(1+H6,D6-F6)*(POWER(1+H6,F6)-1)/(POWER(1+H6,D6)-1),3)),0,ROUND(POWER(1+H6,D6-F6)*(POWER(1+H6,F6)-1)/(POWER(1+H6,D6)-1),3))</f>
        <v>1</v>
      </c>
      <c r="H6" s="3167">
        <v>4.4999999999999998E-2</v>
      </c>
      <c r="I6" s="3167">
        <v>0.05</v>
      </c>
      <c r="J6" s="196">
        <v>8.5000000000000006E-2</v>
      </c>
      <c r="K6" s="179">
        <f>SUMIF('数据-汇总表'!C$19:C$33,'数据-取费表'!A6,'数据-汇总表'!E$19:E$33)</f>
        <v>165580.74</v>
      </c>
      <c r="L6" s="3053">
        <v>2700</v>
      </c>
      <c r="M6" s="177">
        <f t="shared" ref="M6:M14" si="0">ROUND(K6*L6/10000,0)</f>
        <v>44707</v>
      </c>
      <c r="N6" s="3054">
        <v>0</v>
      </c>
      <c r="O6" s="177">
        <f>IF($N$5="成新度","——",ROUND(M6*N6,0))</f>
        <v>0</v>
      </c>
      <c r="P6" s="178">
        <f>IF($N$5="成新度","——",M6-O6)</f>
        <v>44707</v>
      </c>
      <c r="Q6" s="3055">
        <v>0.15</v>
      </c>
      <c r="R6" s="179">
        <f>SUMIF('数据-汇总表'!C$19:C$33,A6,'数据-汇总表'!R$19:R$33)</f>
        <v>63684.9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v>1</v>
      </c>
      <c r="Z6" s="183"/>
      <c r="AA6" s="176"/>
      <c r="AB6" s="176"/>
      <c r="AC6" s="2325"/>
      <c r="AD6" s="184"/>
      <c r="AE6" s="972">
        <f ca="1">IF(AN6="",0,SUMIF(INDIRECT("'"&amp;AN6&amp;"'"&amp;"!E:E"),$AE$5,INDIRECT("'"&amp;AN6&amp;"'"&amp;"!F:F")))</f>
        <v>0</v>
      </c>
      <c r="AF6" s="141"/>
      <c r="AG6" s="1213">
        <f>IF(AF6="",0,AE6-AF6)</f>
        <v>0</v>
      </c>
      <c r="AH6" s="141"/>
      <c r="AI6" s="187"/>
      <c r="AJ6" s="188"/>
      <c r="AK6" s="189">
        <v>0.02</v>
      </c>
      <c r="AL6" s="190">
        <v>2E-3</v>
      </c>
      <c r="AM6" s="3066">
        <v>0.02</v>
      </c>
      <c r="AN6" s="2417"/>
      <c r="AO6" s="2001"/>
      <c r="AP6" s="1204">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2994</v>
      </c>
      <c r="D7" s="2309">
        <f>SUMIF(项目基本情况!D$15:I$15,C7,项目基本情况!D$18:I$18)</f>
        <v>40</v>
      </c>
      <c r="E7" s="2310">
        <f>IF(B7="","",SUMIF(项目基本情况!D$15:I$15,C7,项目基本情况!D$17:I$17))</f>
        <v>57708</v>
      </c>
      <c r="F7" s="174">
        <f>SUMIF(项目基本情况!D$15:I$15,C7,项目基本情况!D$19:I$19)</f>
        <v>40</v>
      </c>
      <c r="G7" s="175">
        <f t="shared" ref="G7:G11" si="2">IF(ISERROR(ROUND(POWER(1+H7,D7-F7)*(POWER(1+H7,F7)-1)/(POWER(1+H7,D7)-1),3)),0,ROUND(POWER(1+H7,D7-F7)*(POWER(1+H7,F7)-1)/(POWER(1+H7,D7)-1),3))</f>
        <v>1</v>
      </c>
      <c r="H7" s="3167">
        <v>0.05</v>
      </c>
      <c r="I7" s="3167">
        <v>5.5E-2</v>
      </c>
      <c r="J7" s="196">
        <v>8.5000000000000006E-2</v>
      </c>
      <c r="K7" s="179">
        <f>SUMIF('数据-汇总表'!C$19:C$33,'数据-取费表'!A7,'数据-汇总表'!E$19:E$33)</f>
        <v>18397.86</v>
      </c>
      <c r="L7" s="3053">
        <v>2700</v>
      </c>
      <c r="M7" s="177">
        <f t="shared" si="0"/>
        <v>4967</v>
      </c>
      <c r="N7" s="3054">
        <v>0</v>
      </c>
      <c r="O7" s="177">
        <f t="shared" ref="O7:O14" si="3">IF($N$5="成新度","——",ROUND(M7*N7,0))</f>
        <v>0</v>
      </c>
      <c r="P7" s="178">
        <f t="shared" ref="P7:P14" si="4">IF($N$5="成新度","——",M7-O7)</f>
        <v>4967</v>
      </c>
      <c r="Q7" s="3055">
        <v>0.2</v>
      </c>
      <c r="R7" s="179">
        <f>SUMIF('数据-汇总表'!C$19:C$33,A7,'数据-汇总表'!R$19:R$33)</f>
        <v>7076.1</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v>1</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v>0.02</v>
      </c>
      <c r="AL7" s="190">
        <v>2E-3</v>
      </c>
      <c r="AM7" s="3066">
        <v>0.02</v>
      </c>
      <c r="AN7" s="2417"/>
      <c r="AO7" s="2001"/>
      <c r="AP7" s="1204">
        <f t="shared" ref="AP7:AP13" si="8">ROUND(1-1/(1+H7)^F7,3)</f>
        <v>0.85799999999999998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183978.59999999998</v>
      </c>
      <c r="L16" s="206">
        <f>ROUND(M16*10000/SUM(K6:K14),0)</f>
        <v>2700</v>
      </c>
      <c r="M16" s="206">
        <f>SUM(M6:M14)</f>
        <v>49674</v>
      </c>
      <c r="N16" s="207">
        <f>ROUND(SUMPRODUCT(M6:M14,N6:N14)/M16,3)</f>
        <v>0</v>
      </c>
      <c r="O16" s="206">
        <f>SUM(O6:O14)</f>
        <v>0</v>
      </c>
      <c r="P16" s="206">
        <f>SUM(P6:P14)</f>
        <v>49674</v>
      </c>
      <c r="Q16" s="208">
        <f>ROUND(SUMPRODUCT(Q6:Q13,K6:K13)/SUMPRODUCT((Q6:Q13&gt;0)*(K6:K13)),2)</f>
        <v>0.16</v>
      </c>
      <c r="R16" s="2312">
        <f>SUM(R6:R13)</f>
        <v>70761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0.94399999999999995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130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130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150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2901</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6" t="s">
        <v>2902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2903</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2461</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2462</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2908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2" t="s">
        <v>2909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2910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1328</v>
      </c>
      <c r="C53" s="3103" t="s">
        <v>2911</v>
      </c>
      <c r="D53" s="3104" t="s">
        <v>2912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2913</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2914</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2915</v>
      </c>
      <c r="B56" s="186">
        <v>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2916</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2917</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2918</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2920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98" priority="12" stopIfTrue="1" operator="containsText" text="自行计算">
      <formula>NOT(ISERROR(SEARCH("自行计算",T6)))</formula>
    </cfRule>
    <cfRule type="containsText" dxfId="197" priority="13" stopIfTrue="1" operator="containsText" text="自行计算">
      <formula>NOT(ISERROR(SEARCH("自行计算",T6)))</formula>
    </cfRule>
  </conditionalFormatting>
  <conditionalFormatting sqref="T6:T13">
    <cfRule type="containsText" dxfId="196" priority="10" stopIfTrue="1" operator="containsText" text="自行计算">
      <formula>NOT(ISERROR(SEARCH("自行计算",T6)))</formula>
    </cfRule>
    <cfRule type="containsText" dxfId="195" priority="11" stopIfTrue="1" operator="containsText" text="自行计算">
      <formula>NOT(ISERROR(SEARCH("自行计算",T6)))</formula>
    </cfRule>
  </conditionalFormatting>
  <conditionalFormatting sqref="T12:T13">
    <cfRule type="containsText" dxfId="194" priority="4" stopIfTrue="1" operator="containsText" text="自行计算">
      <formula>NOT(ISERROR(SEARCH("自行计算",T12)))</formula>
    </cfRule>
    <cfRule type="containsText" dxfId="193" priority="5" stopIfTrue="1" operator="containsText" text="自行计算">
      <formula>NOT(ISERROR(SEARCH("自行计算",T12)))</formula>
    </cfRule>
  </conditionalFormatting>
  <conditionalFormatting sqref="T12:T13">
    <cfRule type="containsText" dxfId="192" priority="2" stopIfTrue="1" operator="containsText" text="自行计算">
      <formula>NOT(ISERROR(SEARCH("自行计算",T12)))</formula>
    </cfRule>
    <cfRule type="containsText" dxfId="191" priority="3" stopIfTrue="1" operator="containsText" text="自行计算">
      <formula>NOT(ISERROR(SEARCH("自行计算",T12)))</formula>
    </cfRule>
  </conditionalFormatting>
  <conditionalFormatting sqref="T6:T15">
    <cfRule type="expression" dxfId="19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4022" t="s">
        <v>1665</v>
      </c>
      <c r="B1" s="4023"/>
      <c r="C1" s="4023"/>
      <c r="D1" s="4023"/>
      <c r="E1" s="4023"/>
      <c r="F1" s="4023"/>
      <c r="G1" s="4023"/>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67.5">
      <c r="A3" s="1227" t="s">
        <v>1668</v>
      </c>
      <c r="B3" s="1228" t="s">
        <v>1655</v>
      </c>
      <c r="C3" s="3510" t="s">
        <v>3169</v>
      </c>
      <c r="D3" s="2010"/>
      <c r="E3" s="1229" t="s">
        <v>1668</v>
      </c>
      <c r="F3" s="1230" t="s">
        <v>1656</v>
      </c>
      <c r="G3" s="3111" t="s">
        <v>2927</v>
      </c>
      <c r="H3" s="2009"/>
      <c r="I3" s="2009"/>
      <c r="J3" s="2009"/>
      <c r="K3" s="2009"/>
      <c r="L3" s="2009"/>
      <c r="M3" s="2009"/>
      <c r="N3" s="2009"/>
      <c r="O3" s="2009"/>
      <c r="P3" s="2009"/>
      <c r="Q3" s="2009"/>
      <c r="R3" s="2009"/>
    </row>
    <row r="4" spans="1:18" ht="54">
      <c r="A4" s="1229"/>
      <c r="B4" s="1231" t="s">
        <v>1669</v>
      </c>
      <c r="C4" s="3511" t="s">
        <v>3170</v>
      </c>
      <c r="D4" s="2010"/>
      <c r="E4" s="1232"/>
      <c r="F4" s="1233" t="s">
        <v>1670</v>
      </c>
      <c r="G4" s="3109" t="s">
        <v>2924</v>
      </c>
      <c r="H4" s="2009"/>
      <c r="I4" s="2009"/>
      <c r="J4" s="2009"/>
      <c r="K4" s="2009"/>
      <c r="L4" s="2009"/>
      <c r="M4" s="2009"/>
      <c r="N4" s="2009"/>
      <c r="O4" s="2009"/>
      <c r="P4" s="2009"/>
      <c r="Q4" s="2009"/>
      <c r="R4" s="2009"/>
    </row>
    <row r="5" spans="1:18" ht="41.25">
      <c r="A5" s="1229"/>
      <c r="B5" s="1231" t="s">
        <v>1671</v>
      </c>
      <c r="C5" s="3108" t="s">
        <v>2928</v>
      </c>
      <c r="D5" s="2010"/>
      <c r="E5" s="1232"/>
      <c r="F5" s="1231" t="s">
        <v>2552</v>
      </c>
      <c r="G5" s="3109" t="s">
        <v>2925</v>
      </c>
      <c r="H5" s="2009"/>
      <c r="I5" s="2009"/>
      <c r="J5" s="2009"/>
      <c r="K5" s="2009"/>
      <c r="L5" s="2009"/>
      <c r="M5" s="2009"/>
      <c r="N5" s="2009"/>
      <c r="O5" s="2009"/>
      <c r="P5" s="2009"/>
      <c r="Q5" s="2009"/>
      <c r="R5" s="2009"/>
    </row>
    <row r="6" spans="1:18" ht="54">
      <c r="A6" s="1229"/>
      <c r="B6" s="1231" t="s">
        <v>1657</v>
      </c>
      <c r="C6" s="3512" t="s">
        <v>3171</v>
      </c>
      <c r="D6" s="2010"/>
      <c r="E6" s="1232"/>
      <c r="F6" s="1231" t="s">
        <v>2553</v>
      </c>
      <c r="G6" s="3109" t="s">
        <v>2923</v>
      </c>
      <c r="H6" s="2009"/>
      <c r="I6" s="2009"/>
      <c r="J6" s="2009"/>
      <c r="K6" s="2009"/>
      <c r="L6" s="2009"/>
      <c r="M6" s="2009"/>
      <c r="N6" s="2009"/>
      <c r="O6" s="2009"/>
      <c r="P6" s="2009"/>
      <c r="Q6" s="2009"/>
      <c r="R6" s="2009"/>
    </row>
    <row r="7" spans="1:18" ht="41.25" thickBot="1">
      <c r="A7" s="1229"/>
      <c r="B7" s="1231" t="s">
        <v>2552</v>
      </c>
      <c r="C7" s="3512" t="s">
        <v>3172</v>
      </c>
      <c r="D7" s="2011"/>
      <c r="E7" s="1234"/>
      <c r="F7" s="1235" t="s">
        <v>1672</v>
      </c>
      <c r="G7" s="3112" t="s">
        <v>2926</v>
      </c>
      <c r="H7" s="2009"/>
      <c r="I7" s="2009"/>
      <c r="J7" s="2009"/>
      <c r="K7" s="2009"/>
      <c r="L7" s="2009"/>
      <c r="M7" s="2009"/>
      <c r="N7" s="2009"/>
      <c r="O7" s="2009"/>
      <c r="P7" s="2009"/>
      <c r="Q7" s="2009"/>
      <c r="R7" s="2009"/>
    </row>
    <row r="8" spans="1:18" ht="27">
      <c r="A8" s="1229"/>
      <c r="B8" s="1231" t="s">
        <v>2553</v>
      </c>
      <c r="C8" s="3512" t="s">
        <v>3173</v>
      </c>
      <c r="D8" s="2011"/>
      <c r="E8" s="2011"/>
      <c r="F8" s="1554"/>
      <c r="G8" s="1554"/>
      <c r="H8" s="2009"/>
      <c r="I8" s="2009"/>
      <c r="J8" s="2009"/>
      <c r="K8" s="2009"/>
      <c r="L8" s="2009"/>
      <c r="M8" s="2009"/>
      <c r="N8" s="2009"/>
      <c r="O8" s="2009"/>
      <c r="P8" s="2009"/>
      <c r="Q8" s="2009"/>
      <c r="R8" s="2009"/>
    </row>
    <row r="9" spans="1:18" ht="81">
      <c r="A9" s="1229"/>
      <c r="B9" s="1231" t="s">
        <v>1658</v>
      </c>
      <c r="C9" s="3511" t="s">
        <v>3174</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0" t="s">
        <v>3176</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67.5">
      <c r="A15" s="2613" t="s">
        <v>1659</v>
      </c>
      <c r="B15" s="1242" t="s">
        <v>1655</v>
      </c>
      <c r="C15" s="1243" t="str">
        <f>C3</f>
        <v>估价对象周边居住用地比例一般、有一定数量居住小区、入住率一般，综合评价居住社区成熟度一般。</v>
      </c>
      <c r="D15" s="2010"/>
      <c r="E15" s="2610" t="s">
        <v>1660</v>
      </c>
      <c r="F15" s="1242" t="s">
        <v>1675</v>
      </c>
      <c r="G15" s="1244" t="str">
        <f>G3</f>
        <v>估价对象位于XX开发区，园区建设成熟度XX，产业集聚程度XX</v>
      </c>
    </row>
    <row r="16" spans="1:18" ht="54">
      <c r="A16" s="2614"/>
      <c r="B16" s="1245" t="s">
        <v>1669</v>
      </c>
      <c r="C16" s="1246" t="str">
        <f>C4</f>
        <v>估价对象周边商业氛围一般、大型商业较少、人流量一般、商业繁华度一般。</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54">
      <c r="A18" s="2614"/>
      <c r="B18" s="1247" t="s">
        <v>1657</v>
      </c>
      <c r="C18" s="1005" t="str">
        <f>C6</f>
        <v>估价对象周边路网密集程度一般、有一定数量公交车、停车较便捷，综合评价交通便捷度一般。</v>
      </c>
      <c r="D18" s="2011"/>
      <c r="E18" s="2611"/>
      <c r="F18" s="1247" t="s">
        <v>1672</v>
      </c>
      <c r="G18" s="1005" t="str">
        <f>G7</f>
        <v>该园区内是否有污染型企业，绿化情况，卫生条件，整体环境状况判断</v>
      </c>
    </row>
    <row r="19" spans="1:7" ht="27">
      <c r="A19" s="2614"/>
      <c r="B19" s="1247" t="s">
        <v>1661</v>
      </c>
      <c r="C19" s="3513" t="s">
        <v>3175</v>
      </c>
      <c r="D19" s="2010"/>
      <c r="E19" s="2611"/>
      <c r="F19" s="1231" t="s">
        <v>2552</v>
      </c>
      <c r="G19" s="1005" t="str">
        <f>G5</f>
        <v>估价对象所在区域公共配套设施齐备情况</v>
      </c>
    </row>
    <row r="20" spans="1:7" ht="81">
      <c r="A20" s="2614"/>
      <c r="B20" s="1247" t="s">
        <v>1662</v>
      </c>
      <c r="C20" s="1246" t="str">
        <f>C9</f>
        <v>估价对象周边无大型绿化，公园等自然环境一般：周边有长沙理工大学，无其他博物馆，图书馆等人文环境一般；综合评价环境状况一般。</v>
      </c>
      <c r="D20" s="2011"/>
      <c r="E20" s="2611"/>
      <c r="F20" s="1231" t="s">
        <v>2553</v>
      </c>
      <c r="G20" s="1005" t="str">
        <f>G6</f>
        <v>估价对象所在区域基础设施水平</v>
      </c>
    </row>
    <row r="21" spans="1:7" ht="27">
      <c r="A21" s="2614"/>
      <c r="B21" s="1231" t="s">
        <v>2552</v>
      </c>
      <c r="C21" s="1005" t="str">
        <f>C7</f>
        <v>估价对象所在区域公共配套设施较齐备。</v>
      </c>
      <c r="D21" s="2010"/>
      <c r="E21" s="2611"/>
      <c r="F21" s="1247" t="s">
        <v>1663</v>
      </c>
      <c r="G21" s="3113"/>
    </row>
    <row r="22" spans="1:7" ht="27">
      <c r="A22" s="2614"/>
      <c r="B22" s="1231" t="s">
        <v>2553</v>
      </c>
      <c r="C22" s="1005" t="str">
        <f>C8</f>
        <v>估价对象所在区域基础设施水平达六通</v>
      </c>
      <c r="D22" s="2010"/>
      <c r="E22" s="2611"/>
      <c r="F22" s="1247" t="s">
        <v>1673</v>
      </c>
      <c r="G22" s="2821"/>
    </row>
    <row r="23" spans="1:7" ht="15" thickBot="1">
      <c r="A23" s="2614"/>
      <c r="B23" s="1247" t="s">
        <v>1663</v>
      </c>
      <c r="C23" s="3113" t="s">
        <v>3070</v>
      </c>
      <c r="E23" s="2612"/>
      <c r="F23" s="1248" t="s">
        <v>1677</v>
      </c>
      <c r="G23" s="3114"/>
    </row>
    <row r="24" spans="1:7" ht="14.25" thickBot="1">
      <c r="A24" s="2615"/>
      <c r="B24" s="1248" t="s">
        <v>1664</v>
      </c>
      <c r="C24" s="1249" t="str">
        <f>C10</f>
        <v>城市主干道—万家丽南路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6" sqref="G16"/>
    </sheetView>
  </sheetViews>
  <sheetFormatPr defaultColWidth="14.625" defaultRowHeight="13.5"/>
  <cols>
    <col min="1" max="1" width="24.375" customWidth="1"/>
  </cols>
  <sheetData>
    <row r="1" spans="1:9" ht="16.5">
      <c r="A1" s="3072" t="s">
        <v>2852</v>
      </c>
      <c r="B1" s="3072">
        <f>SUM(B14:B23)</f>
        <v>631364.75599999994</v>
      </c>
      <c r="C1" s="3073"/>
      <c r="D1" s="3073"/>
      <c r="E1" s="3073"/>
      <c r="F1" s="3073"/>
    </row>
    <row r="2" spans="1:9" ht="16.5">
      <c r="A2" s="3072" t="s">
        <v>2853</v>
      </c>
      <c r="B2" s="3072">
        <f>SUM(C14:C23)</f>
        <v>242832.6</v>
      </c>
      <c r="C2" s="3073"/>
      <c r="D2" s="3073"/>
      <c r="E2" s="3073"/>
      <c r="F2" s="3073"/>
    </row>
    <row r="3" spans="1:9" ht="16.5">
      <c r="A3" s="3072" t="s">
        <v>2854</v>
      </c>
      <c r="B3" s="3074">
        <f>项目基本情况!D3</f>
        <v>42940</v>
      </c>
      <c r="C3" s="3073"/>
      <c r="D3" s="3073"/>
      <c r="E3" s="3073"/>
      <c r="F3" s="3073"/>
    </row>
    <row r="4" spans="1:9" ht="33">
      <c r="A4" s="3072" t="s">
        <v>2855</v>
      </c>
      <c r="B4" s="3072" t="s">
        <v>2856</v>
      </c>
      <c r="C4" s="3072" t="s">
        <v>2857</v>
      </c>
      <c r="D4" s="3072" t="s">
        <v>2858</v>
      </c>
      <c r="E4" s="3073"/>
      <c r="F4" s="3073"/>
    </row>
    <row r="5" spans="1:9" ht="16.5">
      <c r="A5" s="3072" t="s">
        <v>2859</v>
      </c>
      <c r="B5" s="3072">
        <f ca="1">SUM(D14:D23)</f>
        <v>220960</v>
      </c>
      <c r="C5" s="3072">
        <f ca="1">ROUND(B5*10000/$B$1,0)</f>
        <v>3500</v>
      </c>
      <c r="D5" s="3072">
        <f ca="1">ROUND(B5*10000/$B$2,0)</f>
        <v>9099</v>
      </c>
      <c r="E5" s="3073"/>
      <c r="F5" s="3073"/>
    </row>
    <row r="6" spans="1:9" ht="16.5">
      <c r="A6" s="3072" t="s">
        <v>2860</v>
      </c>
      <c r="B6" s="3072">
        <f ca="1">SUM(G14:G23)</f>
        <v>220960</v>
      </c>
      <c r="C6" s="3072">
        <f t="shared" ref="C6:C8" ca="1" si="0">ROUND(B6*10000/$B$1,0)</f>
        <v>3500</v>
      </c>
      <c r="D6" s="3072">
        <f t="shared" ref="D6:D8" ca="1" si="1">ROUND(B6*10000/$B$2,0)</f>
        <v>9099</v>
      </c>
      <c r="E6" s="3073"/>
      <c r="F6" s="3073"/>
    </row>
    <row r="7" spans="1:9" ht="16.5">
      <c r="A7" s="3072" t="s">
        <v>2861</v>
      </c>
      <c r="B7" s="3072">
        <f>SUM(H14:H23)</f>
        <v>0</v>
      </c>
      <c r="C7" s="3072">
        <f t="shared" si="0"/>
        <v>0</v>
      </c>
      <c r="D7" s="3072">
        <f t="shared" si="1"/>
        <v>0</v>
      </c>
      <c r="E7" s="3073"/>
      <c r="F7" s="3073"/>
    </row>
    <row r="8" spans="1:9" ht="16.5">
      <c r="A8" s="3072" t="s">
        <v>2862</v>
      </c>
      <c r="B8" s="3072">
        <f>SUM(I14:I23)</f>
        <v>0</v>
      </c>
      <c r="C8" s="3072">
        <f t="shared" si="0"/>
        <v>0</v>
      </c>
      <c r="D8" s="3072">
        <f t="shared" si="1"/>
        <v>0</v>
      </c>
      <c r="E8" s="3073"/>
      <c r="F8" s="3073"/>
    </row>
    <row r="9" spans="1:9" ht="16.5">
      <c r="A9" s="3072" t="s">
        <v>2863</v>
      </c>
      <c r="B9" s="3075"/>
      <c r="C9" s="3073"/>
      <c r="D9" s="3073"/>
      <c r="E9" s="3073"/>
      <c r="F9" s="3073"/>
    </row>
    <row r="10" spans="1:9" ht="16.5">
      <c r="A10" s="3072" t="s">
        <v>2864</v>
      </c>
      <c r="B10" s="3075"/>
      <c r="C10" s="3073"/>
      <c r="D10" s="3073"/>
      <c r="E10" s="3073"/>
      <c r="F10" s="3073"/>
    </row>
    <row r="11" spans="1:9" ht="16.5">
      <c r="A11" s="3072" t="s">
        <v>2881</v>
      </c>
      <c r="B11" s="3075"/>
      <c r="C11" s="3073"/>
      <c r="D11" s="3073"/>
      <c r="E11" s="3073"/>
      <c r="F11" s="3073"/>
    </row>
    <row r="12" spans="1:9" ht="16.5">
      <c r="A12" s="3073"/>
      <c r="B12" s="3073"/>
      <c r="C12" s="3073"/>
      <c r="D12" s="3073"/>
      <c r="E12" s="3073"/>
      <c r="F12" s="3073"/>
    </row>
    <row r="13" spans="1:9" ht="33">
      <c r="A13" s="3078" t="s">
        <v>2880</v>
      </c>
      <c r="B13" s="3076" t="s">
        <v>2852</v>
      </c>
      <c r="C13" s="3076" t="s">
        <v>2853</v>
      </c>
      <c r="D13" s="3076" t="s">
        <v>2865</v>
      </c>
      <c r="E13" s="3072" t="s">
        <v>2879</v>
      </c>
      <c r="F13" s="3072" t="s">
        <v>2858</v>
      </c>
      <c r="G13" s="3076" t="s">
        <v>2866</v>
      </c>
      <c r="H13" s="3076" t="s">
        <v>2867</v>
      </c>
      <c r="I13" s="3076" t="s">
        <v>2868</v>
      </c>
    </row>
    <row r="14" spans="1:9" ht="16.5">
      <c r="A14" s="3079" t="s">
        <v>2878</v>
      </c>
      <c r="B14" s="3076">
        <f>结果表!L38</f>
        <v>183978.59999999998</v>
      </c>
      <c r="C14" s="3076">
        <f>结果表!K38</f>
        <v>70761</v>
      </c>
      <c r="D14" s="3076">
        <f ca="1">结果表!C42</f>
        <v>63191</v>
      </c>
      <c r="E14" s="3076">
        <f ca="1">ROUND(D14*10000/B14,0)</f>
        <v>3435</v>
      </c>
      <c r="F14" s="3076">
        <f ca="1">ROUND(D14*10000/C14,0)</f>
        <v>8930</v>
      </c>
      <c r="G14" s="3076">
        <f ca="1">结果表!C44</f>
        <v>63191</v>
      </c>
      <c r="H14" s="3076" t="str">
        <f>结果表!C45</f>
        <v>——</v>
      </c>
      <c r="I14" s="3076" t="str">
        <f>结果表!C46</f>
        <v>——</v>
      </c>
    </row>
    <row r="15" spans="1:9" ht="16.5">
      <c r="A15" s="3079" t="s">
        <v>2869</v>
      </c>
      <c r="B15" s="3080">
        <f>'[2]数据-汇总表'!$E$31</f>
        <v>447386.15599999996</v>
      </c>
      <c r="C15" s="3080">
        <f>'[2]数据-汇总表'!$D$27</f>
        <v>172071.6</v>
      </c>
      <c r="D15" s="3080">
        <f ca="1">[2]结果表!$G$19</f>
        <v>157769</v>
      </c>
      <c r="E15" s="3076">
        <f t="shared" ref="E15:E23" ca="1" si="2">ROUND(D15*10000/B15,0)</f>
        <v>3526</v>
      </c>
      <c r="F15" s="3076">
        <f t="shared" ref="F15:F23" ca="1" si="3">ROUND(D15*10000/C15,0)</f>
        <v>9169</v>
      </c>
      <c r="G15" s="3077">
        <f ca="1">D15</f>
        <v>157769</v>
      </c>
      <c r="H15" s="3077"/>
      <c r="I15" s="3080"/>
    </row>
    <row r="16" spans="1:9" ht="16.5">
      <c r="A16" s="3079" t="s">
        <v>2870</v>
      </c>
      <c r="B16" s="3080"/>
      <c r="C16" s="3080"/>
      <c r="D16" s="3080"/>
      <c r="E16" s="3076" t="e">
        <f t="shared" si="2"/>
        <v>#DIV/0!</v>
      </c>
      <c r="F16" s="3076" t="e">
        <f t="shared" si="3"/>
        <v>#DIV/0!</v>
      </c>
      <c r="G16" s="3077"/>
      <c r="H16" s="3077"/>
      <c r="I16" s="3080"/>
    </row>
    <row r="17" spans="1:9" ht="16.5">
      <c r="A17" s="3079" t="s">
        <v>2871</v>
      </c>
      <c r="B17" s="3080"/>
      <c r="C17" s="3080"/>
      <c r="D17" s="3080"/>
      <c r="E17" s="3076" t="e">
        <f t="shared" si="2"/>
        <v>#DIV/0!</v>
      </c>
      <c r="F17" s="3076" t="e">
        <f t="shared" si="3"/>
        <v>#DIV/0!</v>
      </c>
      <c r="G17" s="3077"/>
      <c r="H17" s="3077"/>
      <c r="I17" s="3080"/>
    </row>
    <row r="18" spans="1:9" ht="16.5">
      <c r="A18" s="3079" t="s">
        <v>2872</v>
      </c>
      <c r="B18" s="3080"/>
      <c r="C18" s="3080"/>
      <c r="D18" s="3080"/>
      <c r="E18" s="3076" t="e">
        <f t="shared" si="2"/>
        <v>#DIV/0!</v>
      </c>
      <c r="F18" s="3076" t="e">
        <f t="shared" si="3"/>
        <v>#DIV/0!</v>
      </c>
      <c r="G18" s="3080"/>
      <c r="H18" s="3080"/>
      <c r="I18" s="3080"/>
    </row>
    <row r="19" spans="1:9" ht="16.5">
      <c r="A19" s="3079" t="s">
        <v>2873</v>
      </c>
      <c r="B19" s="3080"/>
      <c r="C19" s="3080"/>
      <c r="D19" s="3080"/>
      <c r="E19" s="3076" t="e">
        <f t="shared" si="2"/>
        <v>#DIV/0!</v>
      </c>
      <c r="F19" s="3076" t="e">
        <f t="shared" si="3"/>
        <v>#DIV/0!</v>
      </c>
      <c r="G19" s="3080"/>
      <c r="H19" s="3080"/>
      <c r="I19" s="3080"/>
    </row>
    <row r="20" spans="1:9" ht="16.5">
      <c r="A20" s="3079" t="s">
        <v>2874</v>
      </c>
      <c r="B20" s="3080"/>
      <c r="C20" s="3080"/>
      <c r="D20" s="3080"/>
      <c r="E20" s="3076" t="e">
        <f t="shared" si="2"/>
        <v>#DIV/0!</v>
      </c>
      <c r="F20" s="3076" t="e">
        <f t="shared" si="3"/>
        <v>#DIV/0!</v>
      </c>
      <c r="G20" s="3080"/>
      <c r="H20" s="3080"/>
      <c r="I20" s="3080"/>
    </row>
    <row r="21" spans="1:9" ht="16.5">
      <c r="A21" s="3079" t="s">
        <v>2875</v>
      </c>
      <c r="B21" s="3080"/>
      <c r="C21" s="3080"/>
      <c r="D21" s="3080"/>
      <c r="E21" s="3076" t="e">
        <f t="shared" si="2"/>
        <v>#DIV/0!</v>
      </c>
      <c r="F21" s="3076" t="e">
        <f t="shared" si="3"/>
        <v>#DIV/0!</v>
      </c>
      <c r="G21" s="3080"/>
      <c r="H21" s="3080"/>
      <c r="I21" s="3080"/>
    </row>
    <row r="22" spans="1:9" ht="16.5">
      <c r="A22" s="3079" t="s">
        <v>2876</v>
      </c>
      <c r="B22" s="3080"/>
      <c r="C22" s="3080"/>
      <c r="D22" s="3080"/>
      <c r="E22" s="3076" t="e">
        <f t="shared" si="2"/>
        <v>#DIV/0!</v>
      </c>
      <c r="F22" s="3076" t="e">
        <f t="shared" si="3"/>
        <v>#DIV/0!</v>
      </c>
      <c r="G22" s="3080"/>
      <c r="H22" s="3080"/>
      <c r="I22" s="3080"/>
    </row>
    <row r="23" spans="1:9" ht="16.5">
      <c r="A23" s="3079" t="s">
        <v>2877</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3007</v>
      </c>
      <c r="E1" s="1806" t="s">
        <v>2060</v>
      </c>
      <c r="F1" s="1808" t="s">
        <v>3008</v>
      </c>
      <c r="G1" s="311"/>
      <c r="H1" s="311"/>
      <c r="I1" s="311"/>
      <c r="J1" s="2030"/>
      <c r="K1" s="2030"/>
      <c r="L1" s="2030"/>
      <c r="M1" s="2030"/>
      <c r="N1" s="2030"/>
      <c r="O1" s="2030"/>
      <c r="P1" s="2030"/>
      <c r="Q1" s="2030"/>
      <c r="R1" s="2030"/>
      <c r="S1" s="2030"/>
      <c r="T1" s="2030"/>
      <c r="U1" s="2030"/>
      <c r="V1" s="2030"/>
    </row>
    <row r="2" spans="1:22" ht="21.75" customHeight="1" thickBot="1">
      <c r="A2" s="4069" t="str">
        <f>项目基本情况!K2</f>
        <v>出让国有建设用地使用权</v>
      </c>
      <c r="B2" s="4070"/>
      <c r="C2" s="4071"/>
      <c r="D2" s="4071"/>
      <c r="E2" s="4071"/>
      <c r="F2" s="4071"/>
      <c r="G2" s="4070"/>
      <c r="H2" s="4070"/>
      <c r="I2" s="4072"/>
      <c r="J2" s="2031"/>
      <c r="K2" s="2030"/>
      <c r="L2" s="2030"/>
      <c r="M2" s="2030"/>
      <c r="N2" s="2030"/>
      <c r="O2" s="2030"/>
      <c r="P2" s="2030"/>
      <c r="Q2" s="2030"/>
      <c r="R2" s="2030"/>
      <c r="S2" s="2030"/>
      <c r="T2" s="2030"/>
      <c r="U2" s="2030"/>
      <c r="V2" s="2030"/>
    </row>
    <row r="3" spans="1:22" ht="14.25">
      <c r="A3" s="4080" t="s">
        <v>298</v>
      </c>
      <c r="B3" s="4081"/>
      <c r="C3" s="4081"/>
      <c r="D3" s="4081"/>
      <c r="E3" s="4081"/>
      <c r="F3" s="4081"/>
      <c r="G3" s="4081"/>
      <c r="H3" s="4081"/>
      <c r="I3" s="4081"/>
      <c r="J3" s="2031"/>
      <c r="K3" s="2030"/>
      <c r="L3" s="2030"/>
      <c r="M3" s="2030"/>
      <c r="N3" s="2030"/>
      <c r="O3" s="2030"/>
      <c r="P3" s="2030"/>
      <c r="Q3" s="2030"/>
      <c r="R3" s="2030"/>
      <c r="S3" s="2030"/>
      <c r="T3" s="2030"/>
      <c r="U3" s="2030"/>
      <c r="V3" s="2030"/>
    </row>
    <row r="4" spans="1:22" ht="14.25">
      <c r="A4" s="258" t="s">
        <v>299</v>
      </c>
      <c r="B4" s="259" t="s">
        <v>300</v>
      </c>
      <c r="C4" s="260" t="s">
        <v>3403</v>
      </c>
      <c r="D4" s="260" t="s">
        <v>3404</v>
      </c>
      <c r="E4" s="4044" t="s">
        <v>301</v>
      </c>
      <c r="F4" s="4086"/>
      <c r="G4" s="4086"/>
      <c r="H4" s="4086"/>
      <c r="I4" s="404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4073" t="s">
        <v>302</v>
      </c>
      <c r="B5" s="4074">
        <v>25</v>
      </c>
      <c r="C5" s="4082"/>
      <c r="D5" s="4085"/>
      <c r="E5" s="261" t="s">
        <v>303</v>
      </c>
      <c r="F5" s="262"/>
      <c r="G5" s="262"/>
      <c r="H5" s="262"/>
      <c r="I5" s="263"/>
      <c r="J5" s="2031"/>
      <c r="K5" s="2030"/>
      <c r="L5" s="2030"/>
      <c r="M5" s="2030"/>
      <c r="N5" s="2030"/>
      <c r="O5" s="2030"/>
      <c r="P5" s="2030"/>
      <c r="Q5" s="2030"/>
      <c r="R5" s="2030"/>
      <c r="S5" s="2030"/>
      <c r="T5" s="2030"/>
      <c r="U5" s="2030"/>
      <c r="V5" s="2030"/>
    </row>
    <row r="6" spans="1:22" ht="14.25">
      <c r="A6" s="4073"/>
      <c r="B6" s="4074"/>
      <c r="C6" s="4083"/>
      <c r="D6" s="4085"/>
      <c r="E6" s="261" t="s">
        <v>304</v>
      </c>
      <c r="F6" s="262"/>
      <c r="G6" s="262"/>
      <c r="H6" s="262"/>
      <c r="I6" s="263"/>
      <c r="J6" s="2031"/>
      <c r="K6" s="2030"/>
      <c r="L6" s="2030"/>
      <c r="M6" s="2030"/>
      <c r="N6" s="2030"/>
      <c r="O6" s="2030"/>
      <c r="P6" s="2030"/>
      <c r="Q6" s="2030"/>
      <c r="R6" s="2030"/>
      <c r="S6" s="2030"/>
      <c r="T6" s="2030"/>
      <c r="U6" s="2030"/>
      <c r="V6" s="2030"/>
    </row>
    <row r="7" spans="1:22" ht="14.25">
      <c r="A7" s="4073"/>
      <c r="B7" s="4074"/>
      <c r="C7" s="4084"/>
      <c r="D7" s="4085"/>
      <c r="E7" s="261" t="s">
        <v>305</v>
      </c>
      <c r="F7" s="262"/>
      <c r="G7" s="262"/>
      <c r="H7" s="262"/>
      <c r="I7" s="263"/>
      <c r="J7" s="2031"/>
      <c r="K7" s="2030"/>
      <c r="L7" s="2030"/>
      <c r="M7" s="2030"/>
      <c r="N7" s="2030"/>
      <c r="O7" s="2030"/>
      <c r="P7" s="2030"/>
      <c r="Q7" s="2030"/>
      <c r="R7" s="2030"/>
      <c r="S7" s="2030"/>
      <c r="T7" s="2030"/>
      <c r="U7" s="2030"/>
      <c r="V7" s="2030"/>
    </row>
    <row r="8" spans="1:22" ht="14.25">
      <c r="A8" s="4073" t="s">
        <v>306</v>
      </c>
      <c r="B8" s="4074">
        <v>15</v>
      </c>
      <c r="C8" s="4082"/>
      <c r="D8" s="4085"/>
      <c r="E8" s="261" t="s">
        <v>307</v>
      </c>
      <c r="F8" s="262"/>
      <c r="G8" s="262"/>
      <c r="H8" s="262"/>
      <c r="I8" s="263"/>
      <c r="J8" s="2031"/>
      <c r="K8" s="2030"/>
      <c r="L8" s="2030"/>
      <c r="M8" s="2030"/>
      <c r="N8" s="2030"/>
      <c r="O8" s="2030"/>
      <c r="P8" s="2030"/>
      <c r="Q8" s="2030"/>
      <c r="R8" s="2030"/>
      <c r="S8" s="2030"/>
      <c r="T8" s="2030"/>
      <c r="U8" s="2030"/>
      <c r="V8" s="2030"/>
    </row>
    <row r="9" spans="1:22" ht="14.25">
      <c r="A9" s="4073"/>
      <c r="B9" s="4074"/>
      <c r="C9" s="4084"/>
      <c r="D9" s="4085"/>
      <c r="E9" s="261" t="s">
        <v>308</v>
      </c>
      <c r="F9" s="262"/>
      <c r="G9" s="262"/>
      <c r="H9" s="262"/>
      <c r="I9" s="263"/>
      <c r="J9" s="2031"/>
      <c r="K9" s="2030"/>
      <c r="L9" s="2030"/>
      <c r="M9" s="2030"/>
      <c r="N9" s="2030"/>
      <c r="O9" s="2030"/>
      <c r="P9" s="2030"/>
      <c r="Q9" s="2030"/>
      <c r="R9" s="2030"/>
      <c r="S9" s="2030"/>
      <c r="T9" s="2030"/>
      <c r="U9" s="2030"/>
      <c r="V9" s="2030"/>
    </row>
    <row r="10" spans="1:22" ht="14.25">
      <c r="A10" s="4073" t="s">
        <v>309</v>
      </c>
      <c r="B10" s="4074">
        <v>15</v>
      </c>
      <c r="C10" s="4082"/>
      <c r="D10" s="4085"/>
      <c r="E10" s="261" t="s">
        <v>310</v>
      </c>
      <c r="F10" s="262"/>
      <c r="G10" s="262"/>
      <c r="H10" s="262"/>
      <c r="I10" s="263"/>
      <c r="J10" s="2031"/>
      <c r="K10" s="2030"/>
      <c r="L10" s="2030"/>
      <c r="M10" s="2030"/>
      <c r="N10" s="2030"/>
      <c r="O10" s="2030"/>
      <c r="P10" s="2030"/>
      <c r="Q10" s="2030"/>
      <c r="R10" s="2030"/>
      <c r="S10" s="2030"/>
      <c r="T10" s="2030"/>
      <c r="U10" s="2030"/>
      <c r="V10" s="2030"/>
    </row>
    <row r="11" spans="1:22" ht="14.25">
      <c r="A11" s="4073"/>
      <c r="B11" s="4074"/>
      <c r="C11" s="4084"/>
      <c r="D11" s="4085"/>
      <c r="E11" s="261" t="s">
        <v>311</v>
      </c>
      <c r="F11" s="262"/>
      <c r="G11" s="262"/>
      <c r="H11" s="262"/>
      <c r="I11" s="263"/>
      <c r="J11" s="2031"/>
      <c r="K11" s="2030"/>
      <c r="L11" s="2030"/>
      <c r="M11" s="2030"/>
      <c r="N11" s="2030"/>
      <c r="O11" s="2030"/>
      <c r="P11" s="2030"/>
      <c r="Q11" s="2030"/>
      <c r="R11" s="2030"/>
      <c r="S11" s="2030"/>
      <c r="T11" s="2030"/>
      <c r="U11" s="2030"/>
      <c r="V11" s="2030"/>
    </row>
    <row r="12" spans="1:22" ht="14.25">
      <c r="A12" s="4073" t="s">
        <v>312</v>
      </c>
      <c r="B12" s="4074">
        <v>15</v>
      </c>
      <c r="C12" s="4082"/>
      <c r="D12" s="4085"/>
      <c r="E12" s="261" t="s">
        <v>313</v>
      </c>
      <c r="F12" s="262"/>
      <c r="G12" s="262"/>
      <c r="H12" s="262"/>
      <c r="I12" s="263"/>
      <c r="J12" s="2031"/>
      <c r="K12" s="2030"/>
      <c r="L12" s="2030"/>
      <c r="M12" s="2030"/>
      <c r="N12" s="2030"/>
      <c r="O12" s="2030"/>
      <c r="P12" s="2030"/>
      <c r="Q12" s="2030"/>
      <c r="R12" s="2030"/>
      <c r="S12" s="2030"/>
      <c r="T12" s="2030"/>
      <c r="U12" s="2030"/>
      <c r="V12" s="2030"/>
    </row>
    <row r="13" spans="1:22" ht="14.25">
      <c r="A13" s="4073"/>
      <c r="B13" s="4074"/>
      <c r="C13" s="4084"/>
      <c r="D13" s="4085"/>
      <c r="E13" s="261" t="s">
        <v>314</v>
      </c>
      <c r="F13" s="262"/>
      <c r="G13" s="262"/>
      <c r="H13" s="262"/>
      <c r="I13" s="263"/>
      <c r="J13" s="2031"/>
      <c r="K13" s="2030"/>
      <c r="L13" s="2030"/>
      <c r="M13" s="2030"/>
      <c r="N13" s="2030"/>
      <c r="O13" s="2030"/>
      <c r="P13" s="2030"/>
      <c r="Q13" s="2030"/>
      <c r="R13" s="2030"/>
      <c r="S13" s="2030"/>
      <c r="T13" s="2030"/>
      <c r="U13" s="2030"/>
      <c r="V13" s="2030"/>
    </row>
    <row r="14" spans="1:22" ht="14.25">
      <c r="A14" s="4073" t="s">
        <v>315</v>
      </c>
      <c r="B14" s="4074">
        <v>30</v>
      </c>
      <c r="C14" s="4082">
        <v>0.5</v>
      </c>
      <c r="D14" s="4085">
        <f>1-C14</f>
        <v>0.5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4073"/>
      <c r="B15" s="4074"/>
      <c r="C15" s="4083"/>
      <c r="D15" s="4085"/>
      <c r="E15" s="261" t="s">
        <v>317</v>
      </c>
      <c r="F15" s="262"/>
      <c r="G15" s="262"/>
      <c r="H15" s="262"/>
      <c r="I15" s="263"/>
      <c r="J15" s="2031"/>
      <c r="K15" s="2030"/>
      <c r="L15" s="2030"/>
      <c r="M15" s="2030"/>
      <c r="N15" s="2030"/>
      <c r="O15" s="2030"/>
      <c r="P15" s="2030"/>
      <c r="Q15" s="2030"/>
      <c r="R15" s="2030"/>
      <c r="S15" s="2030"/>
      <c r="T15" s="2030"/>
      <c r="U15" s="2030"/>
      <c r="V15" s="2030"/>
    </row>
    <row r="16" spans="1:22" ht="14.25">
      <c r="A16" s="4073"/>
      <c r="B16" s="4074"/>
      <c r="C16" s="4084"/>
      <c r="D16" s="408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66091</v>
      </c>
      <c r="D19" s="271">
        <f ca="1">SUMIF(INDIRECT("'"&amp;D4&amp;"'"&amp;"!A:A"),结果表!B19,INDIRECT("'"&amp;D4&amp;"'"&amp;"!B:B"))</f>
        <v>60291</v>
      </c>
      <c r="E19" s="268" t="s">
        <v>323</v>
      </c>
      <c r="F19" s="269" t="s">
        <v>322</v>
      </c>
      <c r="G19" s="272">
        <f ca="1">ROUND(C19*$C$18+D19*$D$18,0)</f>
        <v>63191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3592</v>
      </c>
      <c r="D20" s="277">
        <f ca="1">SUMIF(INDIRECT("'"&amp;D4&amp;"'"&amp;"!A:A"),结果表!B20,INDIRECT("'"&amp;D4&amp;"'"&amp;"!B:B"))</f>
        <v>3277</v>
      </c>
      <c r="E20" s="274"/>
      <c r="F20" s="275" t="s">
        <v>325</v>
      </c>
      <c r="G20" s="278">
        <f ca="1">ROUND(C20*$C$18+D20*$D$18,0)</f>
        <v>3435</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9340</v>
      </c>
      <c r="D21" s="151">
        <f ca="1">SUMIF(INDIRECT("'"&amp;D4&amp;"'"&amp;"!A:A"),结果表!B21,INDIRECT("'"&amp;D4&amp;"'"&amp;"!B:B"))</f>
        <v>8520</v>
      </c>
      <c r="E21" s="274"/>
      <c r="F21" s="280" t="s">
        <v>327</v>
      </c>
      <c r="G21" s="282">
        <f ca="1">ROUND(C21*$C$18+D21*$D$18,0)</f>
        <v>8930</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9.6200096200096175E-2</v>
      </c>
      <c r="E22" s="284"/>
      <c r="F22" s="285"/>
      <c r="G22" s="286">
        <f ca="1">ROUND(G19/('数据-汇总表'!D3/666.67),0)</f>
        <v>595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404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4088"/>
      <c r="B25" s="1321" t="s">
        <v>331</v>
      </c>
      <c r="C25" s="290">
        <f>IF(B30=0,0,C30)</f>
        <v>0</v>
      </c>
      <c r="D25" s="291"/>
      <c r="E25" s="311"/>
      <c r="F25" s="311"/>
      <c r="G25" s="311"/>
      <c r="H25" s="311"/>
      <c r="I25" s="311"/>
      <c r="J25" s="2030"/>
      <c r="K25" s="1255" t="str">
        <f ca="1">项目基本情况!B16&amp;"国有建设用地使用权价格："&amp;O38&amp;"万元"</f>
        <v>出让国有建设用地使用权价格：63191万元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大写金额：人民币陆亿叁仟壹佰玖拾壹万元整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单位面积地价：8930元/平方米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楼面地价：3435元/平方米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抵押价格：63191万元</v>
      </c>
      <c r="L29" s="1252"/>
      <c r="M29" s="1252"/>
      <c r="N29" s="1252"/>
      <c r="O29" s="1251"/>
      <c r="P29" s="2030"/>
      <c r="V29" s="2030"/>
    </row>
    <row r="30" spans="1:26" ht="18.75" thickBot="1">
      <c r="A30" s="3165" t="s">
        <v>336</v>
      </c>
      <c r="B30" s="309"/>
      <c r="C30" s="309"/>
      <c r="D30" s="310"/>
      <c r="E30" s="3166" t="s">
        <v>2977</v>
      </c>
      <c r="F30" s="311"/>
      <c r="G30" s="311"/>
      <c r="H30" s="311"/>
      <c r="I30" s="311"/>
      <c r="J30" s="2030"/>
      <c r="K30" s="1258" t="str">
        <f ca="1">IF(K29="——","——","大写金额：人民币"&amp;NUMBERSTRING(INT(O39*10000),2)&amp;"元整")</f>
        <v>大写金额：人民币陆亿叁仟壹佰玖拾壹万元整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63191</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3435</v>
      </c>
      <c r="D33" s="1386" t="s">
        <v>1693</v>
      </c>
      <c r="E33" s="4046"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1694</v>
      </c>
      <c r="C34" s="264">
        <f ca="1">ROUND(C32*10000/'数据-汇总表'!D3,0)</f>
        <v>8930</v>
      </c>
      <c r="D34" s="1388" t="s">
        <v>1693</v>
      </c>
      <c r="E34" s="4047"/>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595</v>
      </c>
      <c r="D35" s="1391" t="s">
        <v>1695</v>
      </c>
      <c r="E35" s="4048"/>
      <c r="F35" s="301" t="s">
        <v>342</v>
      </c>
      <c r="G35" s="982"/>
      <c r="H35" s="981" t="s">
        <v>343</v>
      </c>
      <c r="I35" s="311"/>
      <c r="J35" s="2030"/>
      <c r="K35" s="4052" t="s">
        <v>350</v>
      </c>
      <c r="L35" s="4052" t="s">
        <v>351</v>
      </c>
      <c r="M35" s="1264" t="s">
        <v>352</v>
      </c>
      <c r="N35" s="4052" t="s">
        <v>353</v>
      </c>
      <c r="O35" s="4052" t="s">
        <v>354</v>
      </c>
      <c r="P35" s="2030"/>
      <c r="V35" s="2030"/>
    </row>
    <row r="36" spans="1:26" ht="16.5" customHeight="1">
      <c r="A36" s="303" t="s">
        <v>344</v>
      </c>
      <c r="B36" s="304" t="s">
        <v>333</v>
      </c>
      <c r="C36" s="305" t="s">
        <v>345</v>
      </c>
      <c r="D36" s="305" t="s">
        <v>346</v>
      </c>
      <c r="E36" s="306" t="s">
        <v>347</v>
      </c>
      <c r="F36" s="311"/>
      <c r="G36" s="311"/>
      <c r="H36" s="311"/>
      <c r="I36" s="311"/>
      <c r="J36" s="2032"/>
      <c r="K36" s="4053"/>
      <c r="L36" s="4053"/>
      <c r="M36" s="1266" t="s">
        <v>355</v>
      </c>
      <c r="N36" s="4053"/>
      <c r="O36" s="4053"/>
      <c r="P36" s="2030"/>
      <c r="V36" s="2030"/>
    </row>
    <row r="37" spans="1:26" ht="16.5" customHeight="1" thickBot="1">
      <c r="A37" s="1260" t="s">
        <v>348</v>
      </c>
      <c r="B37" s="307"/>
      <c r="C37" s="294"/>
      <c r="D37" s="294"/>
      <c r="E37" s="295"/>
      <c r="F37" s="311"/>
      <c r="G37" s="311"/>
      <c r="H37" s="311"/>
      <c r="I37" s="311"/>
      <c r="J37" s="2032"/>
      <c r="K37" s="4054"/>
      <c r="L37" s="4054"/>
      <c r="M37" s="1267"/>
      <c r="N37" s="4054"/>
      <c r="O37" s="4054"/>
      <c r="P37" s="2030"/>
      <c r="V37" s="2030"/>
    </row>
    <row r="38" spans="1:26" ht="16.5" customHeight="1" thickBot="1">
      <c r="A38" s="1260" t="s">
        <v>349</v>
      </c>
      <c r="B38" s="307"/>
      <c r="C38" s="294"/>
      <c r="D38" s="294"/>
      <c r="E38" s="295"/>
      <c r="F38" s="311"/>
      <c r="G38" s="311"/>
      <c r="H38" s="311"/>
      <c r="I38" s="311"/>
      <c r="J38" s="2032"/>
      <c r="K38" s="1268">
        <f>'数据-汇总表'!D3</f>
        <v>70761</v>
      </c>
      <c r="L38" s="1269">
        <f>'数据-汇总表'!E3</f>
        <v>183978.59999999998</v>
      </c>
      <c r="M38" s="1269">
        <f ca="1">C34</f>
        <v>8930</v>
      </c>
      <c r="N38" s="1269">
        <f ca="1">C33</f>
        <v>3435</v>
      </c>
      <c r="O38" s="1270">
        <f ca="1">C32</f>
        <v>63191</v>
      </c>
      <c r="P38" s="2030"/>
      <c r="V38" s="2030"/>
    </row>
    <row r="39" spans="1:26" ht="16.5" customHeight="1" thickBot="1">
      <c r="A39" s="1265"/>
      <c r="B39" s="308"/>
      <c r="C39" s="309"/>
      <c r="D39" s="309"/>
      <c r="E39" s="310"/>
      <c r="F39" s="311"/>
      <c r="G39" s="311"/>
      <c r="H39" s="311"/>
      <c r="I39" s="311"/>
      <c r="J39" s="2032"/>
      <c r="K39" s="4029" t="str">
        <f>MID(A44,3,LEN(A44)-2)</f>
        <v>抵押价格</v>
      </c>
      <c r="L39" s="4030"/>
      <c r="M39" s="4030"/>
      <c r="N39" s="4031"/>
      <c r="O39" s="1393">
        <f ca="1">C44</f>
        <v>63191</v>
      </c>
      <c r="P39" s="2030"/>
      <c r="V39" s="2030"/>
    </row>
    <row r="40" spans="1:26" ht="19.5" thickBot="1">
      <c r="A40" s="104" t="s">
        <v>874</v>
      </c>
      <c r="B40" s="311"/>
      <c r="C40" s="311"/>
      <c r="D40" s="311"/>
      <c r="E40" s="311"/>
      <c r="F40" s="311"/>
      <c r="G40" s="311"/>
      <c r="H40" s="311"/>
      <c r="I40" s="311"/>
      <c r="J40" s="2032"/>
      <c r="K40" s="4029" t="str">
        <f t="shared" ref="K40:K41" si="0">MID(A45,3,LEN(A45)-2)</f>
        <v/>
      </c>
      <c r="L40" s="4030"/>
      <c r="M40" s="4030"/>
      <c r="N40" s="4031"/>
      <c r="O40" s="1393" t="str">
        <f>C45</f>
        <v>——</v>
      </c>
      <c r="P40" s="2030"/>
      <c r="V40" s="2030"/>
    </row>
    <row r="41" spans="1:26" ht="16.5" thickBot="1">
      <c r="A41" s="312" t="s">
        <v>356</v>
      </c>
      <c r="B41" s="313"/>
      <c r="C41" s="314" t="s">
        <v>357</v>
      </c>
      <c r="D41" s="315" t="s">
        <v>358</v>
      </c>
      <c r="E41" s="315" t="s">
        <v>359</v>
      </c>
      <c r="F41" s="316" t="s">
        <v>360</v>
      </c>
      <c r="G41" s="311"/>
      <c r="H41" s="311"/>
      <c r="I41" s="311"/>
      <c r="J41" s="2032"/>
      <c r="K41" s="4029" t="str">
        <f t="shared" si="0"/>
        <v/>
      </c>
      <c r="L41" s="4030"/>
      <c r="M41" s="4030"/>
      <c r="N41" s="4031"/>
      <c r="O41" s="1393" t="str">
        <f>C46</f>
        <v>——</v>
      </c>
      <c r="P41" s="2030"/>
      <c r="V41" s="2030"/>
    </row>
    <row r="42" spans="1:26" ht="29.25">
      <c r="A42" s="4089" t="s">
        <v>2070</v>
      </c>
      <c r="B42" s="4090"/>
      <c r="C42" s="264">
        <f ca="1">C32</f>
        <v>63191</v>
      </c>
      <c r="D42" s="317">
        <f ca="1">C33</f>
        <v>3435</v>
      </c>
      <c r="E42" s="317">
        <f ca="1">C34</f>
        <v>8930</v>
      </c>
      <c r="F42" s="318">
        <f ca="1">C35</f>
        <v>595</v>
      </c>
      <c r="G42" s="311"/>
      <c r="H42" s="311"/>
      <c r="I42" s="319"/>
      <c r="J42" s="2032"/>
      <c r="K42" s="1271" t="s">
        <v>361</v>
      </c>
      <c r="L42" s="2049" t="s">
        <v>362</v>
      </c>
      <c r="M42" s="1272" t="s">
        <v>363</v>
      </c>
      <c r="N42" s="2050" t="s">
        <v>364</v>
      </c>
      <c r="O42" s="2051" t="s">
        <v>365</v>
      </c>
      <c r="P42" s="2030"/>
      <c r="V42" s="2030"/>
    </row>
    <row r="43" spans="1:26" ht="30">
      <c r="A43" s="4099" t="s">
        <v>2738</v>
      </c>
      <c r="B43" s="4100"/>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66091</v>
      </c>
      <c r="M43" s="1275">
        <f>C18</f>
        <v>0.5</v>
      </c>
      <c r="N43" s="1276">
        <f ca="1">IF(N42="测算结果/万元",G19,G20)</f>
        <v>63191</v>
      </c>
      <c r="O43" s="1277">
        <f ca="1">IF(O42="最终结果/万元",C32,C33)</f>
        <v>63191</v>
      </c>
      <c r="P43" s="2030"/>
      <c r="V43" s="2030"/>
    </row>
    <row r="44" spans="1:26" ht="30.75" thickBot="1">
      <c r="A44" s="4089" t="str">
        <f>IF(OR(项目基本情况!E8="抵押价格",项目基本情况!E8="已注销及未注销"),"3.抵押价格","——")</f>
        <v>3.抵押价格</v>
      </c>
      <c r="B44" s="4090"/>
      <c r="C44" s="264">
        <f ca="1">IF(A44="——","——",C42-C43)</f>
        <v>63191</v>
      </c>
      <c r="D44" s="317">
        <f ca="1">ROUND(C44*10000/'数据-汇总表'!E3,0)</f>
        <v>3435</v>
      </c>
      <c r="E44" s="317">
        <f ca="1">ROUND(C44*10000/'数据-汇总表'!D3,0)</f>
        <v>8930</v>
      </c>
      <c r="F44" s="318">
        <f ca="1">ROUND(C44/('数据-汇总表'!D3/666.67),0)</f>
        <v>595</v>
      </c>
      <c r="G44" s="311"/>
      <c r="H44" s="311"/>
      <c r="I44" s="319"/>
      <c r="J44" s="2032"/>
      <c r="K44" s="1278" t="str">
        <f>D4</f>
        <v>剩余法-待开发</v>
      </c>
      <c r="L44" s="1279">
        <f ca="1">IF(L42="估价结果/万元",D19,D20)</f>
        <v>60291</v>
      </c>
      <c r="M44" s="1280">
        <f>D18</f>
        <v>0.5</v>
      </c>
      <c r="N44" s="1281"/>
      <c r="O44" s="1282"/>
      <c r="P44" s="2030"/>
      <c r="V44" s="2030"/>
    </row>
    <row r="45" spans="1:26" ht="15">
      <c r="A45" s="4094" t="str">
        <f>IF(项目基本情况!E8="已注销及未注销","4.抵押担保权已注销时的抵押价格",IF(项目基本情况!E8="已注销","3.抵押担保权已注销时的抵押价格","——"))</f>
        <v>——</v>
      </c>
      <c r="B45" s="409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4091" t="str">
        <f>IF(项目基本情况!E9="抵押净值",IF(A45="——","4.抵押净值","5.抵押净值"),"——")</f>
        <v>——</v>
      </c>
      <c r="B46" s="409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4057" t="s">
        <v>374</v>
      </c>
      <c r="B63" s="4058"/>
      <c r="C63" s="4059"/>
      <c r="D63" s="341">
        <f ca="1">ROUND(C42*F63,0)</f>
        <v>37915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4096" t="s">
        <v>378</v>
      </c>
      <c r="B64" s="4097"/>
      <c r="C64" s="4097"/>
      <c r="D64" s="4097"/>
      <c r="E64" s="4097"/>
      <c r="F64" s="4097"/>
      <c r="G64" s="409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4093" t="s">
        <v>386</v>
      </c>
      <c r="B66" s="4064"/>
      <c r="C66" s="4064"/>
      <c r="D66" s="261">
        <f ca="1">IF(H66="情况1",0,IF(H66="情况2",D70,IF(H66="情况3",D71,IF(H66="情况4",D72))))</f>
        <v>2022</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4033" t="s">
        <v>385</v>
      </c>
      <c r="M66" s="4034"/>
      <c r="N66" s="2484"/>
      <c r="O66" s="2485"/>
      <c r="P66" s="2486"/>
      <c r="Q66" s="2030"/>
      <c r="R66" s="2030"/>
      <c r="S66" s="2030"/>
      <c r="T66" s="2030"/>
      <c r="U66" s="2030"/>
      <c r="V66" s="2030"/>
    </row>
    <row r="67" spans="1:22" ht="25.5" customHeight="1">
      <c r="A67" s="352" t="s">
        <v>390</v>
      </c>
      <c r="B67" s="4076" t="s">
        <v>391</v>
      </c>
      <c r="C67" s="4076"/>
      <c r="D67" s="353">
        <v>0</v>
      </c>
      <c r="E67" s="41" t="s">
        <v>392</v>
      </c>
      <c r="F67" s="62" t="s">
        <v>21</v>
      </c>
      <c r="G67" s="4060"/>
      <c r="H67" s="311"/>
      <c r="I67" s="1292"/>
      <c r="J67" s="2037"/>
      <c r="K67" s="1978">
        <v>2</v>
      </c>
      <c r="L67" s="4032" t="s">
        <v>389</v>
      </c>
      <c r="M67" s="4032"/>
      <c r="N67" s="1325">
        <f>'数据-取费表'!B2</f>
        <v>42940</v>
      </c>
      <c r="O67" s="1325"/>
      <c r="P67" s="1325"/>
      <c r="Q67" s="2030"/>
      <c r="R67" s="2030"/>
      <c r="S67" s="2030"/>
      <c r="T67" s="2030"/>
      <c r="U67" s="2030"/>
      <c r="V67" s="2030"/>
    </row>
    <row r="68" spans="1:22" ht="25.5" customHeight="1">
      <c r="A68" s="354"/>
      <c r="B68" s="4076" t="s">
        <v>394</v>
      </c>
      <c r="C68" s="4076"/>
      <c r="D68" s="355"/>
      <c r="E68" s="77"/>
      <c r="F68" s="356"/>
      <c r="G68" s="4061"/>
      <c r="H68" s="311"/>
      <c r="I68" s="1292"/>
      <c r="J68" s="2037"/>
      <c r="K68" s="1978">
        <v>3</v>
      </c>
      <c r="L68" s="4032" t="s">
        <v>393</v>
      </c>
      <c r="M68" s="4032"/>
      <c r="N68" s="1293">
        <f ca="1">C42</f>
        <v>63191</v>
      </c>
      <c r="O68" s="1293"/>
      <c r="P68" s="1293"/>
      <c r="Q68" s="2030"/>
      <c r="R68" s="2030"/>
      <c r="S68" s="2030"/>
      <c r="T68" s="2030"/>
      <c r="U68" s="2030"/>
      <c r="V68" s="2030"/>
    </row>
    <row r="69" spans="1:22" ht="12" customHeight="1">
      <c r="A69" s="357"/>
      <c r="B69" s="4076" t="s">
        <v>395</v>
      </c>
      <c r="C69" s="4076"/>
      <c r="D69" s="358"/>
      <c r="E69" s="73"/>
      <c r="F69" s="356"/>
      <c r="G69" s="4062"/>
      <c r="H69" s="311"/>
      <c r="I69" s="1292"/>
      <c r="J69" s="2037"/>
      <c r="K69" s="1294">
        <v>4</v>
      </c>
      <c r="L69" s="4038" t="s">
        <v>2891</v>
      </c>
      <c r="M69" s="4039"/>
      <c r="N69" s="1295">
        <f ca="1">C44</f>
        <v>63191</v>
      </c>
      <c r="O69" s="1295"/>
      <c r="P69" s="1295"/>
      <c r="Q69" s="2030"/>
      <c r="R69" s="2030"/>
      <c r="S69" s="2030"/>
      <c r="T69" s="2030"/>
      <c r="U69" s="2030"/>
      <c r="V69" s="2030"/>
    </row>
    <row r="70" spans="1:22" ht="24" customHeight="1">
      <c r="A70" s="359" t="s">
        <v>396</v>
      </c>
      <c r="B70" s="4076" t="s">
        <v>397</v>
      </c>
      <c r="C70" s="4076"/>
      <c r="D70" s="358">
        <f ca="1">ROUND(D63*'数据-取费表'!B41/(1+'数据-取费表'!C42),0)</f>
        <v>2022</v>
      </c>
      <c r="E70" s="17" t="s">
        <v>398</v>
      </c>
      <c r="F70" s="360">
        <f>'数据-取费表'!B41</f>
        <v>5.6000000000000001E-2</v>
      </c>
      <c r="G70" s="361"/>
      <c r="H70" s="311"/>
      <c r="I70" s="1292"/>
      <c r="J70" s="2037"/>
      <c r="K70" s="3089"/>
      <c r="L70" s="3090"/>
      <c r="M70" s="3090"/>
      <c r="N70" s="3091" t="s">
        <v>2896</v>
      </c>
      <c r="O70" s="3090"/>
      <c r="P70" s="3092"/>
      <c r="Q70" s="2030"/>
      <c r="R70" s="2030"/>
      <c r="S70" s="2030"/>
      <c r="T70" s="2030"/>
      <c r="U70" s="2030"/>
      <c r="V70" s="2030"/>
    </row>
    <row r="71" spans="1:22" ht="12" customHeight="1">
      <c r="A71" s="359" t="s">
        <v>404</v>
      </c>
      <c r="B71" s="4075" t="s">
        <v>405</v>
      </c>
      <c r="C71" s="4087"/>
      <c r="D71" s="358">
        <f ca="1">ROUND(D63*'数据-取费表'!B41/(1+'数据-取费表'!C42),0)</f>
        <v>2022</v>
      </c>
      <c r="E71" s="17" t="s">
        <v>398</v>
      </c>
      <c r="F71" s="360">
        <f>'数据-取费表'!B41</f>
        <v>5.6000000000000001E-2</v>
      </c>
      <c r="G71" s="361"/>
      <c r="H71" s="311"/>
      <c r="I71" s="1292"/>
      <c r="J71" s="2037"/>
      <c r="K71" s="3088" t="s">
        <v>399</v>
      </c>
      <c r="L71" s="4040" t="s">
        <v>400</v>
      </c>
      <c r="M71" s="4040"/>
      <c r="N71" s="3088" t="s">
        <v>401</v>
      </c>
      <c r="O71" s="3088" t="s">
        <v>402</v>
      </c>
      <c r="P71" s="3088" t="s">
        <v>403</v>
      </c>
      <c r="Q71" s="2030"/>
      <c r="R71" s="2030"/>
      <c r="S71" s="2030"/>
      <c r="T71" s="2030"/>
      <c r="U71" s="2030"/>
      <c r="V71" s="2030"/>
    </row>
    <row r="72" spans="1:22" ht="12" customHeight="1">
      <c r="A72" s="359" t="s">
        <v>407</v>
      </c>
      <c r="B72" s="4075" t="s">
        <v>408</v>
      </c>
      <c r="C72" s="4087"/>
      <c r="D72" s="358">
        <f ca="1">C86</f>
        <v>1910</v>
      </c>
      <c r="E72" s="73" t="s">
        <v>409</v>
      </c>
      <c r="F72" s="360">
        <f>'数据-取费表'!B41</f>
        <v>5.6000000000000001E-2</v>
      </c>
      <c r="G72" s="361"/>
      <c r="H72" s="1298"/>
      <c r="I72" s="1292"/>
      <c r="J72" s="2037"/>
      <c r="K72" s="1978">
        <v>1</v>
      </c>
      <c r="L72" s="4037" t="s">
        <v>406</v>
      </c>
      <c r="M72" s="4037"/>
      <c r="N72" s="1296">
        <f ca="1">D66</f>
        <v>2022</v>
      </c>
      <c r="O72" s="1861" t="str">
        <f>E66</f>
        <v>销售额×税（费）率</v>
      </c>
      <c r="P72" s="1297">
        <f>F66</f>
        <v>5.6000000000000001E-2</v>
      </c>
      <c r="Q72" s="2030"/>
      <c r="R72" s="2030"/>
      <c r="S72" s="2030"/>
      <c r="T72" s="2030"/>
      <c r="U72" s="2030"/>
      <c r="V72" s="2030"/>
    </row>
    <row r="73" spans="1:22" ht="24" customHeight="1">
      <c r="A73" s="4063" t="s">
        <v>411</v>
      </c>
      <c r="B73" s="4064"/>
      <c r="C73" s="4064"/>
      <c r="D73" s="362">
        <f>IF(H73="个人住宅",0,ROUND(D63*I73,0))</f>
        <v>0</v>
      </c>
      <c r="E73" s="17" t="s">
        <v>412</v>
      </c>
      <c r="F73" s="360" t="str">
        <f>IF(H73="正常",I73,"免征")</f>
        <v>免征</v>
      </c>
      <c r="G73" s="361"/>
      <c r="H73" s="191" t="s">
        <v>2460</v>
      </c>
      <c r="I73" s="360">
        <f>'数据-取费表'!B49</f>
        <v>5.0000000000000001E-4</v>
      </c>
      <c r="J73" s="2037"/>
      <c r="K73" s="1978">
        <v>2</v>
      </c>
      <c r="L73" s="4037" t="s">
        <v>410</v>
      </c>
      <c r="M73" s="4037"/>
      <c r="N73" s="1296">
        <f t="shared" ref="N73:P74" si="1">D73</f>
        <v>0</v>
      </c>
      <c r="O73" s="1861" t="str">
        <f t="shared" si="1"/>
        <v>销售额×税（费）率</v>
      </c>
      <c r="P73" s="1297" t="str">
        <f t="shared" si="1"/>
        <v>免征</v>
      </c>
      <c r="Q73" s="2030"/>
      <c r="R73" s="2030"/>
      <c r="S73" s="2030"/>
      <c r="T73" s="2030"/>
      <c r="U73" s="2030"/>
      <c r="V73" s="2030"/>
    </row>
    <row r="74" spans="1:22" ht="24.75">
      <c r="A74" s="4063" t="s">
        <v>415</v>
      </c>
      <c r="B74" s="4064"/>
      <c r="C74" s="4064"/>
      <c r="D74" s="362">
        <f ca="1">IF(H74="个人住宅",D75,D76)</f>
        <v>20800</v>
      </c>
      <c r="E74" s="17" t="s">
        <v>416</v>
      </c>
      <c r="F74" s="360" t="str">
        <f>IF(H74="正常",F76,"免征")</f>
        <v>——</v>
      </c>
      <c r="G74" s="983" t="s">
        <v>417</v>
      </c>
      <c r="H74" s="363" t="s">
        <v>413</v>
      </c>
      <c r="I74" s="42"/>
      <c r="J74" s="2037"/>
      <c r="K74" s="1978">
        <v>3</v>
      </c>
      <c r="L74" s="4037" t="s">
        <v>414</v>
      </c>
      <c r="M74" s="4037"/>
      <c r="N74" s="1296">
        <f t="shared" ca="1" si="1"/>
        <v>20800</v>
      </c>
      <c r="O74" s="1861" t="str">
        <f t="shared" si="1"/>
        <v>增值额×税（费）率</v>
      </c>
      <c r="P74" s="1299" t="str">
        <f t="shared" si="1"/>
        <v>——</v>
      </c>
      <c r="Q74" s="2030"/>
      <c r="R74" s="2030"/>
      <c r="S74" s="2030"/>
      <c r="T74" s="2030"/>
      <c r="U74" s="2030"/>
      <c r="V74" s="2030"/>
    </row>
    <row r="75" spans="1:22" ht="24">
      <c r="A75" s="359" t="s">
        <v>418</v>
      </c>
      <c r="B75" s="4044" t="s">
        <v>419</v>
      </c>
      <c r="C75" s="4045"/>
      <c r="D75" s="364">
        <v>0</v>
      </c>
      <c r="E75" s="41" t="s">
        <v>420</v>
      </c>
      <c r="F75" s="365"/>
      <c r="G75" s="361"/>
      <c r="H75" s="42"/>
      <c r="I75" s="42"/>
      <c r="J75" s="2037"/>
      <c r="K75" s="3081">
        <f>IF(H77="非个人房产","",4)</f>
        <v>4</v>
      </c>
      <c r="L75" s="4037" t="str">
        <f>IF(H77="非个人房产","——","个人所得税")</f>
        <v>个人所得税</v>
      </c>
      <c r="M75" s="4037"/>
      <c r="N75" s="1300">
        <f ca="1">D77</f>
        <v>379</v>
      </c>
      <c r="O75" s="1874" t="str">
        <f>E77</f>
        <v>销售额×税（费）率</v>
      </c>
      <c r="P75" s="1301">
        <f>F77</f>
        <v>0.01</v>
      </c>
      <c r="Q75" s="2030"/>
      <c r="R75" s="2030"/>
      <c r="S75" s="2030"/>
      <c r="T75" s="2030"/>
      <c r="U75" s="2030"/>
      <c r="V75" s="2030"/>
    </row>
    <row r="76" spans="1:22" ht="24.75">
      <c r="A76" s="359" t="s">
        <v>396</v>
      </c>
      <c r="B76" s="4044" t="s">
        <v>422</v>
      </c>
      <c r="C76" s="4086"/>
      <c r="D76" s="362">
        <f ca="1">IF(H76="转让取得",C99,C115)</f>
        <v>20800</v>
      </c>
      <c r="E76" s="17" t="s">
        <v>423</v>
      </c>
      <c r="F76" s="53" t="s">
        <v>21</v>
      </c>
      <c r="G76" s="361"/>
      <c r="H76" s="363" t="s">
        <v>424</v>
      </c>
      <c r="I76" s="42"/>
      <c r="J76" s="2037"/>
      <c r="K76" s="3081" t="str">
        <f>IF(项目基本情况!K6="上海银行",IF(K75="",4,K75+1),"")</f>
        <v/>
      </c>
      <c r="L76" s="4025" t="str">
        <f>IF(项目基本情况!K6="上海银行","其他处置费用","")</f>
        <v/>
      </c>
      <c r="M76" s="4026"/>
      <c r="N76" s="1296" t="str">
        <f>IF(项目基本情况!K6="上海银行",N89,"")</f>
        <v/>
      </c>
      <c r="O76" s="4027" t="str">
        <f>IF(项目基本情况!K6="上海银行","包含处置中涉及的律师、诉讼、拍卖、评估等费用","")</f>
        <v/>
      </c>
      <c r="P76" s="4028"/>
      <c r="Q76" s="2030"/>
      <c r="R76" s="2030"/>
      <c r="S76" s="2030"/>
      <c r="T76" s="2030"/>
      <c r="U76" s="2030"/>
      <c r="V76" s="2030"/>
    </row>
    <row r="77" spans="1:22" ht="26.25" thickBot="1">
      <c r="A77" s="4055" t="s">
        <v>426</v>
      </c>
      <c r="B77" s="4056"/>
      <c r="C77" s="4056"/>
      <c r="D77" s="366">
        <f ca="1">IF(H77="非个人房产","——",IF(H77="个人住宅",0,ROUND(D63*I77,0)))</f>
        <v>379</v>
      </c>
      <c r="E77" s="367" t="str">
        <f>IF(H77="非个人房产","——","销售额×税（费）率")</f>
        <v>销售额×税（费）率</v>
      </c>
      <c r="F77" s="368">
        <f>IF(H77="非个人房产","——",IF(H77="个人住宅","免征",I77))</f>
        <v>0.01</v>
      </c>
      <c r="G77" s="984" t="s">
        <v>417</v>
      </c>
      <c r="H77" s="363" t="s">
        <v>2892</v>
      </c>
      <c r="I77" s="369">
        <v>0.01</v>
      </c>
      <c r="J77" s="2037"/>
      <c r="K77" s="4051">
        <f>IF(AND(K75="",K76=""),4,IF(项目基本情况!K6="上海银行",K76+1,K75+1))</f>
        <v>5</v>
      </c>
      <c r="L77" s="4037" t="s">
        <v>2893</v>
      </c>
      <c r="M77" s="3087" t="s">
        <v>421</v>
      </c>
      <c r="N77" s="1302"/>
      <c r="O77" s="1303">
        <f ca="1">SUMIF(N72:N76,"&lt;9e307")</f>
        <v>23201</v>
      </c>
      <c r="P77" s="1304"/>
      <c r="Q77" s="3085">
        <f ca="1">O77/N69</f>
        <v>0.36715671535503475</v>
      </c>
      <c r="R77" s="2030"/>
      <c r="S77" s="2030"/>
      <c r="T77" s="2030"/>
      <c r="U77" s="2030"/>
      <c r="V77" s="2030"/>
    </row>
    <row r="78" spans="1:22" ht="12" customHeight="1">
      <c r="A78" s="1305"/>
      <c r="B78" s="311"/>
      <c r="C78" s="311"/>
      <c r="D78" s="311"/>
      <c r="E78" s="42"/>
      <c r="F78" s="42"/>
      <c r="G78" s="42"/>
      <c r="H78" s="1003"/>
      <c r="I78" s="311"/>
      <c r="J78" s="2037"/>
      <c r="K78" s="4051"/>
      <c r="L78" s="4037"/>
      <c r="M78" s="3087" t="s">
        <v>425</v>
      </c>
      <c r="N78" s="1302"/>
      <c r="O78" s="1303" t="str">
        <f ca="1">NUMBERSTRING(INT(O77*10000),2)&amp;"元整"</f>
        <v>贰亿叁仟贰佰零壹万元整</v>
      </c>
      <c r="P78" s="1304"/>
      <c r="Q78" s="2030"/>
      <c r="R78" s="2030"/>
      <c r="S78" s="2030"/>
      <c r="T78" s="2030"/>
      <c r="U78" s="2030"/>
      <c r="V78" s="2030"/>
    </row>
    <row r="79" spans="1:22" ht="13.5" thickBot="1">
      <c r="A79" s="4041" t="s">
        <v>427</v>
      </c>
      <c r="B79" s="4041"/>
      <c r="C79" s="4041"/>
      <c r="D79" s="4041"/>
      <c r="E79" s="4041"/>
      <c r="F79" s="42"/>
      <c r="G79" s="42"/>
      <c r="H79" s="1003"/>
      <c r="I79" s="311"/>
      <c r="J79" s="2037"/>
      <c r="K79" s="4035">
        <f>K77+1</f>
        <v>6</v>
      </c>
      <c r="L79" s="4037" t="s">
        <v>2894</v>
      </c>
      <c r="M79" s="3087" t="s">
        <v>421</v>
      </c>
      <c r="N79" s="1302"/>
      <c r="O79" s="1303">
        <f ca="1">N69-O77</f>
        <v>39990</v>
      </c>
      <c r="P79" s="1304"/>
      <c r="Q79" s="2030"/>
      <c r="R79" s="2030"/>
      <c r="S79" s="2030"/>
      <c r="T79" s="2030"/>
      <c r="U79" s="2030"/>
      <c r="V79" s="2030"/>
    </row>
    <row r="80" spans="1:22" ht="25.5">
      <c r="A80" s="4042" t="s">
        <v>428</v>
      </c>
      <c r="B80" s="4043"/>
      <c r="C80" s="994"/>
      <c r="D80" s="994" t="s">
        <v>429</v>
      </c>
      <c r="E80" s="370" t="s">
        <v>430</v>
      </c>
      <c r="F80" s="42"/>
      <c r="G80" s="42"/>
      <c r="H80" s="1003"/>
      <c r="I80" s="311"/>
      <c r="J80" s="2030"/>
      <c r="K80" s="4036"/>
      <c r="L80" s="4037"/>
      <c r="M80" s="3087" t="s">
        <v>425</v>
      </c>
      <c r="N80" s="1302"/>
      <c r="O80" s="1303" t="str">
        <f ca="1">NUMBERSTRING(INT(O79*10000),2)&amp;"元整"</f>
        <v>叁亿玖仟玖佰玖拾万元整</v>
      </c>
      <c r="P80" s="1304"/>
      <c r="Q80" s="2030"/>
      <c r="R80" s="2030"/>
      <c r="S80" s="2030"/>
      <c r="T80" s="2030"/>
      <c r="U80" s="2030"/>
      <c r="V80" s="2030"/>
    </row>
    <row r="81" spans="1:26" ht="13.5" thickBot="1">
      <c r="A81" s="381" t="s">
        <v>1825</v>
      </c>
      <c r="B81" s="371" t="s">
        <v>431</v>
      </c>
      <c r="C81" s="372">
        <f ca="1">ROUND((C82+C83)/(1+'数据-取费表'!C42),0)</f>
        <v>36110</v>
      </c>
      <c r="D81" s="373"/>
      <c r="E81" s="374"/>
      <c r="F81" s="42"/>
      <c r="G81" s="42"/>
      <c r="H81" s="1003"/>
      <c r="I81" s="311"/>
      <c r="J81" s="2030"/>
      <c r="K81" s="3081">
        <f>K79+1</f>
        <v>7</v>
      </c>
      <c r="L81" s="4049" t="s">
        <v>2895</v>
      </c>
      <c r="M81" s="4050"/>
      <c r="N81" s="1306"/>
      <c r="O81" s="1307">
        <f ca="1">ROUND(O79*10000/'数据-汇总表'!E3,0)</f>
        <v>2174</v>
      </c>
      <c r="P81" s="1308"/>
      <c r="Q81" s="2030"/>
      <c r="R81" s="2030"/>
      <c r="S81" s="2030"/>
      <c r="T81" s="2030"/>
      <c r="U81" s="2030"/>
      <c r="V81" s="2030"/>
    </row>
    <row r="82" spans="1:26" ht="13.5" thickTop="1">
      <c r="A82" s="375" t="s">
        <v>1826</v>
      </c>
      <c r="B82" s="376" t="s">
        <v>432</v>
      </c>
      <c r="C82" s="377">
        <f ca="1">D63</f>
        <v>37915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4024" t="s">
        <v>2882</v>
      </c>
      <c r="L83" s="3093" t="s">
        <v>2883</v>
      </c>
      <c r="M83" s="3083">
        <f ca="1">IF(N69&gt;10000,N69*0.5%,IF(AND(N69&gt;1000,N69&lt;=10000),N69*1%,IF(AND(N69&gt;100,N69&lt;=1000),N69*3%,IF(AND(N69&gt;10,N69&lt;=100),N69*5%,N69*8%))))</f>
        <v>315.95499999999998</v>
      </c>
      <c r="N83" s="53">
        <f ca="1">ROUND(M83,1)</f>
        <v>316</v>
      </c>
      <c r="O83" s="3086"/>
      <c r="P83" s="2030"/>
      <c r="Q83" s="2030"/>
      <c r="R83" s="2030"/>
      <c r="S83" s="2030"/>
      <c r="T83" s="2030"/>
      <c r="U83" s="2030"/>
      <c r="V83" s="2030"/>
    </row>
    <row r="84" spans="1:26" ht="12.75">
      <c r="A84" s="381" t="s">
        <v>1828</v>
      </c>
      <c r="B84" s="382" t="s">
        <v>434</v>
      </c>
      <c r="C84" s="383">
        <v>2000</v>
      </c>
      <c r="D84" s="384" t="s">
        <v>19</v>
      </c>
      <c r="E84" s="3127" t="s">
        <v>2947</v>
      </c>
      <c r="F84" s="42"/>
      <c r="G84" s="42"/>
      <c r="H84" s="1003"/>
      <c r="I84" s="311"/>
      <c r="J84" s="2030"/>
      <c r="K84" s="4024"/>
      <c r="L84" s="3093" t="s">
        <v>2884</v>
      </c>
      <c r="M84" s="3083">
        <f ca="1">IF(N69&gt;2000,N69*0.5%,IF(AND(N69&gt;1000,N69&lt;=2000),N69*0.6%,IF(AND(N69&gt;500,N69&lt;=1000),N69*0.7%,IF(AND(N69&gt;200,N69&lt;=500),N69*0.8%,IF(AND(N69&gt;100,N69&lt;=200),N69*0.9%,IF(AND(N69&gt;50,N69&lt;=100),N69*1%,IF(AND(N69&gt;20,N69&lt;=50),N69*1.5%,IF(AND(N69&gt;10,N69&lt;=20),N69*2%,IF(AND(N69&gt;1,N69&lt;=10),N69*2.5%)))))))))</f>
        <v>315.95499999999998</v>
      </c>
      <c r="N84" s="53">
        <f t="shared" ref="N84:N85" ca="1" si="2">ROUND(M84,1)</f>
        <v>316</v>
      </c>
      <c r="O84" s="2030" t="s">
        <v>2885</v>
      </c>
      <c r="P84" s="2030"/>
      <c r="Q84" s="2030"/>
      <c r="R84" s="2030"/>
      <c r="S84" s="2030"/>
      <c r="T84" s="2030"/>
      <c r="U84" s="2030"/>
      <c r="V84" s="2030"/>
    </row>
    <row r="85" spans="1:26" ht="12.75">
      <c r="A85" s="381" t="s">
        <v>1829</v>
      </c>
      <c r="B85" s="382" t="s">
        <v>435</v>
      </c>
      <c r="C85" s="385">
        <f ca="1">C81-C84</f>
        <v>34110</v>
      </c>
      <c r="D85" s="378" t="s">
        <v>19</v>
      </c>
      <c r="E85" s="379"/>
      <c r="F85" s="42"/>
      <c r="G85" s="42"/>
      <c r="H85" s="1003"/>
      <c r="I85" s="311"/>
      <c r="J85" s="2030"/>
      <c r="K85" s="4024"/>
      <c r="L85" s="3093" t="s">
        <v>2886</v>
      </c>
      <c r="M85" s="3083">
        <f ca="1">IF(N69&gt;1000,N69*0.1%,IF(AND(N69&gt;500,N69&lt;=1000),N69*0.5%,IF(AND(N69&gt;50,N69&lt;=500),N69*1%,IF(AND(N69&gt;1,N69&lt;=50),N69*1.5%))))</f>
        <v>63.191000000000003</v>
      </c>
      <c r="N85" s="53">
        <f t="shared" ca="1" si="2"/>
        <v>63.2</v>
      </c>
      <c r="O85" s="2030" t="s">
        <v>2885</v>
      </c>
      <c r="P85" s="2030"/>
      <c r="Q85" s="2030"/>
      <c r="R85" s="2030"/>
      <c r="S85" s="2030"/>
      <c r="T85" s="2030"/>
      <c r="U85" s="2030"/>
      <c r="V85" s="2030"/>
    </row>
    <row r="86" spans="1:26" ht="13.5" thickBot="1">
      <c r="A86" s="386" t="s">
        <v>1830</v>
      </c>
      <c r="B86" s="387" t="s">
        <v>436</v>
      </c>
      <c r="C86" s="388">
        <f ca="1">IF(C85&lt;=0,0,ROUND(C85*D86,0))</f>
        <v>1910</v>
      </c>
      <c r="D86" s="389">
        <f>'数据-取费表'!B41</f>
        <v>5.6000000000000001E-2</v>
      </c>
      <c r="E86" s="390"/>
      <c r="F86" s="42"/>
      <c r="G86" s="42"/>
      <c r="H86" s="1003"/>
      <c r="I86" s="311"/>
      <c r="J86" s="2030"/>
      <c r="K86" s="4024"/>
      <c r="L86" s="3093" t="s">
        <v>2887</v>
      </c>
      <c r="M86" s="3083">
        <f ca="1">N69*0.5%</f>
        <v>315.95499999999998</v>
      </c>
      <c r="N86" s="53">
        <f ca="1">IF(M86&gt;0.5,0.5,ROUND(M86,0))</f>
        <v>0.5</v>
      </c>
      <c r="O86" s="2030" t="s">
        <v>2888</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4024"/>
      <c r="L87" s="3093" t="s">
        <v>2889</v>
      </c>
      <c r="M87" s="3083">
        <f ca="1">IF(N69&gt;=10000,(8.25+(N69-10000)*0.01%),IF(AND(N69&gt;=8000,N69&lt;10000),(7.85+(N69-8000)*0.02%),IF(AND(N69&gt;=5000,N69&lt;8000),(6.65+(N69-5000)*0.04%),IF(AND(N69&gt;=2000,N69&lt;5000),(4.25+(PN69-2000)*0.08%),IF(AND(N69&gt;=1000,N69&lt;2000),(2.75+(N69-1000)*0.15%),IF(AND(N69&gt;=100,N69&lt;1000),(0.5+(N69-100)*0.25%),IF(AND(N69&gt;0,N69&lt;100),N69*0.5%)))))))</f>
        <v>13.569100000000001</v>
      </c>
      <c r="N87" s="53">
        <f ca="1">ROUND(M87*0.9,1)</f>
        <v>12.2</v>
      </c>
      <c r="O87" s="3086"/>
      <c r="P87" s="311"/>
      <c r="Q87" s="2030"/>
      <c r="R87" s="2030"/>
      <c r="S87" s="2030"/>
      <c r="T87" s="2030"/>
      <c r="U87" s="2030"/>
      <c r="V87" s="2030"/>
      <c r="W87" s="292"/>
      <c r="X87" s="292"/>
      <c r="Y87" s="292"/>
      <c r="Z87" s="292"/>
    </row>
    <row r="88" spans="1:26" s="1314" customFormat="1" ht="15" thickBot="1">
      <c r="A88" s="4078" t="s">
        <v>437</v>
      </c>
      <c r="B88" s="4079"/>
      <c r="C88" s="4079"/>
      <c r="D88" s="4079"/>
      <c r="E88" s="4079"/>
      <c r="F88" s="4079"/>
      <c r="G88" s="4079"/>
      <c r="H88" s="4079"/>
      <c r="I88" s="1315"/>
      <c r="J88" s="2038"/>
      <c r="K88" s="4024"/>
      <c r="L88" s="3093" t="s">
        <v>2890</v>
      </c>
      <c r="M88" s="3083">
        <f ca="1">IF(N69&gt;10000,N69*0.5%,IF(AND(N69&gt;5000,N69&lt;=10000),N69*1%,IF(AND(N69&gt;1000,N69&lt;=5000),N69*2%,IF(AND(N69&gt;200,N69&lt;=1000),N69*3%,N69*5%))))</f>
        <v>315.95499999999998</v>
      </c>
      <c r="N88" s="53">
        <f ca="1">ROUND(M88,1)</f>
        <v>316</v>
      </c>
      <c r="O88" s="3086"/>
      <c r="P88" s="11"/>
      <c r="Q88" s="2035"/>
      <c r="R88" s="2035"/>
      <c r="S88" s="2035"/>
      <c r="T88" s="2035"/>
      <c r="U88" s="2035"/>
      <c r="V88" s="2035"/>
      <c r="W88" s="2039"/>
      <c r="X88" s="2039"/>
      <c r="Y88" s="2039"/>
      <c r="Z88" s="2039"/>
    </row>
    <row r="89" spans="1:26" s="1314" customFormat="1" ht="14.25">
      <c r="A89" s="4042" t="s">
        <v>428</v>
      </c>
      <c r="B89" s="4043"/>
      <c r="C89" s="994"/>
      <c r="D89" s="994" t="s">
        <v>429</v>
      </c>
      <c r="E89" s="391" t="s">
        <v>438</v>
      </c>
      <c r="F89" s="392"/>
      <c r="G89" s="392"/>
      <c r="H89" s="393"/>
      <c r="I89" s="1316"/>
      <c r="J89" s="2040"/>
      <c r="K89" s="4024"/>
      <c r="L89" s="3093" t="s">
        <v>27</v>
      </c>
      <c r="M89" s="3084"/>
      <c r="N89" s="53">
        <f ca="1">ROUND(SUM(N83:N88),0)</f>
        <v>1024</v>
      </c>
      <c r="O89" s="3094">
        <f ca="1">N89/N69</f>
        <v>1.6204839296735295E-2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36110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2798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4075" t="s">
        <v>447</v>
      </c>
      <c r="F94" s="4076"/>
      <c r="G94" s="4076"/>
      <c r="H94" s="407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2433</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217</v>
      </c>
      <c r="D96" s="406">
        <f>'数据-取费表'!B43</f>
        <v>6.000000000000001E-3</v>
      </c>
      <c r="E96" s="4065" t="s">
        <v>2432</v>
      </c>
      <c r="F96" s="4066"/>
      <c r="G96" s="4066"/>
      <c r="H96" s="406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33312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11.905646890636168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19008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4078" t="s">
        <v>454</v>
      </c>
      <c r="B101" s="4079"/>
      <c r="C101" s="4079"/>
      <c r="D101" s="4079"/>
      <c r="E101" s="4079"/>
      <c r="F101" s="4079"/>
      <c r="G101" s="4079"/>
      <c r="H101" s="407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4042" t="s">
        <v>428</v>
      </c>
      <c r="B102" s="404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36110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912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2443</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4068" t="s">
        <v>462</v>
      </c>
      <c r="F109" s="4066"/>
      <c r="G109" s="4066"/>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4068" t="s">
        <v>464</v>
      </c>
      <c r="F110" s="4066"/>
      <c r="G110" s="4066"/>
      <c r="H110" s="406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217</v>
      </c>
      <c r="D111" s="406">
        <f>'数据-取费表'!B43</f>
        <v>6.000000000000001E-3</v>
      </c>
      <c r="E111" s="4065" t="s">
        <v>2432</v>
      </c>
      <c r="F111" s="4066"/>
      <c r="G111" s="4066"/>
      <c r="H111" s="406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4068" t="s">
        <v>2457</v>
      </c>
      <c r="F112" s="4066"/>
      <c r="G112" s="4066"/>
      <c r="H112" s="406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35198</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38.594298245614034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20800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C10:D13">
    <cfRule type="cellIs" dxfId="184" priority="8" stopIfTrue="1" operator="equal">
      <formula>15</formula>
    </cfRule>
  </conditionalFormatting>
  <conditionalFormatting sqref="D14:D16">
    <cfRule type="cellIs" dxfId="183" priority="6" stopIfTrue="1" operator="equal">
      <formula>30</formula>
    </cfRule>
  </conditionalFormatting>
  <conditionalFormatting sqref="C108">
    <cfRule type="expression" dxfId="182" priority="3" stopIfTrue="1">
      <formula>$H$106&lt;&gt;"仅含出让金"</formula>
    </cfRule>
  </conditionalFormatting>
  <conditionalFormatting sqref="C109">
    <cfRule type="expression" dxfId="181" priority="2" stopIfTrue="1">
      <formula>$H$109="由企业提供"</formula>
    </cfRule>
  </conditionalFormatting>
  <conditionalFormatting sqref="I33">
    <cfRule type="expression" dxfId="18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R49" sqref="R49:W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66091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3592</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9340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623</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4123" t="s">
        <v>523</v>
      </c>
      <c r="D6" s="4124"/>
      <c r="E6" s="4123" t="s">
        <v>524</v>
      </c>
      <c r="F6" s="4124"/>
      <c r="G6" s="4123" t="s">
        <v>525</v>
      </c>
      <c r="H6" s="4124"/>
      <c r="I6" s="4123" t="s">
        <v>526</v>
      </c>
      <c r="J6" s="4124"/>
      <c r="K6" s="514" t="s">
        <v>527</v>
      </c>
      <c r="L6" s="2135"/>
      <c r="M6" s="2134"/>
      <c r="N6" s="2134"/>
      <c r="O6" s="2136"/>
      <c r="P6" s="4125" t="s">
        <v>528</v>
      </c>
      <c r="Q6" s="4126"/>
      <c r="R6" s="4111" t="s">
        <v>524</v>
      </c>
      <c r="S6" s="4112"/>
      <c r="T6" s="4111" t="s">
        <v>525</v>
      </c>
      <c r="U6" s="4112"/>
      <c r="V6" s="4131" t="s">
        <v>526</v>
      </c>
      <c r="W6" s="4131"/>
      <c r="X6" s="1568"/>
      <c r="Y6" s="4111" t="s">
        <v>528</v>
      </c>
      <c r="Z6" s="4112"/>
      <c r="AA6" s="4106" t="s">
        <v>524</v>
      </c>
      <c r="AB6" s="4107" t="s">
        <v>525</v>
      </c>
      <c r="AC6" s="4106" t="s">
        <v>526</v>
      </c>
    </row>
    <row r="7" spans="1:30" ht="20.25">
      <c r="A7" s="515"/>
      <c r="B7" s="516"/>
      <c r="C7" s="4136" t="s">
        <v>3026</v>
      </c>
      <c r="D7" s="4135"/>
      <c r="E7" s="4134" t="str">
        <f>[1]土地案例!A8</f>
        <v>天心区大托镇先锋村</v>
      </c>
      <c r="F7" s="4135"/>
      <c r="G7" s="4134" t="str">
        <f>[1]土地案例!A19</f>
        <v>天心区木莲冲路</v>
      </c>
      <c r="H7" s="4135"/>
      <c r="I7" s="4134" t="str">
        <f>[1]土地案例!A56</f>
        <v>雨花区劳动东路180号</v>
      </c>
      <c r="J7" s="4135"/>
      <c r="K7" s="514"/>
      <c r="L7" s="2135"/>
      <c r="M7" s="2134"/>
      <c r="N7" s="2134"/>
      <c r="O7" s="2136"/>
      <c r="P7" s="4127"/>
      <c r="Q7" s="4128"/>
      <c r="R7" s="4113"/>
      <c r="S7" s="4114"/>
      <c r="T7" s="4113"/>
      <c r="U7" s="4114"/>
      <c r="V7" s="4131"/>
      <c r="W7" s="4131"/>
      <c r="X7" s="1568"/>
      <c r="Y7" s="4113"/>
      <c r="Z7" s="4114"/>
      <c r="AA7" s="4107"/>
      <c r="AB7" s="4107"/>
      <c r="AC7" s="4107"/>
    </row>
    <row r="8" spans="1:30" ht="21" thickBot="1">
      <c r="A8" s="515"/>
      <c r="B8" s="516"/>
      <c r="C8" s="4137" t="s">
        <v>3028</v>
      </c>
      <c r="D8" s="4138"/>
      <c r="E8" s="4137" t="s">
        <v>3028</v>
      </c>
      <c r="F8" s="4138"/>
      <c r="G8" s="4132" t="s">
        <v>3028</v>
      </c>
      <c r="H8" s="4133"/>
      <c r="I8" s="4132" t="s">
        <v>3028</v>
      </c>
      <c r="J8" s="4133"/>
      <c r="K8" s="514" t="s">
        <v>529</v>
      </c>
      <c r="L8" s="2135"/>
      <c r="M8" s="2134"/>
      <c r="N8" s="2134"/>
      <c r="O8" s="2136"/>
      <c r="P8" s="4129"/>
      <c r="Q8" s="4130"/>
      <c r="R8" s="4113"/>
      <c r="S8" s="4114"/>
      <c r="T8" s="4115"/>
      <c r="U8" s="4116"/>
      <c r="V8" s="4131"/>
      <c r="W8" s="4131"/>
      <c r="X8" s="1568"/>
      <c r="Y8" s="4115"/>
      <c r="Z8" s="4116"/>
      <c r="AA8" s="4108"/>
      <c r="AB8" s="4108"/>
      <c r="AC8" s="4108"/>
    </row>
    <row r="9" spans="1:30" s="1220" customFormat="1" ht="21" thickBot="1">
      <c r="A9" s="2939"/>
      <c r="B9" s="2946" t="s">
        <v>530</v>
      </c>
      <c r="C9" s="2938">
        <f>'数据-取费表'!B2</f>
        <v>42940</v>
      </c>
      <c r="D9" s="520">
        <v>100</v>
      </c>
      <c r="E9" s="521">
        <v>42706</v>
      </c>
      <c r="F9" s="522">
        <f>SUMIF(72:72,YEAR(E9)&amp;"-"&amp;INT((MONTH(E9)+2)/3),73:73)</f>
        <v>97</v>
      </c>
      <c r="G9" s="523">
        <v>42348</v>
      </c>
      <c r="H9" s="520">
        <f>SUMIF(72:72,YEAR(G9)&amp;"-"&amp;INT((MONTH(G9)+2)/3),73:73)</f>
        <v>93</v>
      </c>
      <c r="I9" s="523">
        <v>42247</v>
      </c>
      <c r="J9" s="520">
        <f>SUMIF(72:72,YEAR(I9)&amp;"-"&amp;INT((MONTH(I9)+2)/3),73:73)</f>
        <v>92</v>
      </c>
      <c r="K9" s="524"/>
      <c r="L9" s="2137"/>
      <c r="M9" s="2134"/>
      <c r="N9" s="2134"/>
      <c r="O9" s="2138"/>
      <c r="P9" s="4109" t="s">
        <v>531</v>
      </c>
      <c r="Q9" s="4118"/>
      <c r="R9" s="1569" t="s">
        <v>8</v>
      </c>
      <c r="S9" s="1570">
        <f t="shared" ref="S9:S17" si="0">F9</f>
        <v>97</v>
      </c>
      <c r="T9" s="1569" t="s">
        <v>8</v>
      </c>
      <c r="U9" s="1570">
        <f t="shared" ref="U9:U17" si="1">H9</f>
        <v>93</v>
      </c>
      <c r="V9" s="1569" t="s">
        <v>8</v>
      </c>
      <c r="W9" s="1570">
        <f t="shared" ref="W9:W17" si="2">J9</f>
        <v>92</v>
      </c>
      <c r="X9" s="1571"/>
      <c r="Y9" s="4109" t="s">
        <v>531</v>
      </c>
      <c r="Z9" s="4110"/>
      <c r="AA9" s="1572">
        <f>D9/F9</f>
        <v>1.0309278350515463</v>
      </c>
      <c r="AB9" s="1572">
        <f>D9/H9</f>
        <v>1.075268817204301</v>
      </c>
      <c r="AC9" s="1572">
        <f>D9/J9</f>
        <v>1.0869565217391304</v>
      </c>
    </row>
    <row r="10" spans="1:30" s="1220" customFormat="1" ht="21" thickBot="1">
      <c r="A10" s="2940"/>
      <c r="B10" s="2947" t="s">
        <v>532</v>
      </c>
      <c r="C10" s="856" t="s">
        <v>533</v>
      </c>
      <c r="D10" s="520">
        <v>100</v>
      </c>
      <c r="E10" s="525" t="s">
        <v>3034</v>
      </c>
      <c r="F10" s="522">
        <f>SUMIF(75:75,E10,76:76)-SUMIF(75:75,C10,76:76)+100</f>
        <v>100</v>
      </c>
      <c r="G10" s="525" t="s">
        <v>3034</v>
      </c>
      <c r="H10" s="520">
        <f>SUMIF(75:75,G10,76:76)-SUMIF(75:75,C10,76:76)+100</f>
        <v>100</v>
      </c>
      <c r="I10" s="525" t="s">
        <v>3034</v>
      </c>
      <c r="J10" s="520">
        <f>SUMIF(75:75,I10,76:76)-SUMIF(75:75,C10,76:76)+100</f>
        <v>100</v>
      </c>
      <c r="K10" s="524"/>
      <c r="L10" s="2137"/>
      <c r="M10" s="2134"/>
      <c r="N10" s="2134"/>
      <c r="O10" s="2138"/>
      <c r="P10" s="4109" t="s">
        <v>534</v>
      </c>
      <c r="Q10" s="4110"/>
      <c r="R10" s="1569" t="s">
        <v>8</v>
      </c>
      <c r="S10" s="1570">
        <f t="shared" si="0"/>
        <v>100</v>
      </c>
      <c r="T10" s="1569" t="s">
        <v>8</v>
      </c>
      <c r="U10" s="1570">
        <f t="shared" si="1"/>
        <v>100</v>
      </c>
      <c r="V10" s="1569" t="s">
        <v>8</v>
      </c>
      <c r="W10" s="1570">
        <f t="shared" si="2"/>
        <v>100</v>
      </c>
      <c r="X10" s="1571"/>
      <c r="Y10" s="4109" t="s">
        <v>534</v>
      </c>
      <c r="Z10" s="4110"/>
      <c r="AA10" s="1572">
        <f t="shared" ref="AA10:AA47" si="3">D10/F10</f>
        <v>1</v>
      </c>
      <c r="AB10" s="1572">
        <f t="shared" ref="AB10:AB47" si="4">D10/H10</f>
        <v>1</v>
      </c>
      <c r="AC10" s="1572">
        <f t="shared" ref="AC10:AC47" si="5">D10/J10</f>
        <v>1</v>
      </c>
    </row>
    <row r="11" spans="1:30" s="1220" customFormat="1" ht="20.25">
      <c r="A11" s="2941"/>
      <c r="B11" s="2948" t="s">
        <v>2764</v>
      </c>
      <c r="C11" s="3506" t="s">
        <v>3146</v>
      </c>
      <c r="D11" s="254">
        <v>100</v>
      </c>
      <c r="E11" s="526" t="s">
        <v>924</v>
      </c>
      <c r="F11" s="254">
        <f>SUMIF(77:77,E11,78:78)-SUMIF(77:77,C11,78:78)+100</f>
        <v>98</v>
      </c>
      <c r="G11" s="526" t="s">
        <v>2988</v>
      </c>
      <c r="H11" s="254">
        <f>SUMIF(77:77,G11,78:78)-SUMIF(77:77,C11,78:78)+100</f>
        <v>100</v>
      </c>
      <c r="I11" s="526" t="s">
        <v>924</v>
      </c>
      <c r="J11" s="254">
        <f>SUMIF(77:77,I11,78:78)-SUMIF(77:77,C11,78:78)+100</f>
        <v>98</v>
      </c>
      <c r="K11" s="524"/>
      <c r="L11" s="2137"/>
      <c r="M11" s="2134"/>
      <c r="N11" s="2134"/>
      <c r="O11" s="2139"/>
      <c r="P11" s="4117" t="s">
        <v>536</v>
      </c>
      <c r="Q11" s="1151" t="str">
        <f t="shared" ref="Q11:Q17" si="6">B11</f>
        <v>用途</v>
      </c>
      <c r="R11" s="1569" t="s">
        <v>8</v>
      </c>
      <c r="S11" s="1570">
        <f t="shared" si="0"/>
        <v>98</v>
      </c>
      <c r="T11" s="1569" t="s">
        <v>8</v>
      </c>
      <c r="U11" s="1570">
        <f t="shared" si="1"/>
        <v>100</v>
      </c>
      <c r="V11" s="1569" t="s">
        <v>8</v>
      </c>
      <c r="W11" s="1570">
        <f t="shared" si="2"/>
        <v>98</v>
      </c>
      <c r="X11" s="1571"/>
      <c r="Y11" s="4074" t="s">
        <v>537</v>
      </c>
      <c r="Z11" s="1150" t="str">
        <f t="shared" ref="Z11:Z17" si="7">Q11</f>
        <v>用途</v>
      </c>
      <c r="AA11" s="1572">
        <f t="shared" si="3"/>
        <v>1.0204081632653061</v>
      </c>
      <c r="AB11" s="1572">
        <f t="shared" si="4"/>
        <v>1</v>
      </c>
      <c r="AC11" s="1572">
        <f t="shared" si="5"/>
        <v>1.0204081632653061</v>
      </c>
    </row>
    <row r="12" spans="1:30" s="1338" customFormat="1" ht="28.5">
      <c r="A12" s="2942"/>
      <c r="B12" s="2947" t="s">
        <v>2765</v>
      </c>
      <c r="C12" s="910" t="s">
        <v>3166</v>
      </c>
      <c r="D12" s="255">
        <v>100</v>
      </c>
      <c r="E12" s="529" t="s">
        <v>3167</v>
      </c>
      <c r="F12" s="255">
        <f>ROUND(100/'数据-取费表'!G16,0)</f>
        <v>100</v>
      </c>
      <c r="G12" s="530" t="s">
        <v>3165</v>
      </c>
      <c r="H12" s="255">
        <f>ROUND(100/'数据-取费表'!G16,0)</f>
        <v>100</v>
      </c>
      <c r="I12" s="530" t="s">
        <v>3168</v>
      </c>
      <c r="J12" s="255">
        <f>ROUND(100/'数据-取费表'!G16,0)</f>
        <v>100</v>
      </c>
      <c r="K12" s="531"/>
      <c r="L12" s="2140"/>
      <c r="M12" s="2134"/>
      <c r="N12" s="2134"/>
      <c r="O12" s="2141"/>
      <c r="P12" s="4117"/>
      <c r="Q12" s="1151" t="str">
        <f t="shared" si="6"/>
        <v>土地使用年限（年）</v>
      </c>
      <c r="R12" s="1569" t="s">
        <v>8</v>
      </c>
      <c r="S12" s="1570">
        <f t="shared" si="0"/>
        <v>100</v>
      </c>
      <c r="T12" s="1569" t="s">
        <v>8</v>
      </c>
      <c r="U12" s="1570">
        <f t="shared" si="1"/>
        <v>100</v>
      </c>
      <c r="V12" s="1569" t="s">
        <v>8</v>
      </c>
      <c r="W12" s="1570">
        <f t="shared" si="2"/>
        <v>100</v>
      </c>
      <c r="X12" s="1571"/>
      <c r="Y12" s="4074"/>
      <c r="Z12" s="1150" t="str">
        <f t="shared" si="7"/>
        <v>土地使用年限（年）</v>
      </c>
      <c r="AA12" s="1572">
        <f t="shared" si="3"/>
        <v>1</v>
      </c>
      <c r="AB12" s="1572">
        <f t="shared" si="4"/>
        <v>1</v>
      </c>
      <c r="AC12" s="1572">
        <f t="shared" si="5"/>
        <v>1</v>
      </c>
    </row>
    <row r="13" spans="1:30" ht="21" thickBot="1">
      <c r="A13" s="2943"/>
      <c r="B13" s="2947" t="s">
        <v>2766</v>
      </c>
      <c r="C13" s="534">
        <v>2.6</v>
      </c>
      <c r="D13" s="255">
        <v>100</v>
      </c>
      <c r="E13" s="533">
        <v>2.5</v>
      </c>
      <c r="F13" s="255">
        <f>LOOKUP(E13,82:82,83:83)-LOOKUP(C13,82:82,83:83)+100</f>
        <v>100</v>
      </c>
      <c r="G13" s="534">
        <v>4.3</v>
      </c>
      <c r="H13" s="255">
        <f>LOOKUP(G13,82:82,83:83)-LOOKUP(C13,82:82,83:83)+100</f>
        <v>104</v>
      </c>
      <c r="I13" s="533">
        <v>3.91</v>
      </c>
      <c r="J13" s="255">
        <f>LOOKUP(I13,82:82,83:83)-LOOKUP(C13,82:82,83:83)+100</f>
        <v>102</v>
      </c>
      <c r="K13" s="535">
        <v>2</v>
      </c>
      <c r="L13" s="2142"/>
      <c r="M13" s="2134"/>
      <c r="N13" s="2134"/>
      <c r="O13" s="2143"/>
      <c r="P13" s="4117"/>
      <c r="Q13" s="1151" t="str">
        <f t="shared" si="6"/>
        <v>容积率</v>
      </c>
      <c r="R13" s="1569" t="s">
        <v>8</v>
      </c>
      <c r="S13" s="1570">
        <f t="shared" si="0"/>
        <v>100</v>
      </c>
      <c r="T13" s="1569" t="s">
        <v>8</v>
      </c>
      <c r="U13" s="1570">
        <f t="shared" si="1"/>
        <v>104</v>
      </c>
      <c r="V13" s="1569" t="s">
        <v>8</v>
      </c>
      <c r="W13" s="1570">
        <f t="shared" si="2"/>
        <v>102</v>
      </c>
      <c r="X13" s="1571"/>
      <c r="Y13" s="4074"/>
      <c r="Z13" s="1150" t="str">
        <f t="shared" si="7"/>
        <v>容积率</v>
      </c>
      <c r="AA13" s="1572">
        <f t="shared" si="3"/>
        <v>1</v>
      </c>
      <c r="AB13" s="1572">
        <f t="shared" si="4"/>
        <v>0.96153846153846156</v>
      </c>
      <c r="AC13" s="1572">
        <f t="shared" si="5"/>
        <v>0.98039215686274506</v>
      </c>
    </row>
    <row r="14" spans="1:30" s="1220" customFormat="1" ht="20.25" hidden="1">
      <c r="A14" s="2940"/>
      <c r="B14" s="2949" t="s">
        <v>2767</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4117"/>
      <c r="Q14" s="1151" t="str">
        <f t="shared" si="6"/>
        <v>配建</v>
      </c>
      <c r="R14" s="1569" t="s">
        <v>8</v>
      </c>
      <c r="S14" s="1570">
        <f t="shared" si="0"/>
        <v>100</v>
      </c>
      <c r="T14" s="1569" t="s">
        <v>8</v>
      </c>
      <c r="U14" s="1570">
        <f t="shared" si="1"/>
        <v>100</v>
      </c>
      <c r="V14" s="1569" t="s">
        <v>8</v>
      </c>
      <c r="W14" s="1570">
        <f t="shared" si="2"/>
        <v>100</v>
      </c>
      <c r="X14" s="1571"/>
      <c r="Y14" s="4074"/>
      <c r="Z14" s="1150" t="str">
        <f t="shared" si="7"/>
        <v>配建</v>
      </c>
      <c r="AA14" s="1572">
        <f>D14/F14</f>
        <v>1</v>
      </c>
      <c r="AB14" s="1572">
        <f>D14/H14</f>
        <v>1</v>
      </c>
      <c r="AC14" s="1572">
        <f>D14/J14</f>
        <v>1</v>
      </c>
    </row>
    <row r="15" spans="1:30" ht="20.25" hidden="1">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4117"/>
      <c r="Q15" s="1151">
        <f t="shared" si="6"/>
        <v>111</v>
      </c>
      <c r="R15" s="1569" t="s">
        <v>8</v>
      </c>
      <c r="S15" s="1570">
        <f t="shared" si="0"/>
        <v>100</v>
      </c>
      <c r="T15" s="1569" t="s">
        <v>8</v>
      </c>
      <c r="U15" s="1570">
        <f t="shared" si="1"/>
        <v>100</v>
      </c>
      <c r="V15" s="1569" t="s">
        <v>8</v>
      </c>
      <c r="W15" s="1570">
        <f t="shared" si="2"/>
        <v>100</v>
      </c>
      <c r="X15" s="1571"/>
      <c r="Y15" s="4074"/>
      <c r="Z15" s="1150">
        <f t="shared" si="7"/>
        <v>111</v>
      </c>
      <c r="AA15" s="1572">
        <f>D15/F15</f>
        <v>1</v>
      </c>
      <c r="AB15" s="1572">
        <f>D15/H15</f>
        <v>1</v>
      </c>
      <c r="AC15" s="1572">
        <f>D15/J15</f>
        <v>1</v>
      </c>
    </row>
    <row r="16" spans="1:30" ht="21" hidden="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4117"/>
      <c r="Q16" s="1151">
        <f t="shared" si="6"/>
        <v>111</v>
      </c>
      <c r="R16" s="1569" t="s">
        <v>8</v>
      </c>
      <c r="S16" s="1570">
        <f t="shared" si="0"/>
        <v>100</v>
      </c>
      <c r="T16" s="1569" t="s">
        <v>8</v>
      </c>
      <c r="U16" s="1570">
        <f t="shared" si="1"/>
        <v>100</v>
      </c>
      <c r="V16" s="1569" t="s">
        <v>8</v>
      </c>
      <c r="W16" s="1570">
        <f t="shared" si="2"/>
        <v>100</v>
      </c>
      <c r="X16" s="1571"/>
      <c r="Y16" s="4074"/>
      <c r="Z16" s="1150">
        <f t="shared" si="7"/>
        <v>111</v>
      </c>
      <c r="AA16" s="1572">
        <f>D16/F16</f>
        <v>1</v>
      </c>
      <c r="AB16" s="1572">
        <f>D16/H16</f>
        <v>1</v>
      </c>
      <c r="AC16" s="1572">
        <f>D16/J16</f>
        <v>1</v>
      </c>
    </row>
    <row r="17" spans="1:29" ht="99.75">
      <c r="A17" s="2937" t="s">
        <v>2762</v>
      </c>
      <c r="B17" s="578" t="s">
        <v>295</v>
      </c>
      <c r="C17" s="548" t="str">
        <f>估价对象房地状况!C15</f>
        <v>估价对象周边居住用地比例一般、有一定数量居住小区、入住率一般，综合评价居住社区成熟度一般。</v>
      </c>
      <c r="D17" s="551">
        <v>100</v>
      </c>
      <c r="E17" s="552"/>
      <c r="F17" s="549">
        <f>SUMIF(90:90,E18,91:91)-SUMIF(90:90,C18,91:91)+100</f>
        <v>103</v>
      </c>
      <c r="G17" s="550"/>
      <c r="H17" s="549">
        <f>SUMIF(90:90,G18,91:91)-SUMIF(90:90,C18,91:91)+100</f>
        <v>103</v>
      </c>
      <c r="I17" s="552"/>
      <c r="J17" s="549">
        <f>SUMIF(90:90,I18,91:91)-SUMIF(90:90,C18,91:91)+100</f>
        <v>103</v>
      </c>
      <c r="K17" s="535">
        <v>3</v>
      </c>
      <c r="L17" s="2144"/>
      <c r="M17" s="2134"/>
      <c r="N17" s="2134"/>
      <c r="O17" s="2143"/>
      <c r="P17" s="4119" t="s">
        <v>541</v>
      </c>
      <c r="Q17" s="1573" t="str">
        <f t="shared" si="6"/>
        <v>居住社区成熟度</v>
      </c>
      <c r="R17" s="1574" t="s">
        <v>8</v>
      </c>
      <c r="S17" s="1575">
        <f t="shared" si="0"/>
        <v>103</v>
      </c>
      <c r="T17" s="1574" t="s">
        <v>8</v>
      </c>
      <c r="U17" s="1575">
        <f t="shared" si="1"/>
        <v>103</v>
      </c>
      <c r="V17" s="1574" t="s">
        <v>8</v>
      </c>
      <c r="W17" s="1575">
        <f t="shared" si="2"/>
        <v>103</v>
      </c>
      <c r="X17" s="1568"/>
      <c r="Y17" s="4119" t="s">
        <v>541</v>
      </c>
      <c r="Z17" s="1576" t="str">
        <f t="shared" si="7"/>
        <v>居住社区成熟度</v>
      </c>
      <c r="AA17" s="1577">
        <f t="shared" si="3"/>
        <v>0.970873786407767</v>
      </c>
      <c r="AB17" s="1577">
        <f t="shared" si="4"/>
        <v>0.970873786407767</v>
      </c>
      <c r="AC17" s="1577">
        <f t="shared" si="5"/>
        <v>0.970873786407767</v>
      </c>
    </row>
    <row r="18" spans="1:29" ht="20.25">
      <c r="A18" s="532"/>
      <c r="B18" s="553"/>
      <c r="C18" s="554" t="s">
        <v>3043</v>
      </c>
      <c r="D18" s="557"/>
      <c r="E18" s="558" t="s">
        <v>3044</v>
      </c>
      <c r="F18" s="555"/>
      <c r="G18" s="556" t="s">
        <v>3044</v>
      </c>
      <c r="H18" s="559"/>
      <c r="I18" s="558" t="s">
        <v>3044</v>
      </c>
      <c r="J18" s="555"/>
      <c r="K18" s="531"/>
      <c r="L18" s="2144"/>
      <c r="M18" s="2134"/>
      <c r="N18" s="2134"/>
      <c r="O18" s="2143"/>
      <c r="P18" s="4120"/>
      <c r="Q18" s="1573"/>
      <c r="R18" s="1574"/>
      <c r="S18" s="1575"/>
      <c r="T18" s="1574"/>
      <c r="U18" s="1575"/>
      <c r="V18" s="1574"/>
      <c r="W18" s="1575"/>
      <c r="X18" s="1568"/>
      <c r="Y18" s="4120"/>
      <c r="Z18" s="1576"/>
      <c r="AA18" s="1577">
        <v>1</v>
      </c>
      <c r="AB18" s="1577">
        <v>1</v>
      </c>
      <c r="AC18" s="1577">
        <v>1</v>
      </c>
    </row>
    <row r="19" spans="1:29" ht="71.25">
      <c r="A19" s="532"/>
      <c r="B19" s="560" t="s">
        <v>542</v>
      </c>
      <c r="C19" s="561" t="str">
        <f>估价对象房地状况!C16</f>
        <v>估价对象周边商业氛围一般、大型商业较少、人流量一般、商业繁华度一般。</v>
      </c>
      <c r="D19" s="563">
        <v>100</v>
      </c>
      <c r="E19" s="564"/>
      <c r="F19" s="559">
        <f>SUMIF(92:92,E20,93:93)-SUMIF(92:92,C20,93:93)+100</f>
        <v>102</v>
      </c>
      <c r="G19" s="562"/>
      <c r="H19" s="565">
        <f>SUMIF(92:92,G20,93:93)-SUMIF(92:92,C20,93:93)+100</f>
        <v>102</v>
      </c>
      <c r="I19" s="564"/>
      <c r="J19" s="565">
        <f>SUMIF(92:92,I20,93:93)-SUMIF(92:92,C20,93:93)+100</f>
        <v>102</v>
      </c>
      <c r="K19" s="535">
        <v>2</v>
      </c>
      <c r="L19" s="2144"/>
      <c r="M19" s="2134"/>
      <c r="N19" s="2134"/>
      <c r="O19" s="2143"/>
      <c r="P19" s="4120"/>
      <c r="Q19" s="1573" t="str">
        <f>B19</f>
        <v>商业繁华度</v>
      </c>
      <c r="R19" s="1574" t="s">
        <v>8</v>
      </c>
      <c r="S19" s="1575">
        <f>F19</f>
        <v>102</v>
      </c>
      <c r="T19" s="1574" t="s">
        <v>8</v>
      </c>
      <c r="U19" s="1575">
        <f>H19</f>
        <v>102</v>
      </c>
      <c r="V19" s="1574" t="s">
        <v>8</v>
      </c>
      <c r="W19" s="1575">
        <f>J19</f>
        <v>102</v>
      </c>
      <c r="X19" s="1568"/>
      <c r="Y19" s="4120"/>
      <c r="Z19" s="1576" t="str">
        <f>Q19</f>
        <v>商业繁华度</v>
      </c>
      <c r="AA19" s="1577">
        <f t="shared" si="3"/>
        <v>0.98039215686274506</v>
      </c>
      <c r="AB19" s="1577">
        <f t="shared" si="4"/>
        <v>0.98039215686274506</v>
      </c>
      <c r="AC19" s="1577">
        <f t="shared" si="5"/>
        <v>0.98039215686274506</v>
      </c>
    </row>
    <row r="20" spans="1:29" ht="20.25">
      <c r="A20" s="532"/>
      <c r="B20" s="566"/>
      <c r="C20" s="567" t="s">
        <v>3043</v>
      </c>
      <c r="D20" s="563"/>
      <c r="E20" s="569" t="s">
        <v>3044</v>
      </c>
      <c r="F20" s="559"/>
      <c r="G20" s="568" t="s">
        <v>3044</v>
      </c>
      <c r="H20" s="555"/>
      <c r="I20" s="569" t="s">
        <v>3044</v>
      </c>
      <c r="J20" s="555"/>
      <c r="K20" s="531"/>
      <c r="L20" s="2144"/>
      <c r="M20" s="2134"/>
      <c r="N20" s="2134"/>
      <c r="O20" s="2143"/>
      <c r="P20" s="4120"/>
      <c r="Q20" s="1573"/>
      <c r="R20" s="1574"/>
      <c r="S20" s="1575"/>
      <c r="T20" s="1574"/>
      <c r="U20" s="1575"/>
      <c r="V20" s="1574"/>
      <c r="W20" s="1575"/>
      <c r="X20" s="1568"/>
      <c r="Y20" s="4120"/>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4120"/>
      <c r="Q21" s="1573" t="str">
        <f>B21</f>
        <v>办公集聚程度</v>
      </c>
      <c r="R21" s="1574" t="s">
        <v>8</v>
      </c>
      <c r="S21" s="1575">
        <f>F21</f>
        <v>100</v>
      </c>
      <c r="T21" s="1574" t="s">
        <v>8</v>
      </c>
      <c r="U21" s="1575">
        <f>H21</f>
        <v>100</v>
      </c>
      <c r="V21" s="1574" t="s">
        <v>8</v>
      </c>
      <c r="W21" s="1575">
        <f>J21</f>
        <v>100</v>
      </c>
      <c r="X21" s="1568"/>
      <c r="Y21" s="412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4120"/>
      <c r="Q22" s="1573"/>
      <c r="R22" s="1574"/>
      <c r="S22" s="1575"/>
      <c r="T22" s="1574"/>
      <c r="U22" s="1575"/>
      <c r="V22" s="1574"/>
      <c r="W22" s="1575"/>
      <c r="X22" s="1568"/>
      <c r="Y22" s="4120"/>
      <c r="Z22" s="1576"/>
      <c r="AA22" s="1577">
        <v>1</v>
      </c>
      <c r="AB22" s="1577">
        <v>1</v>
      </c>
      <c r="AC22" s="1577">
        <v>1</v>
      </c>
    </row>
    <row r="23" spans="1:29" ht="85.5">
      <c r="A23" s="532"/>
      <c r="B23" s="560" t="s">
        <v>544</v>
      </c>
      <c r="C23" s="573" t="str">
        <f>估价对象房地状况!C18</f>
        <v>估价对象周边路网密集程度一般、有一定数量公交车、停车较便捷，综合评价交通便捷度一般。</v>
      </c>
      <c r="D23" s="563">
        <v>100</v>
      </c>
      <c r="E23" s="564"/>
      <c r="F23" s="565">
        <f>SUMIF(96:96,E24,97:97)-SUMIF(96:96,C24,97:97)+100</f>
        <v>103</v>
      </c>
      <c r="G23" s="562"/>
      <c r="H23" s="559">
        <f>SUMIF(96:96,G24,97:97)-SUMIF(96:96,C24,97:97)+100</f>
        <v>103</v>
      </c>
      <c r="I23" s="564"/>
      <c r="J23" s="559">
        <f>SUMIF(96:96,I24,97:97)-SUMIF(96:96,C24,97:97)+100</f>
        <v>100</v>
      </c>
      <c r="K23" s="535">
        <v>3</v>
      </c>
      <c r="L23" s="2144"/>
      <c r="M23" s="2134"/>
      <c r="N23" s="2134"/>
      <c r="O23" s="2143"/>
      <c r="P23" s="4120"/>
      <c r="Q23" s="1573" t="str">
        <f>B23</f>
        <v>交通便捷度</v>
      </c>
      <c r="R23" s="1574" t="s">
        <v>8</v>
      </c>
      <c r="S23" s="1575">
        <f>F23</f>
        <v>103</v>
      </c>
      <c r="T23" s="1574" t="s">
        <v>8</v>
      </c>
      <c r="U23" s="1575">
        <f>H23</f>
        <v>103</v>
      </c>
      <c r="V23" s="1574" t="s">
        <v>8</v>
      </c>
      <c r="W23" s="1575">
        <f>J23</f>
        <v>100</v>
      </c>
      <c r="X23" s="1568"/>
      <c r="Y23" s="4120"/>
      <c r="Z23" s="1576" t="str">
        <f>Q23</f>
        <v>交通便捷度</v>
      </c>
      <c r="AA23" s="1577">
        <f t="shared" si="3"/>
        <v>0.970873786407767</v>
      </c>
      <c r="AB23" s="1577">
        <f t="shared" si="4"/>
        <v>0.970873786407767</v>
      </c>
      <c r="AC23" s="1577">
        <f t="shared" si="5"/>
        <v>1</v>
      </c>
    </row>
    <row r="24" spans="1:29" ht="20.25">
      <c r="A24" s="532"/>
      <c r="B24" s="578"/>
      <c r="C24" s="554" t="s">
        <v>3043</v>
      </c>
      <c r="D24" s="557"/>
      <c r="E24" s="558" t="s">
        <v>3044</v>
      </c>
      <c r="F24" s="555"/>
      <c r="G24" s="556" t="s">
        <v>3044</v>
      </c>
      <c r="H24" s="555"/>
      <c r="I24" s="558" t="s">
        <v>3043</v>
      </c>
      <c r="J24" s="555"/>
      <c r="K24" s="531"/>
      <c r="L24" s="2144"/>
      <c r="M24" s="2134"/>
      <c r="N24" s="2134"/>
      <c r="O24" s="2143"/>
      <c r="P24" s="4120"/>
      <c r="Q24" s="1573"/>
      <c r="R24" s="1574"/>
      <c r="S24" s="1575"/>
      <c r="T24" s="1574"/>
      <c r="U24" s="1575"/>
      <c r="V24" s="1574"/>
      <c r="W24" s="1575"/>
      <c r="X24" s="1568"/>
      <c r="Y24" s="4120"/>
      <c r="Z24" s="1576"/>
      <c r="AA24" s="1577">
        <v>1</v>
      </c>
      <c r="AB24" s="1577">
        <v>1</v>
      </c>
      <c r="AC24" s="1577">
        <v>1</v>
      </c>
    </row>
    <row r="25" spans="1:29" ht="27">
      <c r="A25" s="515"/>
      <c r="B25" s="259" t="s">
        <v>545</v>
      </c>
      <c r="C25" s="573" t="str">
        <f>估价对象房地状况!C19</f>
        <v>一致</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4120"/>
      <c r="Q25" s="1573" t="str">
        <f t="shared" ref="Q25:Q39" si="8">B25</f>
        <v>区域土地利用方向</v>
      </c>
      <c r="R25" s="1574" t="s">
        <v>8</v>
      </c>
      <c r="S25" s="1575">
        <f>F25</f>
        <v>100</v>
      </c>
      <c r="T25" s="1574" t="s">
        <v>8</v>
      </c>
      <c r="U25" s="1575">
        <f>H25</f>
        <v>100</v>
      </c>
      <c r="V25" s="1574" t="s">
        <v>8</v>
      </c>
      <c r="W25" s="1575">
        <f>J25</f>
        <v>100</v>
      </c>
      <c r="X25" s="1568"/>
      <c r="Y25" s="4120"/>
      <c r="Z25" s="1576" t="str">
        <f>Q25</f>
        <v>区域土地利用方向</v>
      </c>
      <c r="AA25" s="1577">
        <f t="shared" si="3"/>
        <v>1</v>
      </c>
      <c r="AB25" s="1577">
        <f t="shared" si="4"/>
        <v>1</v>
      </c>
      <c r="AC25" s="1577">
        <f t="shared" si="5"/>
        <v>1</v>
      </c>
    </row>
    <row r="26" spans="1:29" ht="20.25">
      <c r="A26" s="515"/>
      <c r="B26" s="1007"/>
      <c r="C26" s="554" t="s">
        <v>3056</v>
      </c>
      <c r="D26" s="557"/>
      <c r="E26" s="558" t="s">
        <v>3056</v>
      </c>
      <c r="F26" s="555"/>
      <c r="G26" s="556" t="s">
        <v>3056</v>
      </c>
      <c r="H26" s="555"/>
      <c r="I26" s="558" t="s">
        <v>3056</v>
      </c>
      <c r="J26" s="555"/>
      <c r="K26" s="531"/>
      <c r="L26" s="2144"/>
      <c r="M26" s="2134"/>
      <c r="N26" s="2134"/>
      <c r="O26" s="2143"/>
      <c r="P26" s="4120"/>
      <c r="Q26" s="1573"/>
      <c r="R26" s="1574"/>
      <c r="S26" s="1575"/>
      <c r="T26" s="1574"/>
      <c r="U26" s="1575"/>
      <c r="V26" s="1574"/>
      <c r="W26" s="1575"/>
      <c r="X26" s="1568"/>
      <c r="Y26" s="4120"/>
      <c r="Z26" s="1576"/>
      <c r="AA26" s="1577"/>
      <c r="AB26" s="1577"/>
      <c r="AC26" s="1577"/>
    </row>
    <row r="27" spans="1:29" ht="128.25">
      <c r="A27" s="515"/>
      <c r="B27" s="578" t="s">
        <v>546</v>
      </c>
      <c r="C27" s="561" t="str">
        <f>估价对象房地状况!C20</f>
        <v>估价对象周边无大型绿化，公园等自然环境一般：周边有长沙理工大学，无其他博物馆，图书馆等人文环境一般；综合评价环境状况一般。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4"/>
      <c r="M27" s="2134"/>
      <c r="N27" s="2134"/>
      <c r="O27" s="2143"/>
      <c r="P27" s="4120"/>
      <c r="Q27" s="1573" t="str">
        <f t="shared" si="8"/>
        <v>自然及人文环境状况</v>
      </c>
      <c r="R27" s="1574" t="s">
        <v>8</v>
      </c>
      <c r="S27" s="1575">
        <f>F27</f>
        <v>100</v>
      </c>
      <c r="T27" s="1574" t="s">
        <v>8</v>
      </c>
      <c r="U27" s="1575">
        <f>H27</f>
        <v>100</v>
      </c>
      <c r="V27" s="1574" t="s">
        <v>8</v>
      </c>
      <c r="W27" s="1575">
        <f>J27</f>
        <v>100</v>
      </c>
      <c r="X27" s="1568"/>
      <c r="Y27" s="4120"/>
      <c r="Z27" s="1576" t="str">
        <f>Q27</f>
        <v>自然及人文环境状况</v>
      </c>
      <c r="AA27" s="1577">
        <f t="shared" si="3"/>
        <v>1</v>
      </c>
      <c r="AB27" s="1577">
        <f t="shared" si="4"/>
        <v>1</v>
      </c>
      <c r="AC27" s="1577">
        <f t="shared" si="5"/>
        <v>1</v>
      </c>
    </row>
    <row r="28" spans="1:29" ht="20.25">
      <c r="A28" s="515"/>
      <c r="B28" s="566"/>
      <c r="C28" s="554" t="s">
        <v>3043</v>
      </c>
      <c r="D28" s="557"/>
      <c r="E28" s="576" t="s">
        <v>3043</v>
      </c>
      <c r="F28" s="555"/>
      <c r="G28" s="554" t="s">
        <v>3043</v>
      </c>
      <c r="H28" s="555"/>
      <c r="I28" s="576" t="s">
        <v>3043</v>
      </c>
      <c r="J28" s="555"/>
      <c r="K28" s="531"/>
      <c r="L28" s="2144"/>
      <c r="M28" s="2134"/>
      <c r="N28" s="2134"/>
      <c r="O28" s="2143"/>
      <c r="P28" s="4120"/>
      <c r="Q28" s="1573"/>
      <c r="R28" s="1574"/>
      <c r="S28" s="1575"/>
      <c r="T28" s="1574"/>
      <c r="U28" s="1575"/>
      <c r="V28" s="1574"/>
      <c r="W28" s="1575"/>
      <c r="X28" s="1568"/>
      <c r="Y28" s="4120"/>
      <c r="Z28" s="1576"/>
      <c r="AA28" s="1577">
        <v>1</v>
      </c>
      <c r="AB28" s="1577">
        <v>1</v>
      </c>
      <c r="AC28" s="1577">
        <v>1</v>
      </c>
    </row>
    <row r="29" spans="1:29" s="1220" customFormat="1" ht="42.75">
      <c r="A29" s="577"/>
      <c r="B29" s="2617" t="s">
        <v>2554</v>
      </c>
      <c r="C29" s="573" t="str">
        <f>估价对象房地状况!C21</f>
        <v>估价对象所在区域公共配套设施较齐备。</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4120"/>
      <c r="Q29" s="1151" t="str">
        <f t="shared" si="8"/>
        <v>公共配套设施</v>
      </c>
      <c r="R29" s="1569" t="s">
        <v>8</v>
      </c>
      <c r="S29" s="1570">
        <f>F29</f>
        <v>100</v>
      </c>
      <c r="T29" s="1569" t="s">
        <v>8</v>
      </c>
      <c r="U29" s="1570">
        <f>H29</f>
        <v>100</v>
      </c>
      <c r="V29" s="1569" t="s">
        <v>8</v>
      </c>
      <c r="W29" s="1570">
        <f>J29</f>
        <v>100</v>
      </c>
      <c r="X29" s="1571"/>
      <c r="Y29" s="4120"/>
      <c r="Z29" s="1150" t="str">
        <f>Q29</f>
        <v>公共配套设施</v>
      </c>
      <c r="AA29" s="1577">
        <f>D29/F29</f>
        <v>1</v>
      </c>
      <c r="AB29" s="1577">
        <f>D29/H29</f>
        <v>1</v>
      </c>
      <c r="AC29" s="1577">
        <f>D29/J29</f>
        <v>1</v>
      </c>
    </row>
    <row r="30" spans="1:29" s="1220" customFormat="1" ht="20.25">
      <c r="A30" s="577"/>
      <c r="B30" s="566"/>
      <c r="C30" s="579" t="s">
        <v>3044</v>
      </c>
      <c r="D30" s="557"/>
      <c r="E30" s="576" t="s">
        <v>3044</v>
      </c>
      <c r="F30" s="555"/>
      <c r="G30" s="554" t="s">
        <v>3044</v>
      </c>
      <c r="H30" s="555"/>
      <c r="I30" s="576" t="s">
        <v>3044</v>
      </c>
      <c r="J30" s="555"/>
      <c r="K30" s="531"/>
      <c r="L30" s="2137"/>
      <c r="M30" s="2134"/>
      <c r="N30" s="2134"/>
      <c r="O30" s="2139"/>
      <c r="P30" s="4120"/>
      <c r="Q30" s="1151"/>
      <c r="R30" s="1569"/>
      <c r="S30" s="1570"/>
      <c r="T30" s="1569"/>
      <c r="U30" s="1570"/>
      <c r="V30" s="1569"/>
      <c r="W30" s="1570"/>
      <c r="X30" s="1571"/>
      <c r="Y30" s="4120"/>
      <c r="Z30" s="1150"/>
      <c r="AA30" s="1577">
        <v>1</v>
      </c>
      <c r="AB30" s="1577">
        <v>1</v>
      </c>
      <c r="AC30" s="1577">
        <v>1</v>
      </c>
    </row>
    <row r="31" spans="1:29" s="1220" customFormat="1" ht="42.75">
      <c r="A31" s="577"/>
      <c r="B31" s="2617" t="s">
        <v>2555</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4120"/>
      <c r="Q31" s="2604" t="str">
        <f t="shared" ref="Q31" si="9">B31</f>
        <v>基础设施水平</v>
      </c>
      <c r="R31" s="1569" t="s">
        <v>8</v>
      </c>
      <c r="S31" s="1570">
        <f>F31</f>
        <v>100</v>
      </c>
      <c r="T31" s="1569" t="s">
        <v>8</v>
      </c>
      <c r="U31" s="1570">
        <f>H31</f>
        <v>100</v>
      </c>
      <c r="V31" s="1569" t="s">
        <v>8</v>
      </c>
      <c r="W31" s="1570">
        <f>J31</f>
        <v>100</v>
      </c>
      <c r="X31" s="1571"/>
      <c r="Y31" s="4120"/>
      <c r="Z31" s="2601" t="str">
        <f>Q31</f>
        <v>基础设施水平</v>
      </c>
      <c r="AA31" s="1577">
        <f>D31/F31</f>
        <v>1</v>
      </c>
      <c r="AB31" s="1577">
        <f>D31/H31</f>
        <v>1</v>
      </c>
      <c r="AC31" s="1577">
        <f>D31/J31</f>
        <v>1</v>
      </c>
    </row>
    <row r="32" spans="1:29" s="1220" customFormat="1" ht="20.25">
      <c r="A32" s="577"/>
      <c r="B32" s="566"/>
      <c r="C32" s="579" t="s">
        <v>3068</v>
      </c>
      <c r="D32" s="557"/>
      <c r="E32" s="2618" t="s">
        <v>3068</v>
      </c>
      <c r="F32" s="555"/>
      <c r="G32" s="579" t="s">
        <v>3068</v>
      </c>
      <c r="H32" s="555"/>
      <c r="I32" s="579" t="s">
        <v>3068</v>
      </c>
      <c r="J32" s="555"/>
      <c r="K32" s="531"/>
      <c r="L32" s="2137"/>
      <c r="M32" s="2134"/>
      <c r="N32" s="2134"/>
      <c r="O32" s="2139"/>
      <c r="P32" s="4120"/>
      <c r="Q32" s="2604"/>
      <c r="R32" s="1569"/>
      <c r="S32" s="1570"/>
      <c r="T32" s="1569"/>
      <c r="U32" s="1570"/>
      <c r="V32" s="1569"/>
      <c r="W32" s="1570"/>
      <c r="X32" s="1571"/>
      <c r="Y32" s="4120"/>
      <c r="Z32" s="2601"/>
      <c r="AA32" s="1577">
        <v>1</v>
      </c>
      <c r="AB32" s="1577">
        <v>1</v>
      </c>
      <c r="AC32" s="1577">
        <v>1</v>
      </c>
    </row>
    <row r="33" spans="1:29" ht="20.25">
      <c r="A33" s="532"/>
      <c r="B33" s="566" t="s">
        <v>548</v>
      </c>
      <c r="C33" s="580" t="s">
        <v>3070</v>
      </c>
      <c r="D33" s="575">
        <v>100</v>
      </c>
      <c r="E33" s="583" t="s">
        <v>3070</v>
      </c>
      <c r="F33" s="540">
        <f>SUMIF(106:106,E33,107:107)-SUMIF(106:106,C33,107:107)+100</f>
        <v>100</v>
      </c>
      <c r="G33" s="580" t="s">
        <v>3070</v>
      </c>
      <c r="H33" s="540">
        <f>SUMIF(106:106,G33,107:107)-SUMIF(106:106,C33,107:107)+100</f>
        <v>100</v>
      </c>
      <c r="I33" s="580" t="s">
        <v>3070</v>
      </c>
      <c r="J33" s="540">
        <f>SUMIF(106:106,I33,107:107)-SUMIF(106:106,C33,107:107)+100</f>
        <v>100</v>
      </c>
      <c r="K33" s="535">
        <v>2</v>
      </c>
      <c r="L33" s="2144"/>
      <c r="M33" s="2134"/>
      <c r="N33" s="2134"/>
      <c r="O33" s="2143"/>
      <c r="P33" s="412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4120"/>
      <c r="Z33" s="1576" t="str">
        <f t="shared" ref="Z33:Z47" si="13">Q33</f>
        <v>临街状况</v>
      </c>
      <c r="AA33" s="1577">
        <f t="shared" si="3"/>
        <v>1</v>
      </c>
      <c r="AB33" s="1577">
        <f t="shared" si="4"/>
        <v>1</v>
      </c>
      <c r="AC33" s="1577">
        <f t="shared" si="5"/>
        <v>1</v>
      </c>
    </row>
    <row r="34" spans="1:29" ht="27.75">
      <c r="A34" s="532"/>
      <c r="B34" s="578" t="s">
        <v>549</v>
      </c>
      <c r="C34" s="562" t="s">
        <v>3177</v>
      </c>
      <c r="D34" s="563">
        <v>100</v>
      </c>
      <c r="E34" s="3514" t="s">
        <v>3178</v>
      </c>
      <c r="F34" s="559">
        <f>SUMIF(108:108,E35,109:109)-SUMIF(108:108,C35,109:109)+100</f>
        <v>100</v>
      </c>
      <c r="G34" s="3514" t="s">
        <v>3179</v>
      </c>
      <c r="H34" s="559">
        <f>SUMIF(108:108,G35,109:109)-SUMIF(108:108,C35,109:109)+100</f>
        <v>100</v>
      </c>
      <c r="I34" s="3514" t="s">
        <v>3180</v>
      </c>
      <c r="J34" s="559">
        <f>SUMIF(108:108,I35,109:109)-SUMIF(108:108,C35,109:109)+100</f>
        <v>100</v>
      </c>
      <c r="K34" s="535">
        <v>2</v>
      </c>
      <c r="L34" s="2144"/>
      <c r="M34" s="2134"/>
      <c r="N34" s="2134"/>
      <c r="O34" s="2143"/>
      <c r="P34" s="4120"/>
      <c r="Q34" s="1573" t="str">
        <f t="shared" si="8"/>
        <v>毗邻道路的类型与等级</v>
      </c>
      <c r="R34" s="1574" t="s">
        <v>8</v>
      </c>
      <c r="S34" s="1575">
        <f t="shared" si="10"/>
        <v>100</v>
      </c>
      <c r="T34" s="1574" t="s">
        <v>8</v>
      </c>
      <c r="U34" s="1575">
        <f t="shared" si="11"/>
        <v>100</v>
      </c>
      <c r="V34" s="1574" t="s">
        <v>8</v>
      </c>
      <c r="W34" s="1575">
        <f t="shared" si="12"/>
        <v>100</v>
      </c>
      <c r="X34" s="1568"/>
      <c r="Y34" s="4120"/>
      <c r="Z34" s="1576" t="str">
        <f t="shared" si="13"/>
        <v>毗邻道路的类型与等级</v>
      </c>
      <c r="AA34" s="1577">
        <f t="shared" si="3"/>
        <v>1</v>
      </c>
      <c r="AB34" s="1577">
        <f t="shared" si="4"/>
        <v>1</v>
      </c>
      <c r="AC34" s="1577">
        <f t="shared" si="5"/>
        <v>1</v>
      </c>
    </row>
    <row r="35" spans="1:29" ht="21" thickBot="1">
      <c r="A35" s="532"/>
      <c r="B35" s="566"/>
      <c r="C35" s="554" t="s">
        <v>3078</v>
      </c>
      <c r="D35" s="557"/>
      <c r="E35" s="576" t="s">
        <v>3078</v>
      </c>
      <c r="F35" s="555"/>
      <c r="G35" s="554" t="s">
        <v>3078</v>
      </c>
      <c r="H35" s="555"/>
      <c r="I35" s="576" t="s">
        <v>3078</v>
      </c>
      <c r="J35" s="555"/>
      <c r="K35" s="581"/>
      <c r="L35" s="2144"/>
      <c r="M35" s="2134"/>
      <c r="N35" s="2134"/>
      <c r="O35" s="2143"/>
      <c r="P35" s="4120"/>
      <c r="Q35" s="1573"/>
      <c r="R35" s="1574"/>
      <c r="S35" s="1575"/>
      <c r="T35" s="1574"/>
      <c r="U35" s="1575"/>
      <c r="V35" s="1574"/>
      <c r="W35" s="1575"/>
      <c r="X35" s="1568"/>
      <c r="Y35" s="4120"/>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4"/>
      <c r="M36" s="2134"/>
      <c r="N36" s="2134"/>
      <c r="O36" s="2143"/>
      <c r="P36" s="4120"/>
      <c r="Q36" s="1573" t="str">
        <f t="shared" si="8"/>
        <v>土地级别</v>
      </c>
      <c r="R36" s="1574" t="s">
        <v>8</v>
      </c>
      <c r="S36" s="1575">
        <f t="shared" si="10"/>
        <v>100</v>
      </c>
      <c r="T36" s="1574" t="s">
        <v>8</v>
      </c>
      <c r="U36" s="1575">
        <f t="shared" si="11"/>
        <v>100</v>
      </c>
      <c r="V36" s="1574" t="s">
        <v>8</v>
      </c>
      <c r="W36" s="1575">
        <f t="shared" si="12"/>
        <v>100</v>
      </c>
      <c r="X36" s="1568"/>
      <c r="Y36" s="4120"/>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4120"/>
      <c r="Q37" s="1573">
        <f t="shared" si="8"/>
        <v>111</v>
      </c>
      <c r="R37" s="1574" t="s">
        <v>8</v>
      </c>
      <c r="S37" s="1575">
        <f t="shared" si="10"/>
        <v>100</v>
      </c>
      <c r="T37" s="1574" t="s">
        <v>8</v>
      </c>
      <c r="U37" s="1575">
        <f t="shared" si="11"/>
        <v>100</v>
      </c>
      <c r="V37" s="1574" t="s">
        <v>8</v>
      </c>
      <c r="W37" s="1575">
        <f t="shared" si="12"/>
        <v>100</v>
      </c>
      <c r="X37" s="1568"/>
      <c r="Y37" s="4120"/>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4121" t="s">
        <v>551</v>
      </c>
      <c r="Q38" s="1573">
        <f t="shared" si="8"/>
        <v>111</v>
      </c>
      <c r="R38" s="1574" t="s">
        <v>8</v>
      </c>
      <c r="S38" s="1575">
        <f t="shared" si="10"/>
        <v>100</v>
      </c>
      <c r="T38" s="1574" t="s">
        <v>8</v>
      </c>
      <c r="U38" s="1575">
        <f t="shared" si="11"/>
        <v>100</v>
      </c>
      <c r="V38" s="1574" t="s">
        <v>8</v>
      </c>
      <c r="W38" s="1575">
        <f t="shared" si="12"/>
        <v>100</v>
      </c>
      <c r="X38" s="1568"/>
      <c r="Y38" s="4122"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4122"/>
      <c r="Q39" s="1573">
        <f t="shared" si="8"/>
        <v>111</v>
      </c>
      <c r="R39" s="1578" t="s">
        <v>8</v>
      </c>
      <c r="S39" s="1579">
        <f t="shared" si="10"/>
        <v>100</v>
      </c>
      <c r="T39" s="1578" t="s">
        <v>8</v>
      </c>
      <c r="U39" s="1579">
        <f t="shared" si="11"/>
        <v>100</v>
      </c>
      <c r="V39" s="1578" t="s">
        <v>8</v>
      </c>
      <c r="W39" s="1579">
        <f t="shared" si="12"/>
        <v>100</v>
      </c>
      <c r="X39" s="1580"/>
      <c r="Y39" s="4122"/>
      <c r="Z39" s="1581">
        <f t="shared" si="13"/>
        <v>111</v>
      </c>
      <c r="AA39" s="1577">
        <f t="shared" si="3"/>
        <v>1</v>
      </c>
      <c r="AB39" s="1577">
        <f t="shared" si="4"/>
        <v>1</v>
      </c>
      <c r="AC39" s="1577">
        <f t="shared" si="5"/>
        <v>1</v>
      </c>
    </row>
    <row r="40" spans="1:29" ht="20.25">
      <c r="A40" s="2935" t="s">
        <v>2763</v>
      </c>
      <c r="B40" s="595" t="s">
        <v>553</v>
      </c>
      <c r="C40" s="596">
        <v>70761</v>
      </c>
      <c r="D40" s="597">
        <v>100</v>
      </c>
      <c r="E40" s="596">
        <f>[1]土地案例!C8</f>
        <v>64418.47</v>
      </c>
      <c r="F40" s="597">
        <f>LOOKUP(E40,119:119,120:120)-LOOKUP(C40,119:119,120:120)+100</f>
        <v>100</v>
      </c>
      <c r="G40" s="596">
        <f>[1]土地案例!C19</f>
        <v>23636.68</v>
      </c>
      <c r="H40" s="597">
        <f>LOOKUP(G40,119:119,120:120)-LOOKUP(C40,119:119,120:120)+100</f>
        <v>99</v>
      </c>
      <c r="I40" s="598">
        <f>[1]土地案例!C56</f>
        <v>25642.04</v>
      </c>
      <c r="J40" s="597">
        <f>LOOKUP(I40,119:119,120:120)-LOOKUP(C40,119:119,120:120)+100</f>
        <v>99</v>
      </c>
      <c r="K40" s="581"/>
      <c r="L40" s="2144"/>
      <c r="M40" s="2134"/>
      <c r="N40" s="2134"/>
      <c r="O40" s="2143"/>
      <c r="P40" s="4122"/>
      <c r="Q40" s="1573" t="str">
        <f>B40</f>
        <v>宗地面积</v>
      </c>
      <c r="R40" s="1574" t="s">
        <v>8</v>
      </c>
      <c r="S40" s="1575">
        <f t="shared" si="10"/>
        <v>100</v>
      </c>
      <c r="T40" s="1574" t="s">
        <v>8</v>
      </c>
      <c r="U40" s="1575">
        <f t="shared" si="11"/>
        <v>99</v>
      </c>
      <c r="V40" s="1574" t="s">
        <v>8</v>
      </c>
      <c r="W40" s="1575">
        <f t="shared" si="12"/>
        <v>99</v>
      </c>
      <c r="X40" s="1568"/>
      <c r="Y40" s="4122"/>
      <c r="Z40" s="1576" t="str">
        <f t="shared" si="13"/>
        <v>宗地面积</v>
      </c>
      <c r="AA40" s="1577">
        <f t="shared" si="3"/>
        <v>1</v>
      </c>
      <c r="AB40" s="1577">
        <f t="shared" si="4"/>
        <v>1.0101010101010102</v>
      </c>
      <c r="AC40" s="1577">
        <f t="shared" si="5"/>
        <v>1.0101010101010102</v>
      </c>
    </row>
    <row r="41" spans="1:29" ht="20.25">
      <c r="A41" s="594"/>
      <c r="B41" s="527" t="s">
        <v>554</v>
      </c>
      <c r="C41" s="599" t="s">
        <v>3181</v>
      </c>
      <c r="D41" s="540">
        <v>100</v>
      </c>
      <c r="E41" s="599" t="s">
        <v>3081</v>
      </c>
      <c r="F41" s="540">
        <f>SUMIF(121:121,E41,122:122)-SUMIF(121:121,C41,122:122)+100</f>
        <v>103</v>
      </c>
      <c r="G41" s="599" t="s">
        <v>3081</v>
      </c>
      <c r="H41" s="540">
        <f>SUMIF(121:121,G41,122:122)-SUMIF(121:121,C41,122:122)+100</f>
        <v>103</v>
      </c>
      <c r="I41" s="599" t="s">
        <v>3081</v>
      </c>
      <c r="J41" s="540">
        <f>SUMIF(121:121,I41,122:122)-SUMIF(121:121,C41,122:122)+100</f>
        <v>103</v>
      </c>
      <c r="K41" s="584">
        <v>3</v>
      </c>
      <c r="L41" s="2144"/>
      <c r="M41" s="2134"/>
      <c r="N41" s="2134"/>
      <c r="O41" s="2143"/>
      <c r="P41" s="4122"/>
      <c r="Q41" s="1573" t="str">
        <f t="shared" ref="Q41:Q47" si="14">B41</f>
        <v>宗地形状</v>
      </c>
      <c r="R41" s="1574" t="s">
        <v>8</v>
      </c>
      <c r="S41" s="1575">
        <f t="shared" si="10"/>
        <v>103</v>
      </c>
      <c r="T41" s="1574" t="s">
        <v>8</v>
      </c>
      <c r="U41" s="1575">
        <f t="shared" si="11"/>
        <v>103</v>
      </c>
      <c r="V41" s="1574" t="s">
        <v>8</v>
      </c>
      <c r="W41" s="1575">
        <f t="shared" si="12"/>
        <v>103</v>
      </c>
      <c r="X41" s="1568"/>
      <c r="Y41" s="4122"/>
      <c r="Z41" s="1576" t="str">
        <f t="shared" si="13"/>
        <v>宗地形状</v>
      </c>
      <c r="AA41" s="1577">
        <f t="shared" si="3"/>
        <v>0.970873786407767</v>
      </c>
      <c r="AB41" s="1577">
        <f t="shared" si="4"/>
        <v>0.970873786407767</v>
      </c>
      <c r="AC41" s="1577">
        <f t="shared" si="5"/>
        <v>0.970873786407767</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4122"/>
      <c r="Q42" s="1573" t="str">
        <f t="shared" si="14"/>
        <v>临街宽度及深度</v>
      </c>
      <c r="R42" s="1574" t="s">
        <v>8</v>
      </c>
      <c r="S42" s="1575">
        <f t="shared" si="10"/>
        <v>100</v>
      </c>
      <c r="T42" s="1574" t="s">
        <v>8</v>
      </c>
      <c r="U42" s="1575">
        <f t="shared" si="11"/>
        <v>100</v>
      </c>
      <c r="V42" s="1574" t="s">
        <v>8</v>
      </c>
      <c r="W42" s="1575">
        <f t="shared" si="12"/>
        <v>100</v>
      </c>
      <c r="X42" s="1568"/>
      <c r="Y42" s="4122"/>
      <c r="Z42" s="1576" t="str">
        <f t="shared" si="13"/>
        <v>临街宽度及深度</v>
      </c>
      <c r="AA42" s="1577">
        <f t="shared" si="3"/>
        <v>1</v>
      </c>
      <c r="AB42" s="1577">
        <f t="shared" si="4"/>
        <v>1</v>
      </c>
      <c r="AC42" s="1577">
        <f t="shared" si="5"/>
        <v>1</v>
      </c>
    </row>
    <row r="43" spans="1:29" s="1220" customFormat="1" ht="20.25">
      <c r="A43" s="600"/>
      <c r="B43" s="1897" t="s">
        <v>2428</v>
      </c>
      <c r="C43" s="601" t="s">
        <v>3082</v>
      </c>
      <c r="D43" s="255">
        <v>100</v>
      </c>
      <c r="E43" s="601" t="s">
        <v>3068</v>
      </c>
      <c r="F43" s="540">
        <f>SUMIF(125:125,E43,126:126)-SUMIF(125:125,C43,126:126)+100</f>
        <v>103</v>
      </c>
      <c r="G43" s="601" t="s">
        <v>3068</v>
      </c>
      <c r="H43" s="540">
        <f>SUMIF(125:125,G43,126:126)-SUMIF(125:125,C43,126:126)+100</f>
        <v>103</v>
      </c>
      <c r="I43" s="601" t="s">
        <v>3068</v>
      </c>
      <c r="J43" s="540">
        <f>SUMIF(125:125,I43,126:126)-SUMIF(125:125,C43,126:126)+100</f>
        <v>103</v>
      </c>
      <c r="K43" s="584">
        <v>1</v>
      </c>
      <c r="L43" s="2137"/>
      <c r="M43" s="2134"/>
      <c r="N43" s="2134"/>
      <c r="O43" s="2139"/>
      <c r="P43" s="4122"/>
      <c r="Q43" s="1573" t="str">
        <f t="shared" si="14"/>
        <v>宗地开发程度</v>
      </c>
      <c r="R43" s="1569" t="s">
        <v>8</v>
      </c>
      <c r="S43" s="1570">
        <f t="shared" si="10"/>
        <v>103</v>
      </c>
      <c r="T43" s="1569" t="s">
        <v>8</v>
      </c>
      <c r="U43" s="1570">
        <f t="shared" si="11"/>
        <v>103</v>
      </c>
      <c r="V43" s="1569" t="s">
        <v>8</v>
      </c>
      <c r="W43" s="1570">
        <f t="shared" si="12"/>
        <v>103</v>
      </c>
      <c r="X43" s="1571"/>
      <c r="Y43" s="4122"/>
      <c r="Z43" s="1150" t="str">
        <f t="shared" si="13"/>
        <v>宗地开发程度</v>
      </c>
      <c r="AA43" s="1572">
        <f t="shared" si="3"/>
        <v>0.970873786407767</v>
      </c>
      <c r="AB43" s="1572">
        <f t="shared" si="4"/>
        <v>0.970873786407767</v>
      </c>
      <c r="AC43" s="1572">
        <f t="shared" si="5"/>
        <v>0.970873786407767</v>
      </c>
    </row>
    <row r="44" spans="1:29" ht="21" thickBot="1">
      <c r="A44" s="594"/>
      <c r="B44" s="527" t="s">
        <v>556</v>
      </c>
      <c r="C44" s="599" t="s">
        <v>3084</v>
      </c>
      <c r="D44" s="540">
        <v>100</v>
      </c>
      <c r="E44" s="599" t="s">
        <v>3084</v>
      </c>
      <c r="F44" s="540">
        <f>SUMIF(127:127,E44,128:128)-SUMIF(127:127,C44,128:128)+100</f>
        <v>100</v>
      </c>
      <c r="G44" s="599" t="s">
        <v>3084</v>
      </c>
      <c r="H44" s="540">
        <f>SUMIF(127:127,G44,128:128)-SUMIF(127:127,C44,128:128)+100</f>
        <v>100</v>
      </c>
      <c r="I44" s="599" t="s">
        <v>3084</v>
      </c>
      <c r="J44" s="540">
        <f>SUMIF(127:127,I44,128:128)-SUMIF(127:127,C44,128:128)+100</f>
        <v>100</v>
      </c>
      <c r="K44" s="584">
        <v>2</v>
      </c>
      <c r="L44" s="2144"/>
      <c r="M44" s="2134"/>
      <c r="N44" s="2134"/>
      <c r="O44" s="2143"/>
      <c r="P44" s="4122" t="s">
        <v>551</v>
      </c>
      <c r="Q44" s="1573" t="str">
        <f t="shared" si="14"/>
        <v>工程地质条件</v>
      </c>
      <c r="R44" s="1574" t="s">
        <v>8</v>
      </c>
      <c r="S44" s="1575">
        <f t="shared" si="10"/>
        <v>100</v>
      </c>
      <c r="T44" s="1574" t="s">
        <v>8</v>
      </c>
      <c r="U44" s="1575">
        <f t="shared" si="11"/>
        <v>100</v>
      </c>
      <c r="V44" s="1574" t="s">
        <v>8</v>
      </c>
      <c r="W44" s="1575">
        <f t="shared" si="12"/>
        <v>100</v>
      </c>
      <c r="X44" s="1568"/>
      <c r="Y44" s="4122"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4122"/>
      <c r="Q45" s="1573">
        <f t="shared" si="14"/>
        <v>111</v>
      </c>
      <c r="R45" s="1574" t="s">
        <v>8</v>
      </c>
      <c r="S45" s="1575">
        <f t="shared" si="10"/>
        <v>100</v>
      </c>
      <c r="T45" s="1574" t="s">
        <v>8</v>
      </c>
      <c r="U45" s="1575">
        <f t="shared" si="11"/>
        <v>100</v>
      </c>
      <c r="V45" s="1574" t="s">
        <v>8</v>
      </c>
      <c r="W45" s="1575">
        <f t="shared" si="12"/>
        <v>100</v>
      </c>
      <c r="X45" s="1568"/>
      <c r="Y45" s="4122"/>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4122"/>
      <c r="Q46" s="1573">
        <f t="shared" si="14"/>
        <v>111</v>
      </c>
      <c r="R46" s="1574" t="s">
        <v>8</v>
      </c>
      <c r="S46" s="1575">
        <f t="shared" si="10"/>
        <v>100</v>
      </c>
      <c r="T46" s="1574" t="s">
        <v>8</v>
      </c>
      <c r="U46" s="1575">
        <f t="shared" si="11"/>
        <v>100</v>
      </c>
      <c r="V46" s="1574" t="s">
        <v>8</v>
      </c>
      <c r="W46" s="1575">
        <f t="shared" si="12"/>
        <v>100</v>
      </c>
      <c r="X46" s="1568"/>
      <c r="Y46" s="4122"/>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4122"/>
      <c r="Q47" s="1573">
        <f t="shared" si="14"/>
        <v>111</v>
      </c>
      <c r="R47" s="1578" t="s">
        <v>8</v>
      </c>
      <c r="S47" s="1579">
        <f t="shared" si="10"/>
        <v>100</v>
      </c>
      <c r="T47" s="1578" t="s">
        <v>8</v>
      </c>
      <c r="U47" s="1579">
        <f t="shared" si="11"/>
        <v>100</v>
      </c>
      <c r="V47" s="1578" t="s">
        <v>8</v>
      </c>
      <c r="W47" s="1579">
        <f t="shared" si="12"/>
        <v>100</v>
      </c>
      <c r="X47" s="1580"/>
      <c r="Y47" s="4122"/>
      <c r="Z47" s="1581">
        <f t="shared" si="13"/>
        <v>111</v>
      </c>
      <c r="AA47" s="1577">
        <f t="shared" si="3"/>
        <v>1</v>
      </c>
      <c r="AB47" s="1577">
        <f t="shared" si="4"/>
        <v>1</v>
      </c>
      <c r="AC47" s="1577">
        <f t="shared" si="5"/>
        <v>1</v>
      </c>
    </row>
    <row r="48" spans="1:29" ht="20.25">
      <c r="A48" s="607" t="s">
        <v>557</v>
      </c>
      <c r="B48" s="608" t="s">
        <v>3087</v>
      </c>
      <c r="C48" s="609" t="s">
        <v>1</v>
      </c>
      <c r="D48" s="610"/>
      <c r="E48" s="611">
        <v>11192</v>
      </c>
      <c r="F48" s="612"/>
      <c r="G48" s="613">
        <v>9460</v>
      </c>
      <c r="H48" s="614"/>
      <c r="I48" s="611">
        <v>9292</v>
      </c>
      <c r="J48" s="614"/>
      <c r="K48" s="1340"/>
      <c r="L48" s="2146"/>
      <c r="M48" s="2134"/>
      <c r="N48" s="2134"/>
      <c r="O48" s="2147"/>
      <c r="P48" s="4117" t="str">
        <f>A48</f>
        <v>成交单价</v>
      </c>
      <c r="Q48" s="4117"/>
      <c r="R48" s="4131">
        <f>E48</f>
        <v>11192</v>
      </c>
      <c r="S48" s="4131"/>
      <c r="T48" s="4131">
        <f>G48</f>
        <v>9460</v>
      </c>
      <c r="U48" s="4131"/>
      <c r="V48" s="4131">
        <f>I48</f>
        <v>9292</v>
      </c>
      <c r="W48" s="4131"/>
      <c r="X48" s="1560"/>
      <c r="Y48" s="1582"/>
      <c r="Z48" s="1560"/>
      <c r="AA48" s="1560"/>
      <c r="AB48" s="1560"/>
      <c r="AC48" s="1560"/>
    </row>
    <row r="49" spans="1:29" ht="21" thickBot="1">
      <c r="A49" s="615" t="s">
        <v>2701</v>
      </c>
      <c r="B49" s="616"/>
      <c r="C49" s="617">
        <f>R50</f>
        <v>9340</v>
      </c>
      <c r="D49" s="618"/>
      <c r="E49" s="617">
        <f>R49</f>
        <v>10256</v>
      </c>
      <c r="F49" s="619"/>
      <c r="G49" s="620">
        <f>T49</f>
        <v>8606</v>
      </c>
      <c r="H49" s="618"/>
      <c r="I49" s="617">
        <f>V49</f>
        <v>9157</v>
      </c>
      <c r="J49" s="618"/>
      <c r="K49" s="1341"/>
      <c r="L49" s="2146"/>
      <c r="M49" s="2134"/>
      <c r="N49" s="2134"/>
      <c r="O49" s="2147"/>
      <c r="P49" s="4117" t="str">
        <f>A49</f>
        <v>比较价格（元/平方米）</v>
      </c>
      <c r="Q49" s="4117"/>
      <c r="R49" s="4142">
        <f>ROUND(PRODUCT(R48,AA9:AA47),0)</f>
        <v>10256</v>
      </c>
      <c r="S49" s="4142"/>
      <c r="T49" s="4142">
        <f>ROUND(PRODUCT(T48,AB9:AB47),0)</f>
        <v>8606</v>
      </c>
      <c r="U49" s="4142"/>
      <c r="V49" s="4142">
        <f>ROUND(PRODUCT(V48,AC9:AC47),0)</f>
        <v>9157</v>
      </c>
      <c r="W49" s="4142"/>
      <c r="X49" s="1560"/>
      <c r="Y49" s="1560"/>
      <c r="Z49" s="1560"/>
      <c r="AA49" s="1560"/>
      <c r="AB49" s="1560"/>
      <c r="AC49" s="1560"/>
    </row>
    <row r="50" spans="1:29" ht="21" thickBot="1">
      <c r="A50" s="621" t="s">
        <v>2940</v>
      </c>
      <c r="B50" s="622"/>
      <c r="C50" s="623">
        <f>R50</f>
        <v>9340</v>
      </c>
      <c r="D50" s="623"/>
      <c r="E50" s="623"/>
      <c r="F50" s="623"/>
      <c r="G50" s="623"/>
      <c r="H50" s="623"/>
      <c r="I50" s="623"/>
      <c r="J50" s="623"/>
      <c r="K50" s="1342"/>
      <c r="L50" s="2146"/>
      <c r="M50" s="2134"/>
      <c r="N50" s="2134"/>
      <c r="O50" s="2147"/>
      <c r="P50" s="4139" t="str">
        <f>A50</f>
        <v>估价对象XX用房的比较价格（楼面单价，元/平方米）</v>
      </c>
      <c r="Q50" s="4140"/>
      <c r="R50" s="4141">
        <f>ROUND(AVERAGE(R49:V49),0)</f>
        <v>9340</v>
      </c>
      <c r="S50" s="4141"/>
      <c r="T50" s="4141"/>
      <c r="U50" s="4141"/>
      <c r="V50" s="4141"/>
      <c r="W50" s="414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9.1263650546021813E-2</v>
      </c>
      <c r="F53" s="627" t="str">
        <f>IF(OR(E53&gt;=0.3,E53&lt;=-0.3),"超过30%","")</f>
        <v/>
      </c>
      <c r="G53" s="626">
        <f>IF(G48&lt;G49,G49/G48-1,G48/G49-1)</f>
        <v>9.9233093190797206E-2</v>
      </c>
      <c r="H53" s="627" t="str">
        <f>IF(OR(G53&gt;=0.3,G53&lt;=-0.3),"超过30%","")</f>
        <v/>
      </c>
      <c r="I53" s="626">
        <f>IF(I48&lt;I49,I49/I48-1,I48/I49-1)</f>
        <v>1.4742819700775289E-2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0.19172670230072053</v>
      </c>
      <c r="F54" s="627" t="str">
        <f>IF(OR(E54&gt;=0.2,E54&lt;=-0.2),"超过20%","")</f>
        <v/>
      </c>
      <c r="G54" s="626">
        <f>IF(G49&lt;I49,I49/G49-1,G49/I49-1)</f>
        <v>6.4025098768301092E-2</v>
      </c>
      <c r="H54" s="627" t="str">
        <f>IF(OR(G54&gt;=0.2,G54&lt;=-0.2),"超过20%","")</f>
        <v/>
      </c>
      <c r="I54" s="626">
        <f>IF(I49&lt;E49,E49/I49-1,I49/E49-1)</f>
        <v>0.12001747297149712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0.18308668076109935</v>
      </c>
      <c r="F55" s="627" t="str">
        <f>IF(OR(E55&gt;=0.3,E55&lt;=-0.3),"超过30%","")</f>
        <v/>
      </c>
      <c r="G55" s="626">
        <f>IF(G48&lt;I48,I48/G48-1,G48/I48-1)</f>
        <v>1.8080068876452859E-2</v>
      </c>
      <c r="H55" s="627" t="str">
        <f>IF(OR(G55&gt;=0.3,G55&lt;=-0.3),"超过30%","")</f>
        <v/>
      </c>
      <c r="I55" s="626">
        <f>IF(I48&lt;E48,E48/I48-1,I48/E48-1)</f>
        <v>0.20447696943607396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2296</v>
      </c>
      <c r="E57" s="631" t="s">
        <v>563</v>
      </c>
      <c r="F57" s="632" t="s">
        <v>564</v>
      </c>
      <c r="G57" s="4101" t="s">
        <v>2284</v>
      </c>
      <c r="H57" s="4102"/>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9340</v>
      </c>
      <c r="C58" s="635">
        <v>1</v>
      </c>
      <c r="D58" s="2230">
        <v>1</v>
      </c>
      <c r="E58" s="635">
        <f>'数据-汇总表'!E8+'数据-汇总表'!E9</f>
        <v>183978.59999999998</v>
      </c>
      <c r="F58" s="636">
        <f t="shared" ref="F58:F67" si="15">ROUND(B58*E58/10000,0)</f>
        <v>171836</v>
      </c>
      <c r="G58" s="4103"/>
      <c r="H58" s="410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4105"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410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410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410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2297</v>
      </c>
      <c r="E68" s="643">
        <f>IF(B48="楼面地价",SUM(E58:E67),'数据-汇总表'!D3)</f>
        <v>70761</v>
      </c>
      <c r="F68" s="644">
        <f>IF(B48="楼面地价",SUM(F58:F67),ROUND(C50*E68/10000,0))</f>
        <v>66091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2017-7-1</v>
      </c>
      <c r="D70" s="2827">
        <f>EDATE(C70,-3)</f>
        <v>42826</v>
      </c>
      <c r="E70" s="2827">
        <f t="shared" ref="E70:N70" si="18">EDATE(D70,-3)</f>
        <v>42736</v>
      </c>
      <c r="F70" s="2827">
        <f t="shared" si="18"/>
        <v>42644</v>
      </c>
      <c r="G70" s="2827">
        <f t="shared" si="18"/>
        <v>42552</v>
      </c>
      <c r="H70" s="2827">
        <f t="shared" si="18"/>
        <v>42461</v>
      </c>
      <c r="I70" s="2827">
        <f t="shared" si="18"/>
        <v>42370</v>
      </c>
      <c r="J70" s="2827">
        <f t="shared" si="18"/>
        <v>42278</v>
      </c>
      <c r="K70" s="2827">
        <f t="shared" si="18"/>
        <v>42186</v>
      </c>
      <c r="L70" s="2827">
        <f t="shared" si="18"/>
        <v>42095</v>
      </c>
      <c r="M70" s="2827">
        <f t="shared" si="18"/>
        <v>42005</v>
      </c>
      <c r="N70" s="2827">
        <f t="shared" si="18"/>
        <v>41913</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2538</v>
      </c>
      <c r="B72" s="2595"/>
      <c r="C72" s="2822" t="str">
        <f>YEAR(C70)&amp;"-"&amp;ROUNDUP(MONTH(C70)/3,0)</f>
        <v>2017-3</v>
      </c>
      <c r="D72" s="2829" t="str">
        <f>YEAR(D70)&amp;"-"&amp;ROUNDUP(MONTH(D70)/3,0)</f>
        <v>2017-2</v>
      </c>
      <c r="E72" s="2829" t="str">
        <f t="shared" ref="E72:N72" si="19">YEAR(E70)&amp;"-"&amp;ROUNDUP(MONTH(E70)/3,0)</f>
        <v>2017-1</v>
      </c>
      <c r="F72" s="2829" t="str">
        <f t="shared" si="19"/>
        <v>2016-4</v>
      </c>
      <c r="G72" s="2829" t="str">
        <f t="shared" si="19"/>
        <v>2016-3</v>
      </c>
      <c r="H72" s="2829" t="str">
        <f t="shared" si="19"/>
        <v>2016-2</v>
      </c>
      <c r="I72" s="2829" t="str">
        <f t="shared" si="19"/>
        <v>2016-1</v>
      </c>
      <c r="J72" s="2829" t="str">
        <f t="shared" si="19"/>
        <v>2015-4</v>
      </c>
      <c r="K72" s="2829" t="str">
        <f t="shared" si="19"/>
        <v>2015-3</v>
      </c>
      <c r="L72" s="2829" t="str">
        <f t="shared" si="19"/>
        <v>2015-2</v>
      </c>
      <c r="M72" s="2829" t="str">
        <f t="shared" si="19"/>
        <v>2015-1</v>
      </c>
      <c r="N72" s="2829" t="str">
        <f t="shared" si="19"/>
        <v>2014-4</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2655</v>
      </c>
      <c r="B73" s="479" t="str">
        <f>"北京市平均增长率"&amp;TEXT(SUMIF(基准地价!N21:N25,A73,基准地价!P21:P25),"0.00%")</f>
        <v>北京市平均增长率2.49%</v>
      </c>
      <c r="C73" s="894">
        <v>100</v>
      </c>
      <c r="D73" s="730">
        <v>99</v>
      </c>
      <c r="E73" s="730">
        <v>98</v>
      </c>
      <c r="F73" s="730">
        <v>97</v>
      </c>
      <c r="G73" s="730">
        <v>96</v>
      </c>
      <c r="H73" s="730">
        <v>95</v>
      </c>
      <c r="I73" s="730">
        <v>94</v>
      </c>
      <c r="J73" s="730">
        <v>93</v>
      </c>
      <c r="K73" s="730">
        <v>92</v>
      </c>
      <c r="L73" s="730">
        <v>91</v>
      </c>
      <c r="M73" s="2820">
        <v>90</v>
      </c>
      <c r="N73" s="2821">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2654</v>
      </c>
      <c r="B74" s="2833"/>
      <c r="C74" s="2818">
        <v>1</v>
      </c>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507" t="s">
        <v>3147</v>
      </c>
      <c r="D77" s="3507" t="s">
        <v>3148</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98</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684">
        <v>8</v>
      </c>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2554</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2556</v>
      </c>
      <c r="C104" s="2624" t="s">
        <v>2557</v>
      </c>
      <c r="D104" s="2624" t="s">
        <v>2558</v>
      </c>
      <c r="E104" s="2624" t="s">
        <v>2559</v>
      </c>
      <c r="F104" s="2624" t="s">
        <v>2560</v>
      </c>
      <c r="G104" s="2624" t="s">
        <v>2561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508" t="s">
        <v>3149</v>
      </c>
      <c r="D108" s="3508" t="s">
        <v>3150</v>
      </c>
      <c r="E108" s="3508" t="s">
        <v>3151</v>
      </c>
      <c r="F108" s="3508" t="s">
        <v>3152</v>
      </c>
      <c r="G108" s="3508" t="s">
        <v>3153</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200000(含)-300000</v>
      </c>
      <c r="H118" s="704" t="str">
        <f t="shared" si="25"/>
        <v>300000(含)-</v>
      </c>
      <c r="I118" s="704" t="str">
        <f t="shared" si="25"/>
        <v>(含)-</v>
      </c>
      <c r="J118" s="3119" t="str">
        <f t="shared" si="25"/>
        <v>(含)-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v>300000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509" t="s">
        <v>3154</v>
      </c>
      <c r="D121" s="3509" t="s">
        <v>3155</v>
      </c>
      <c r="E121" s="3509" t="s">
        <v>3156</v>
      </c>
      <c r="F121" s="3509" t="s">
        <v>3157</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2429</v>
      </c>
      <c r="C125" s="1376" t="s">
        <v>3158</v>
      </c>
      <c r="D125" s="1376" t="s">
        <v>3159</v>
      </c>
      <c r="E125" s="1376" t="s">
        <v>3160</v>
      </c>
      <c r="F125" s="1376" t="s">
        <v>3161</v>
      </c>
      <c r="G125" s="1376" t="s">
        <v>3162</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508" t="s">
        <v>3163</v>
      </c>
      <c r="D127" s="3508" t="s">
        <v>3164</v>
      </c>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9" priority="14" stopIfTrue="1" operator="containsText" text="超过">
      <formula>NOT(ISERROR(SEARCH("超过",F53)))</formula>
    </cfRule>
  </conditionalFormatting>
  <conditionalFormatting sqref="J55">
    <cfRule type="containsText" dxfId="178" priority="13" stopIfTrue="1" operator="containsText" text="超过">
      <formula>NOT(ISERROR(SEARCH("超过",J55)))</formula>
    </cfRule>
  </conditionalFormatting>
  <conditionalFormatting sqref="H55">
    <cfRule type="containsText" dxfId="177" priority="12" stopIfTrue="1" operator="containsText" text="超过">
      <formula>NOT(ISERROR(SEARCH("超过",H55)))</formula>
    </cfRule>
  </conditionalFormatting>
  <conditionalFormatting sqref="F55">
    <cfRule type="containsText" dxfId="176" priority="11" stopIfTrue="1" operator="containsText" text="超过">
      <formula>NOT(ISERROR(SEARCH("超过",F55)))</formula>
    </cfRule>
  </conditionalFormatting>
  <conditionalFormatting sqref="F54 H54 J54">
    <cfRule type="containsText" dxfId="175" priority="10" stopIfTrue="1" operator="containsText" text="超过">
      <formula>NOT(ISERROR(SEARCH("超过",F54)))</formula>
    </cfRule>
  </conditionalFormatting>
  <conditionalFormatting sqref="E53">
    <cfRule type="expression" dxfId="174" priority="9" stopIfTrue="1">
      <formula>$F$53="超过30%"</formula>
    </cfRule>
  </conditionalFormatting>
  <conditionalFormatting sqref="G55">
    <cfRule type="expression" dxfId="173" priority="8" stopIfTrue="1">
      <formula>$H$55="超过30%"</formula>
    </cfRule>
  </conditionalFormatting>
  <conditionalFormatting sqref="E54">
    <cfRule type="expression" dxfId="172" priority="7" stopIfTrue="1">
      <formula>$F$54="超过20%"</formula>
    </cfRule>
  </conditionalFormatting>
  <conditionalFormatting sqref="E55">
    <cfRule type="expression" dxfId="171" priority="6" stopIfTrue="1">
      <formula>$F$55="超过30%"</formula>
    </cfRule>
  </conditionalFormatting>
  <conditionalFormatting sqref="G53">
    <cfRule type="expression" dxfId="170" priority="5" stopIfTrue="1">
      <formula>$H$55+$H$53="超过30%"</formula>
    </cfRule>
  </conditionalFormatting>
  <conditionalFormatting sqref="G54">
    <cfRule type="expression" dxfId="169" priority="4" stopIfTrue="1">
      <formula>$H$54="超过20%"</formula>
    </cfRule>
  </conditionalFormatting>
  <conditionalFormatting sqref="I53">
    <cfRule type="expression" dxfId="168" priority="3" stopIfTrue="1">
      <formula>$J$53="超过30%"</formula>
    </cfRule>
  </conditionalFormatting>
  <conditionalFormatting sqref="I54">
    <cfRule type="expression" dxfId="167" priority="2" stopIfTrue="1">
      <formula>$J$54="超过20%"</formula>
    </cfRule>
  </conditionalFormatting>
  <conditionalFormatting sqref="I55">
    <cfRule type="expression" dxfId="16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7" sqref="C27"/>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2">
        <f>MATCH(B1,'数据-取费表'!A6:A16,0)+5</f>
        <v>8</v>
      </c>
    </row>
    <row r="2" spans="1:31" s="2043" customFormat="1" ht="18" customHeight="1">
      <c r="A2" s="2103" t="s">
        <v>467</v>
      </c>
      <c r="B2" s="2107">
        <f ca="1">C36</f>
        <v>60291</v>
      </c>
      <c r="C2" s="2106"/>
      <c r="D2" s="2106"/>
      <c r="E2" s="2106"/>
      <c r="F2" s="2106"/>
      <c r="G2" s="2106"/>
      <c r="H2" s="2106"/>
      <c r="I2" s="2106"/>
      <c r="J2" s="2106"/>
      <c r="K2" s="2106"/>
    </row>
    <row r="3" spans="1:31" s="2043" customFormat="1" ht="18" customHeight="1">
      <c r="A3" s="2108" t="s">
        <v>1686</v>
      </c>
      <c r="B3" s="2109">
        <f ca="1">ROUND(B2*10000/IF(B1="",'数据-汇总表'!E3,INDIRECT("'数据-取费表'!K"&amp;$K$1)),0)</f>
        <v>3277</v>
      </c>
      <c r="C3" s="2106"/>
      <c r="D3" s="2106"/>
      <c r="E3" s="2106"/>
      <c r="F3" s="2106"/>
      <c r="G3" s="2106"/>
      <c r="H3" s="2106"/>
      <c r="I3" s="2106"/>
      <c r="J3" s="2106"/>
      <c r="K3" s="2106"/>
    </row>
    <row r="4" spans="1:31" s="2043" customFormat="1" ht="18" customHeight="1">
      <c r="A4" s="426" t="s">
        <v>468</v>
      </c>
      <c r="B4" s="427">
        <f ca="1">ROUND(B2*10000/IF(B1="",'数据-汇总表'!D3,INDIRECT("'数据-取费表'!R"&amp;$K$1)),0)</f>
        <v>8520</v>
      </c>
      <c r="C4" s="428"/>
      <c r="D4" s="422"/>
      <c r="E4" s="422"/>
      <c r="F4" s="422"/>
      <c r="G4" s="422"/>
      <c r="H4" s="422"/>
      <c r="I4" s="422"/>
      <c r="J4" s="422"/>
      <c r="K4" s="422"/>
    </row>
    <row r="5" spans="1:31" s="2043" customFormat="1" ht="18" customHeight="1" thickBot="1">
      <c r="A5" s="429"/>
      <c r="B5" s="430">
        <f ca="1">ROUND(B2/(IF(B1="",'数据-汇总表'!D3,INDIRECT("'数据-取费表'!R"&amp;$K$1))/666.67),0)</f>
        <v>568</v>
      </c>
      <c r="C5" s="431" t="s">
        <v>469</v>
      </c>
      <c r="D5" s="422"/>
      <c r="E5" s="422"/>
      <c r="F5" s="422"/>
      <c r="G5" s="422"/>
      <c r="H5" s="422"/>
      <c r="I5" s="422"/>
      <c r="J5" s="422"/>
      <c r="K5" s="422"/>
    </row>
    <row r="6" spans="1:31" s="2113" customFormat="1" ht="16.5" customHeight="1">
      <c r="A6" s="2856" t="s">
        <v>1844</v>
      </c>
      <c r="B6" s="2857"/>
      <c r="C6" s="2858">
        <f>SUM(C10:K10)</f>
        <v>169781</v>
      </c>
      <c r="D6" s="2857"/>
      <c r="E6" s="2857"/>
      <c r="F6" s="2857"/>
      <c r="G6" s="2857"/>
      <c r="H6" s="2857"/>
      <c r="I6" s="2857"/>
      <c r="J6" s="2857"/>
      <c r="K6" s="2859"/>
    </row>
    <row r="7" spans="1:31" s="2115" customFormat="1" ht="15">
      <c r="A7" s="2860" t="s">
        <v>470</v>
      </c>
      <c r="B7" s="2861" t="s">
        <v>471</v>
      </c>
      <c r="C7" s="436" t="s">
        <v>924</v>
      </c>
      <c r="D7" s="436" t="s">
        <v>2994</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 (2)'!C49</f>
        <v>8173</v>
      </c>
      <c r="D8" s="2862">
        <f>'不动产比较法-商业 (2)'!C49</f>
        <v>18726</v>
      </c>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165580.74</v>
      </c>
      <c r="D9" s="441">
        <f>SUMIF('数据-汇总表'!$C19:$C33,'剩余法-待开发'!D7,'数据-汇总表'!$E19:$E33)</f>
        <v>18397.86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6">
        <f>ROUND(C8*C9/10000,0)</f>
        <v>135329</v>
      </c>
      <c r="D10" s="3056">
        <f>ROUND(D8*D9/10000,0)</f>
        <v>34452</v>
      </c>
      <c r="E10" s="3056"/>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49674</v>
      </c>
      <c r="D13" s="2872"/>
      <c r="E13" s="2873"/>
      <c r="F13" s="2874"/>
      <c r="G13" s="2840"/>
      <c r="H13" s="2841"/>
      <c r="I13" s="2841"/>
      <c r="J13" s="2841"/>
      <c r="K13" s="2842"/>
    </row>
    <row r="14" spans="1:31" s="2118" customFormat="1" ht="13.5" customHeight="1">
      <c r="A14" s="2870" t="s">
        <v>1851</v>
      </c>
      <c r="B14" s="2871" t="s">
        <v>480</v>
      </c>
      <c r="C14" s="53">
        <f ca="1">ROUND(C13*F14,0)</f>
        <v>1490</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1341</v>
      </c>
      <c r="D15" s="2872"/>
      <c r="E15" s="2873"/>
      <c r="F15" s="2875">
        <f>'数据-取费表'!B34</f>
        <v>0.03</v>
      </c>
      <c r="G15" s="2840" t="s">
        <v>483</v>
      </c>
      <c r="H15" s="2841"/>
      <c r="I15" s="2841"/>
      <c r="J15" s="2841"/>
      <c r="K15" s="2842"/>
    </row>
    <row r="16" spans="1:31" s="2119" customFormat="1" ht="13.5" customHeight="1">
      <c r="A16" s="2870" t="s">
        <v>1853</v>
      </c>
      <c r="B16" s="2871" t="s">
        <v>484</v>
      </c>
      <c r="C16" s="53">
        <f ca="1">ROUND(D16*E16/10000,0)</f>
        <v>2760</v>
      </c>
      <c r="D16" s="2872">
        <f ca="1">IF(B1="",'数据-汇总表'!E3,INDIRECT("'数据-取费表'!K"&amp;$K$1)+INDIRECT("'数据-取费表'!S"&amp;$K$1))</f>
        <v>183978.59999999998</v>
      </c>
      <c r="E16" s="53">
        <f>'数据-取费表'!B35</f>
        <v>150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745</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56010</v>
      </c>
      <c r="D18" s="2881"/>
      <c r="E18" s="468"/>
      <c r="F18" s="468"/>
      <c r="G18" s="2844" t="s">
        <v>2434</v>
      </c>
      <c r="H18" s="2845"/>
      <c r="I18" s="2845"/>
      <c r="J18" s="2845"/>
      <c r="K18" s="2846"/>
    </row>
    <row r="19" spans="1:14" s="2118" customFormat="1" ht="13.5" customHeight="1">
      <c r="A19" s="2878" t="s">
        <v>1856</v>
      </c>
      <c r="B19" s="2879" t="s">
        <v>488</v>
      </c>
      <c r="C19" s="2836">
        <f ca="1">ROUND(D19*E19/10000,0)</f>
        <v>920</v>
      </c>
      <c r="D19" s="2882">
        <f ca="1">D16</f>
        <v>183978.59999999998</v>
      </c>
      <c r="E19" s="2836">
        <f>'数据-取费表'!B32</f>
        <v>50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2392</v>
      </c>
      <c r="D20" s="2882"/>
      <c r="E20" s="2836"/>
      <c r="F20" s="2883"/>
      <c r="G20" s="3115" t="s">
        <v>3402</v>
      </c>
      <c r="H20" s="2838"/>
      <c r="I20" s="2839" t="s">
        <v>2659</v>
      </c>
      <c r="J20" s="2845"/>
      <c r="K20" s="2846"/>
    </row>
    <row r="21" spans="1:14" s="2118" customFormat="1" ht="13.5" customHeight="1">
      <c r="A21" s="2870" t="s">
        <v>1858</v>
      </c>
      <c r="B21" s="2871" t="s">
        <v>491</v>
      </c>
      <c r="C21" s="53">
        <f ca="1">ROUND(D21*E21/10000,0)</f>
        <v>2153</v>
      </c>
      <c r="D21" s="2872">
        <f ca="1">IF(B1="",'数据-汇总表'!E5,IF(INDIRECT("'数据-取费表'!c"&amp;$K$1)="住宅",INDIRECT("'数据-取费表'!k"&amp;$K$1),0))</f>
        <v>165580.74</v>
      </c>
      <c r="E21" s="53">
        <f>'数据-取费表'!B27</f>
        <v>130</v>
      </c>
      <c r="F21" s="2875"/>
      <c r="G21" s="26"/>
      <c r="H21" s="51"/>
      <c r="I21" s="51"/>
      <c r="J21" s="51"/>
      <c r="K21" s="2847"/>
    </row>
    <row r="22" spans="1:14" s="2118" customFormat="1" ht="13.5" customHeight="1">
      <c r="A22" s="2870" t="s">
        <v>1859</v>
      </c>
      <c r="B22" s="2871" t="s">
        <v>492</v>
      </c>
      <c r="C22" s="53">
        <f ca="1">ROUND(D22*E22/10000,0)</f>
        <v>239</v>
      </c>
      <c r="D22" s="2872">
        <f ca="1">IF(B1="",'数据-汇总表'!E6,IF(INDIRECT("'数据-取费表'!c"&amp;$K$1)="住宅",INDIRECT("'数据-取费表'!s"&amp;$K$1),INDIRECT("'数据-取费表'!k"&amp;$K$1)+INDIRECT("'数据-取费表'!s"&amp;$K$1)))</f>
        <v>18397.859999999986</v>
      </c>
      <c r="E22" s="53">
        <f>'数据-取费表'!B28</f>
        <v>130</v>
      </c>
      <c r="F22" s="2875"/>
      <c r="G22" s="26"/>
      <c r="H22" s="51"/>
      <c r="I22" s="51"/>
      <c r="J22" s="51"/>
      <c r="K22" s="2847"/>
    </row>
    <row r="23" spans="1:14" s="2118" customFormat="1" ht="13.5" customHeight="1">
      <c r="A23" s="2878" t="s">
        <v>1860</v>
      </c>
      <c r="B23" s="3062" t="s">
        <v>2842</v>
      </c>
      <c r="C23" s="2880">
        <f ca="1">ROUND((C18+C19+C20)*F23,0)</f>
        <v>1186</v>
      </c>
      <c r="D23" s="468"/>
      <c r="E23" s="468"/>
      <c r="F23" s="2884">
        <f>'数据-取费表'!B37</f>
        <v>0.02</v>
      </c>
      <c r="G23" s="2840" t="s">
        <v>2435</v>
      </c>
      <c r="H23" s="2841"/>
      <c r="I23" s="2841"/>
      <c r="J23" s="2841"/>
      <c r="K23" s="2842"/>
      <c r="L23" s="2120"/>
      <c r="M23" s="2120"/>
      <c r="N23" s="2120"/>
    </row>
    <row r="24" spans="1:14" s="2118" customFormat="1" ht="13.5" customHeight="1">
      <c r="A24" s="2878" t="s">
        <v>1861</v>
      </c>
      <c r="B24" s="3062" t="s">
        <v>2845</v>
      </c>
      <c r="C24" s="2880">
        <f>ROUND(C6*F24,0)</f>
        <v>3396</v>
      </c>
      <c r="D24" s="475"/>
      <c r="E24" s="473"/>
      <c r="F24" s="2884">
        <f>'数据-取费表'!B38</f>
        <v>0.02</v>
      </c>
      <c r="G24" s="2849" t="s">
        <v>499</v>
      </c>
      <c r="H24" s="2843"/>
      <c r="I24" s="2843"/>
      <c r="J24" s="2843"/>
      <c r="K24" s="279"/>
      <c r="L24" s="2120"/>
      <c r="M24" s="2120"/>
      <c r="N24" s="2120"/>
    </row>
    <row r="25" spans="1:14" s="2121" customFormat="1" ht="13.5" customHeight="1">
      <c r="A25" s="2878" t="s">
        <v>1862</v>
      </c>
      <c r="B25" s="3062" t="s">
        <v>2843</v>
      </c>
      <c r="C25" s="467">
        <f>ROUND(F25/(1+'数据-取费表'!C42),4)</f>
        <v>3.8600000000000002E-2</v>
      </c>
      <c r="D25" s="462" t="s">
        <v>2837</v>
      </c>
      <c r="E25" s="469"/>
      <c r="F25" s="2884">
        <f>'数据-取费表'!B48+'数据-取费表'!B49</f>
        <v>4.0500000000000001E-2</v>
      </c>
      <c r="G25" s="2848" t="s">
        <v>2292</v>
      </c>
      <c r="H25" s="2841"/>
      <c r="I25" s="2841"/>
      <c r="J25" s="2841"/>
      <c r="K25" s="2842"/>
    </row>
    <row r="26" spans="1:14" s="2120" customFormat="1" ht="13.5" customHeight="1">
      <c r="A26" s="2878" t="s">
        <v>1863</v>
      </c>
      <c r="B26" s="3063" t="s">
        <v>2844</v>
      </c>
      <c r="C26" s="2885">
        <f ca="1">C28</f>
        <v>4607</v>
      </c>
      <c r="D26" s="467">
        <f ca="1">C27</f>
        <v>0.15509999999999999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0.15509999999999999</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2846</v>
      </c>
      <c r="C28" s="2888">
        <f ca="1">ROUND(IF('数据-取费表'!B22&lt;=1,(C18+C19+C20+C23+C24)*F26*'数据-取费表'!B24/2,(C18+C19+C20+C23+C24)*(POWER((1+F26),'数据-取费表'!B24/2)-1)),0)</f>
        <v>4607</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ROUND(C6*F29/(1+'数据-取费表'!C42),0)</f>
        <v>9055</v>
      </c>
      <c r="D29" s="468"/>
      <c r="E29" s="468"/>
      <c r="F29" s="3064">
        <f>'数据-取费表'!B41</f>
        <v>5.6000000000000001E-2</v>
      </c>
      <c r="G29" s="2849" t="s">
        <v>498</v>
      </c>
      <c r="H29" s="2841"/>
      <c r="I29" s="2841"/>
      <c r="J29" s="2841"/>
      <c r="K29" s="2842"/>
    </row>
    <row r="30" spans="1:14" s="2123" customFormat="1" ht="13.5" customHeight="1">
      <c r="A30" s="1636" t="s">
        <v>1865</v>
      </c>
      <c r="B30" s="2890" t="s">
        <v>500</v>
      </c>
      <c r="C30" s="2885">
        <f ca="1">C31</f>
        <v>77566</v>
      </c>
      <c r="D30" s="477">
        <f ca="1">C32</f>
        <v>0.19370000000000001</v>
      </c>
      <c r="E30" s="469" t="s">
        <v>495</v>
      </c>
      <c r="F30" s="471"/>
      <c r="G30" s="2840" t="s">
        <v>501</v>
      </c>
      <c r="H30" s="2841"/>
      <c r="I30" s="2841"/>
      <c r="J30" s="2841"/>
      <c r="K30" s="2842"/>
    </row>
    <row r="31" spans="1:14" s="2122" customFormat="1" ht="13.5" customHeight="1">
      <c r="A31" s="803" t="s">
        <v>1858</v>
      </c>
      <c r="B31" s="2886"/>
      <c r="C31" s="450">
        <f ca="1">C18+C19+C20+C23+C24+C26+C29</f>
        <v>77566</v>
      </c>
      <c r="D31" s="472"/>
      <c r="E31" s="473"/>
      <c r="F31" s="474"/>
      <c r="G31" s="261"/>
      <c r="H31" s="2843"/>
      <c r="I31" s="2843"/>
      <c r="J31" s="2843"/>
      <c r="K31" s="279"/>
    </row>
    <row r="32" spans="1:14" s="2122" customFormat="1" ht="13.5" customHeight="1">
      <c r="A32" s="803" t="s">
        <v>1859</v>
      </c>
      <c r="B32" s="2886"/>
      <c r="C32" s="53">
        <f ca="1">ROUND(C25+D26,4)</f>
        <v>0.19370000000000001</v>
      </c>
      <c r="D32" s="472"/>
      <c r="E32" s="473"/>
      <c r="F32" s="474"/>
      <c r="G32" s="261"/>
      <c r="H32" s="2843"/>
      <c r="I32" s="2843"/>
      <c r="J32" s="2843"/>
      <c r="K32" s="279"/>
    </row>
    <row r="33" spans="1:11" s="2124" customFormat="1" ht="13.5" customHeight="1">
      <c r="A33" s="3061" t="s">
        <v>2841</v>
      </c>
      <c r="B33" s="3059" t="s">
        <v>2839</v>
      </c>
      <c r="C33" s="478">
        <f ca="1">C35</f>
        <v>10225</v>
      </c>
      <c r="D33" s="467">
        <f ca="1">C34</f>
        <v>0.16619999999999999</v>
      </c>
      <c r="E33" s="469" t="s">
        <v>495</v>
      </c>
      <c r="F33" s="479">
        <f ca="1">IF(B1="",'数据-取费表'!Q16,INDIRECT("'数据-取费表'!q"&amp;$K$1))</f>
        <v>0.16</v>
      </c>
      <c r="G33" s="2844"/>
      <c r="H33" s="2845"/>
      <c r="I33" s="2845"/>
      <c r="J33" s="2845"/>
      <c r="K33" s="2846"/>
    </row>
    <row r="34" spans="1:11" s="2125" customFormat="1" ht="13.5" customHeight="1">
      <c r="A34" s="375" t="s">
        <v>1858</v>
      </c>
      <c r="B34" s="2891" t="s">
        <v>502</v>
      </c>
      <c r="C34" s="472">
        <f ca="1">ROUND((1+C25)*F33,4)</f>
        <v>0.16619999999999999</v>
      </c>
      <c r="D34" s="472"/>
      <c r="E34" s="473"/>
      <c r="F34" s="480"/>
      <c r="G34" s="261" t="s">
        <v>2293</v>
      </c>
      <c r="H34" s="2843"/>
      <c r="I34" s="2843"/>
      <c r="J34" s="2843"/>
      <c r="K34" s="279"/>
    </row>
    <row r="35" spans="1:11" s="2125" customFormat="1" ht="13.5" customHeight="1" thickBot="1">
      <c r="A35" s="1637" t="s">
        <v>1859</v>
      </c>
      <c r="B35" s="3060" t="s">
        <v>2847</v>
      </c>
      <c r="C35" s="1629">
        <f ca="1">ROUND((C18+C19+C20+C23+C24)*F33,0)</f>
        <v>10225</v>
      </c>
      <c r="D35" s="1630"/>
      <c r="E35" s="2892"/>
      <c r="F35" s="1631"/>
      <c r="G35" s="2850"/>
      <c r="H35" s="2851"/>
      <c r="I35" s="2851"/>
      <c r="J35" s="2851"/>
      <c r="K35" s="2852"/>
    </row>
    <row r="36" spans="1:11" s="2087" customFormat="1" ht="13.5" customHeight="1" thickBot="1">
      <c r="A36" s="284" t="s">
        <v>1846</v>
      </c>
      <c r="B36" s="2854"/>
      <c r="C36" s="2893">
        <f ca="1">ROUND((C6-C30-C33)/(1+D30+D33),0)</f>
        <v>60291</v>
      </c>
      <c r="D36" s="2854"/>
      <c r="E36" s="2854"/>
      <c r="F36" s="2854"/>
      <c r="G36" s="2853" t="s">
        <v>2848</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936" t="str">
        <f>项目基本情况!B1</f>
        <v>出让国有建设用地使用权市场价格预评估</v>
      </c>
      <c r="C37" s="3936"/>
      <c r="D37" s="3936"/>
      <c r="E37" s="3936"/>
      <c r="F37" s="3936"/>
      <c r="G37" s="3936"/>
      <c r="H37" s="3936"/>
      <c r="I37" s="3936"/>
    </row>
    <row r="38" spans="1:9">
      <c r="A38" s="1657"/>
      <c r="B38" s="1657"/>
    </row>
    <row r="39" spans="1:9">
      <c r="A39" s="1655" t="s">
        <v>1903</v>
      </c>
      <c r="B39" s="1655" t="s">
        <v>2049</v>
      </c>
    </row>
    <row r="40" spans="1:9">
      <c r="A40" s="1655"/>
      <c r="B40" s="1655" t="str">
        <f>项目基本情况!B5</f>
        <v>湖南金光华暮云房地产开发有限公司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刘梅、吴薇</v>
      </c>
    </row>
    <row r="47" spans="1:9">
      <c r="A47" s="1655"/>
      <c r="B47" s="1655"/>
    </row>
    <row r="48" spans="1:9">
      <c r="A48" s="1655" t="s">
        <v>1903</v>
      </c>
      <c r="B48" s="1655" t="s">
        <v>2051</v>
      </c>
    </row>
    <row r="49" spans="2:2">
      <c r="B49" s="1655" t="str">
        <f>"康正预评字"&amp;项目基本情况!B2&amp;"号"</f>
        <v>康正预评字2017-1-0716-P01DYGJ2号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2" zoomScale="80" zoomScaleNormal="80" workbookViewId="0">
      <selection activeCell="C33" sqref="C33"/>
    </sheetView>
  </sheetViews>
  <sheetFormatPr defaultRowHeight="14.25"/>
  <cols>
    <col min="1" max="1" width="10.5" style="3545" customWidth="1"/>
    <col min="2" max="2" width="15.75" style="3545" customWidth="1"/>
    <col min="3" max="3" width="15.125" style="3545" customWidth="1"/>
    <col min="4" max="4" width="12.25" style="3545" customWidth="1"/>
    <col min="5" max="5" width="14.375" style="3545" customWidth="1"/>
    <col min="6" max="6" width="12.25" style="3545" customWidth="1"/>
    <col min="7" max="7" width="14.5" style="3545" customWidth="1"/>
    <col min="8" max="8" width="12.25" style="3545" customWidth="1"/>
    <col min="9" max="9" width="14.5" style="3545" customWidth="1"/>
    <col min="10" max="15" width="12.25" style="3545" customWidth="1"/>
    <col min="16" max="16" width="4.75" style="3545" customWidth="1"/>
    <col min="17" max="17" width="19.5" style="3545" customWidth="1"/>
    <col min="18" max="22" width="6.125" style="3545" customWidth="1"/>
    <col min="23" max="23" width="5.75" style="3545" customWidth="1"/>
    <col min="24" max="24" width="4.25" style="3545" customWidth="1"/>
    <col min="25" max="25" width="3.5" style="3545" customWidth="1"/>
    <col min="26" max="26" width="19.75" style="3545" customWidth="1"/>
    <col min="27" max="28" width="9.375" style="3545" customWidth="1"/>
    <col min="29" max="16384" width="9" style="3545"/>
  </cols>
  <sheetData>
    <row r="1" spans="1:29" s="3526" customFormat="1" ht="28.5" customHeight="1">
      <c r="A1" s="3515" t="s">
        <v>719</v>
      </c>
      <c r="B1" s="3516" t="s">
        <v>720</v>
      </c>
      <c r="C1" s="3517" t="s">
        <v>3182</v>
      </c>
      <c r="D1" s="3518" t="s">
        <v>3183</v>
      </c>
      <c r="E1" s="3519"/>
      <c r="F1" s="3520" t="s">
        <v>3184</v>
      </c>
      <c r="G1" s="3521" t="s">
        <v>3185</v>
      </c>
      <c r="H1" s="3522"/>
      <c r="I1" s="3522"/>
      <c r="J1" s="3522"/>
      <c r="K1" s="3523"/>
      <c r="L1" s="3522"/>
      <c r="M1" s="3523"/>
      <c r="N1" s="3523"/>
      <c r="O1" s="3523"/>
      <c r="P1" s="3524"/>
      <c r="Q1" s="3524"/>
      <c r="R1" s="3524"/>
      <c r="S1" s="3524"/>
      <c r="T1" s="3524"/>
      <c r="U1" s="3524"/>
      <c r="V1" s="3524"/>
      <c r="W1" s="3524"/>
      <c r="X1" s="3524"/>
      <c r="Y1" s="3524"/>
      <c r="Z1" s="3524"/>
      <c r="AA1" s="3524"/>
      <c r="AB1" s="3524"/>
      <c r="AC1" s="3525"/>
    </row>
    <row r="2" spans="1:29" s="3534" customFormat="1" ht="28.5" customHeight="1">
      <c r="A2" s="3527" t="s">
        <v>3186</v>
      </c>
      <c r="B2" s="3528" t="e">
        <f>ROUND(B3*D3/10000,0)</f>
        <v>#VALUE!</v>
      </c>
      <c r="C2" s="3529"/>
      <c r="D2" s="3529"/>
      <c r="E2" s="3529"/>
      <c r="F2" s="3530"/>
      <c r="G2" s="3529"/>
      <c r="H2" s="3529"/>
      <c r="I2" s="3529"/>
      <c r="J2" s="3529"/>
      <c r="K2" s="3531"/>
      <c r="L2" s="3529"/>
      <c r="M2" s="3531"/>
      <c r="N2" s="3531"/>
      <c r="O2" s="3531"/>
      <c r="P2" s="3532"/>
      <c r="Q2" s="3532"/>
      <c r="R2" s="3532"/>
      <c r="S2" s="3532"/>
      <c r="T2" s="3532"/>
      <c r="U2" s="3532"/>
      <c r="V2" s="3532"/>
      <c r="W2" s="3532"/>
      <c r="X2" s="3532"/>
      <c r="Y2" s="3532"/>
      <c r="Z2" s="3532"/>
      <c r="AA2" s="3532"/>
      <c r="AB2" s="3532"/>
      <c r="AC2" s="3533"/>
    </row>
    <row r="3" spans="1:29" s="3534" customFormat="1" ht="28.5" customHeight="1" thickBot="1">
      <c r="A3" s="3535" t="s">
        <v>3187</v>
      </c>
      <c r="B3" s="3536">
        <f>C49</f>
        <v>8173</v>
      </c>
      <c r="C3" s="3537" t="s">
        <v>3188</v>
      </c>
      <c r="D3" s="3536" t="e">
        <f>SUMIF('[1]数据-汇总表'!$C19:$C33,D1,'[1]数据-汇总表'!$E19:$E33)</f>
        <v>#VALUE!</v>
      </c>
      <c r="E3" s="3529"/>
      <c r="F3" s="3530"/>
      <c r="G3" s="3529"/>
      <c r="H3" s="3529"/>
      <c r="I3" s="3529"/>
      <c r="J3" s="3529"/>
      <c r="K3" s="3531"/>
      <c r="L3" s="3529"/>
      <c r="M3" s="3531"/>
      <c r="N3" s="3531"/>
      <c r="O3" s="3531"/>
      <c r="P3" s="3532"/>
      <c r="Q3" s="3532"/>
      <c r="R3" s="3532"/>
      <c r="S3" s="3532"/>
      <c r="T3" s="3532"/>
      <c r="U3" s="3532"/>
      <c r="V3" s="3532"/>
      <c r="W3" s="3532"/>
      <c r="X3" s="3532"/>
      <c r="Y3" s="3532"/>
      <c r="Z3" s="3532"/>
      <c r="AA3" s="3532"/>
      <c r="AB3" s="3532"/>
      <c r="AC3" s="3538"/>
    </row>
    <row r="4" spans="1:29" ht="15">
      <c r="A4" s="3539" t="s">
        <v>522</v>
      </c>
      <c r="B4" s="3540"/>
      <c r="C4" s="4146" t="s">
        <v>523</v>
      </c>
      <c r="D4" s="4147"/>
      <c r="E4" s="4148" t="s">
        <v>524</v>
      </c>
      <c r="F4" s="4149"/>
      <c r="G4" s="4146" t="s">
        <v>525</v>
      </c>
      <c r="H4" s="4147"/>
      <c r="I4" s="4146" t="s">
        <v>526</v>
      </c>
      <c r="J4" s="4147"/>
      <c r="K4" s="3541" t="s">
        <v>527</v>
      </c>
      <c r="L4" s="3542"/>
      <c r="M4" s="3543"/>
      <c r="N4" s="3543"/>
      <c r="O4" s="3543"/>
      <c r="P4" s="4150" t="s">
        <v>528</v>
      </c>
      <c r="Q4" s="4151"/>
      <c r="R4" s="4156" t="s">
        <v>524</v>
      </c>
      <c r="S4" s="4157"/>
      <c r="T4" s="4156" t="s">
        <v>525</v>
      </c>
      <c r="U4" s="4157"/>
      <c r="V4" s="4171" t="s">
        <v>526</v>
      </c>
      <c r="W4" s="4171"/>
      <c r="X4" s="3544"/>
      <c r="Y4" s="4156" t="s">
        <v>528</v>
      </c>
      <c r="Z4" s="4157"/>
      <c r="AA4" s="4143" t="s">
        <v>524</v>
      </c>
      <c r="AB4" s="4143" t="s">
        <v>525</v>
      </c>
      <c r="AC4" s="4143" t="s">
        <v>526</v>
      </c>
    </row>
    <row r="5" spans="1:29" ht="15">
      <c r="A5" s="3546"/>
      <c r="B5" s="3547"/>
      <c r="C5" s="4160" t="s">
        <v>3189</v>
      </c>
      <c r="D5" s="4161"/>
      <c r="E5" s="4162" t="s">
        <v>3190</v>
      </c>
      <c r="F5" s="4163"/>
      <c r="G5" s="4164" t="s">
        <v>3191</v>
      </c>
      <c r="H5" s="4161"/>
      <c r="I5" s="4164" t="s">
        <v>3192</v>
      </c>
      <c r="J5" s="4161"/>
      <c r="K5" s="3548"/>
      <c r="L5" s="3542"/>
      <c r="M5" s="3543"/>
      <c r="N5" s="3543"/>
      <c r="O5" s="3543"/>
      <c r="P5" s="4152"/>
      <c r="Q5" s="4153"/>
      <c r="R5" s="4158"/>
      <c r="S5" s="4159"/>
      <c r="T5" s="4158"/>
      <c r="U5" s="4159"/>
      <c r="V5" s="4171"/>
      <c r="W5" s="4171"/>
      <c r="X5" s="3544"/>
      <c r="Y5" s="4158"/>
      <c r="Z5" s="4159"/>
      <c r="AA5" s="4144"/>
      <c r="AB5" s="4144"/>
      <c r="AC5" s="4144"/>
    </row>
    <row r="6" spans="1:29" ht="15.75" thickBot="1">
      <c r="A6" s="3549"/>
      <c r="B6" s="3550"/>
      <c r="C6" s="4165" t="s">
        <v>3027</v>
      </c>
      <c r="D6" s="4166"/>
      <c r="E6" s="4167" t="s">
        <v>3027</v>
      </c>
      <c r="F6" s="4168"/>
      <c r="G6" s="4165" t="s">
        <v>3027</v>
      </c>
      <c r="H6" s="4166"/>
      <c r="I6" s="4165" t="s">
        <v>3027</v>
      </c>
      <c r="J6" s="4166"/>
      <c r="K6" s="3548" t="s">
        <v>529</v>
      </c>
      <c r="L6" s="3542"/>
      <c r="M6" s="3543"/>
      <c r="N6" s="3543"/>
      <c r="O6" s="3543"/>
      <c r="P6" s="4154"/>
      <c r="Q6" s="4155"/>
      <c r="R6" s="4158"/>
      <c r="S6" s="4159"/>
      <c r="T6" s="4169"/>
      <c r="U6" s="4170"/>
      <c r="V6" s="4171"/>
      <c r="W6" s="4171"/>
      <c r="X6" s="3544"/>
      <c r="Y6" s="4169"/>
      <c r="Z6" s="4170"/>
      <c r="AA6" s="4145"/>
      <c r="AB6" s="4145"/>
      <c r="AC6" s="4145"/>
    </row>
    <row r="7" spans="1:29" s="3563" customFormat="1" ht="15.75" thickBot="1">
      <c r="A7" s="3551"/>
      <c r="B7" s="3552" t="s">
        <v>530</v>
      </c>
      <c r="C7" s="3553">
        <f>'[1]数据-取费表'!B2</f>
        <v>42940</v>
      </c>
      <c r="D7" s="3554">
        <v>100</v>
      </c>
      <c r="E7" s="3555">
        <v>42940</v>
      </c>
      <c r="F7" s="3556">
        <f>SUMIF(58:58,YEAR(E7)&amp;"-"&amp;MONTH(E7),59:59)</f>
        <v>100</v>
      </c>
      <c r="G7" s="3555">
        <v>42940</v>
      </c>
      <c r="H7" s="3554">
        <f>SUMIF(58:58,YEAR(G7)&amp;"-"&amp;MONTH(G7),59:59)</f>
        <v>100</v>
      </c>
      <c r="I7" s="3555">
        <v>42940</v>
      </c>
      <c r="J7" s="3554">
        <f>SUMIF(58:58,YEAR(I7)&amp;"-"&amp;MONTH(I7),59:59)</f>
        <v>100</v>
      </c>
      <c r="K7" s="3548"/>
      <c r="L7" s="3557"/>
      <c r="M7" s="3558"/>
      <c r="N7" s="3558"/>
      <c r="O7" s="3558"/>
      <c r="P7" s="4172" t="s">
        <v>531</v>
      </c>
      <c r="Q7" s="4173"/>
      <c r="R7" s="3559" t="s">
        <v>3035</v>
      </c>
      <c r="S7" s="3560">
        <f t="shared" ref="S7:S15" si="0">F7</f>
        <v>100</v>
      </c>
      <c r="T7" s="3559" t="s">
        <v>3035</v>
      </c>
      <c r="U7" s="3560">
        <f t="shared" ref="U7:U15" si="1">H7</f>
        <v>100</v>
      </c>
      <c r="V7" s="3559" t="s">
        <v>3066</v>
      </c>
      <c r="W7" s="3560">
        <f t="shared" ref="W7:W15" si="2">J7</f>
        <v>100</v>
      </c>
      <c r="X7" s="3561"/>
      <c r="Y7" s="4172" t="s">
        <v>3193</v>
      </c>
      <c r="Z7" s="4174"/>
      <c r="AA7" s="3562">
        <f>D7/F7</f>
        <v>1</v>
      </c>
      <c r="AB7" s="3562">
        <f>D7/H7</f>
        <v>1</v>
      </c>
      <c r="AC7" s="3562">
        <f>D7/J7</f>
        <v>1</v>
      </c>
    </row>
    <row r="8" spans="1:29" s="3563" customFormat="1" ht="15.75" thickBot="1">
      <c r="A8" s="3564"/>
      <c r="B8" s="3565" t="s">
        <v>3194</v>
      </c>
      <c r="C8" s="3566" t="s">
        <v>3195</v>
      </c>
      <c r="D8" s="3554">
        <v>100</v>
      </c>
      <c r="E8" s="3567" t="s">
        <v>3034</v>
      </c>
      <c r="F8" s="3556">
        <f>SUMIF(61:61,E8,62:62)-SUMIF(61:61,C8,62:62)+100</f>
        <v>100</v>
      </c>
      <c r="G8" s="3566" t="s">
        <v>3034</v>
      </c>
      <c r="H8" s="3554">
        <f>SUMIF(61:61,G8,62:62)-SUMIF(61:61,C8,62:62)+100</f>
        <v>100</v>
      </c>
      <c r="I8" s="3567" t="s">
        <v>3034</v>
      </c>
      <c r="J8" s="3554">
        <f>SUMIF(61:61,I8,62:62)-SUMIF(61:61,C8,62:62)+100</f>
        <v>100</v>
      </c>
      <c r="K8" s="3548"/>
      <c r="L8" s="3557"/>
      <c r="M8" s="3558"/>
      <c r="N8" s="3558"/>
      <c r="O8" s="3558"/>
      <c r="P8" s="4172" t="s">
        <v>3196</v>
      </c>
      <c r="Q8" s="4174"/>
      <c r="R8" s="3559" t="s">
        <v>3067</v>
      </c>
      <c r="S8" s="3560">
        <f t="shared" si="0"/>
        <v>100</v>
      </c>
      <c r="T8" s="3559" t="s">
        <v>3067</v>
      </c>
      <c r="U8" s="3560">
        <f t="shared" si="1"/>
        <v>100</v>
      </c>
      <c r="V8" s="3559" t="s">
        <v>3067</v>
      </c>
      <c r="W8" s="3560">
        <f t="shared" si="2"/>
        <v>100</v>
      </c>
      <c r="X8" s="3561"/>
      <c r="Y8" s="4172" t="s">
        <v>3196</v>
      </c>
      <c r="Z8" s="4174"/>
      <c r="AA8" s="3562">
        <f t="shared" ref="AA8:AA46" si="3">D8/F8</f>
        <v>1</v>
      </c>
      <c r="AB8" s="3562">
        <f t="shared" ref="AB8:AB46" si="4">D8/H8</f>
        <v>1</v>
      </c>
      <c r="AC8" s="3562">
        <f t="shared" ref="AC8:AC46" si="5">D8/J8</f>
        <v>1</v>
      </c>
    </row>
    <row r="9" spans="1:29" s="3563" customFormat="1" ht="15">
      <c r="A9" s="3568"/>
      <c r="B9" s="3569" t="s">
        <v>3197</v>
      </c>
      <c r="C9" s="3570" t="s">
        <v>3198</v>
      </c>
      <c r="D9" s="3571">
        <v>100</v>
      </c>
      <c r="E9" s="3572" t="s">
        <v>924</v>
      </c>
      <c r="F9" s="3573">
        <f>SUMIF(63:63,E9,64:64)-SUMIF(63:63,C9,64:64)+100</f>
        <v>100</v>
      </c>
      <c r="G9" s="3574" t="s">
        <v>924</v>
      </c>
      <c r="H9" s="3571">
        <f>SUMIF(63:63,G9,64:64)-SUMIF(63:63,C9,64:64)+100</f>
        <v>100</v>
      </c>
      <c r="I9" s="3574" t="s">
        <v>924</v>
      </c>
      <c r="J9" s="3571">
        <f>SUMIF(63:63,I9,64:64)-SUMIF(63:63,C9,64:64)+100</f>
        <v>100</v>
      </c>
      <c r="K9" s="3548"/>
      <c r="L9" s="3557"/>
      <c r="M9" s="3558"/>
      <c r="N9" s="3558"/>
      <c r="O9" s="3575"/>
      <c r="P9" s="4175" t="s">
        <v>3199</v>
      </c>
      <c r="Q9" s="3576" t="str">
        <f t="shared" ref="Q9:Q15" si="6">B9</f>
        <v>用途</v>
      </c>
      <c r="R9" s="3559" t="s">
        <v>3066</v>
      </c>
      <c r="S9" s="3560">
        <f t="shared" si="0"/>
        <v>100</v>
      </c>
      <c r="T9" s="3559" t="s">
        <v>3066</v>
      </c>
      <c r="U9" s="3560">
        <f t="shared" si="1"/>
        <v>100</v>
      </c>
      <c r="V9" s="3559" t="s">
        <v>3066</v>
      </c>
      <c r="W9" s="3560">
        <f t="shared" si="2"/>
        <v>100</v>
      </c>
      <c r="X9" s="3561"/>
      <c r="Y9" s="4176" t="s">
        <v>3200</v>
      </c>
      <c r="Z9" s="3562" t="str">
        <f t="shared" ref="Z9:Z15" si="7">Q9</f>
        <v>用途</v>
      </c>
      <c r="AA9" s="3562">
        <f t="shared" si="3"/>
        <v>1</v>
      </c>
      <c r="AB9" s="3562">
        <f t="shared" si="4"/>
        <v>1</v>
      </c>
      <c r="AC9" s="3562">
        <f t="shared" si="5"/>
        <v>1</v>
      </c>
    </row>
    <row r="10" spans="1:29" s="3586" customFormat="1" ht="27">
      <c r="A10" s="3577"/>
      <c r="B10" s="3565" t="s">
        <v>3201</v>
      </c>
      <c r="C10" s="3578" t="s">
        <v>3202</v>
      </c>
      <c r="D10" s="3579">
        <v>100</v>
      </c>
      <c r="E10" s="3580" t="s">
        <v>3202</v>
      </c>
      <c r="F10" s="3581">
        <f>SUMIF(65:65,E10,66:66)-SUMIF(65:65,C10,66:66)+100</f>
        <v>100</v>
      </c>
      <c r="G10" s="3578" t="s">
        <v>3202</v>
      </c>
      <c r="H10" s="3579">
        <f>SUMIF(65:65,G10,66:66)-SUMIF(65:65,C10,66:66)+100</f>
        <v>100</v>
      </c>
      <c r="I10" s="3578" t="s">
        <v>3202</v>
      </c>
      <c r="J10" s="3579">
        <f>SUMIF(65:65,I10,66:66)-SUMIF(65:65,C10,66:66)+100</f>
        <v>100</v>
      </c>
      <c r="K10" s="3582">
        <v>1</v>
      </c>
      <c r="L10" s="3583"/>
      <c r="M10" s="3584"/>
      <c r="N10" s="3584"/>
      <c r="O10" s="3585"/>
      <c r="P10" s="4175"/>
      <c r="Q10" s="3576" t="str">
        <f t="shared" si="6"/>
        <v>土地使用年限（年）</v>
      </c>
      <c r="R10" s="3559" t="s">
        <v>3066</v>
      </c>
      <c r="S10" s="3560">
        <f t="shared" si="0"/>
        <v>100</v>
      </c>
      <c r="T10" s="3559" t="s">
        <v>3066</v>
      </c>
      <c r="U10" s="3560">
        <f t="shared" si="1"/>
        <v>100</v>
      </c>
      <c r="V10" s="3559" t="s">
        <v>3066</v>
      </c>
      <c r="W10" s="3560">
        <f t="shared" si="2"/>
        <v>100</v>
      </c>
      <c r="X10" s="3561"/>
      <c r="Y10" s="4176"/>
      <c r="Z10" s="3562" t="str">
        <f t="shared" si="7"/>
        <v>土地使用年限（年）</v>
      </c>
      <c r="AA10" s="3562">
        <f t="shared" si="3"/>
        <v>1</v>
      </c>
      <c r="AB10" s="3562">
        <f t="shared" si="4"/>
        <v>1</v>
      </c>
      <c r="AC10" s="3562">
        <f t="shared" si="5"/>
        <v>1</v>
      </c>
    </row>
    <row r="11" spans="1:29" ht="15.75" thickBot="1">
      <c r="A11" s="3587"/>
      <c r="B11" s="3565" t="s">
        <v>3203</v>
      </c>
      <c r="C11" s="3588">
        <f>'[1]比较法-住宅、综合'!C13</f>
        <v>2.57</v>
      </c>
      <c r="D11" s="3579">
        <v>100</v>
      </c>
      <c r="E11" s="3589">
        <v>2.5</v>
      </c>
      <c r="F11" s="3581">
        <f>LOOKUP(E11,68:68,69:69)-LOOKUP(C11,68:68,69:69)+100</f>
        <v>100</v>
      </c>
      <c r="G11" s="3588">
        <v>2.5</v>
      </c>
      <c r="H11" s="3579">
        <f>LOOKUP(G11,68:68,69:69)-LOOKUP(C11,68:68,69:69)+100</f>
        <v>100</v>
      </c>
      <c r="I11" s="3588">
        <v>2.5</v>
      </c>
      <c r="J11" s="3579">
        <f>LOOKUP(I11,68:68,69:69)-LOOKUP(C11,68:68,69:69)+100</f>
        <v>100</v>
      </c>
      <c r="K11" s="3582">
        <v>2</v>
      </c>
      <c r="L11" s="3590"/>
      <c r="M11" s="3543"/>
      <c r="N11" s="3543"/>
      <c r="O11" s="3591"/>
      <c r="P11" s="4175"/>
      <c r="Q11" s="3576" t="str">
        <f t="shared" si="6"/>
        <v>容积率</v>
      </c>
      <c r="R11" s="3559" t="s">
        <v>3066</v>
      </c>
      <c r="S11" s="3560">
        <f t="shared" si="0"/>
        <v>100</v>
      </c>
      <c r="T11" s="3559" t="s">
        <v>3066</v>
      </c>
      <c r="U11" s="3560">
        <f t="shared" si="1"/>
        <v>100</v>
      </c>
      <c r="V11" s="3559" t="s">
        <v>3066</v>
      </c>
      <c r="W11" s="3560">
        <f t="shared" si="2"/>
        <v>100</v>
      </c>
      <c r="X11" s="3561"/>
      <c r="Y11" s="4176"/>
      <c r="Z11" s="3562" t="str">
        <f t="shared" si="7"/>
        <v>容积率</v>
      </c>
      <c r="AA11" s="3562">
        <f t="shared" si="3"/>
        <v>1</v>
      </c>
      <c r="AB11" s="3562">
        <f t="shared" si="4"/>
        <v>1</v>
      </c>
      <c r="AC11" s="3562">
        <f t="shared" si="5"/>
        <v>1</v>
      </c>
    </row>
    <row r="12" spans="1:29" s="3563" customFormat="1" ht="15.75" hidden="1" thickBot="1">
      <c r="A12" s="3592"/>
      <c r="B12" s="3593"/>
      <c r="C12" s="3594"/>
      <c r="D12" s="3595">
        <v>100</v>
      </c>
      <c r="E12" s="3594"/>
      <c r="F12" s="3581">
        <f>SUMIF(70:70,E12,71:71)-SUMIF(70:70,C12,71:71)+100</f>
        <v>100</v>
      </c>
      <c r="G12" s="3594"/>
      <c r="H12" s="3579">
        <f>SUMIF(70:70,G12,71:71)-SUMIF(70:70,C12,71:71)+100</f>
        <v>100</v>
      </c>
      <c r="I12" s="3594"/>
      <c r="J12" s="3579">
        <f>SUMIF(70:70,I12,71:71)-SUMIF(70:70,C12,71:71)+100</f>
        <v>100</v>
      </c>
      <c r="K12" s="3596"/>
      <c r="L12" s="3557"/>
      <c r="M12" s="3558"/>
      <c r="N12" s="3558"/>
      <c r="O12" s="3575"/>
      <c r="P12" s="4175"/>
      <c r="Q12" s="3576">
        <f t="shared" si="6"/>
        <v>0</v>
      </c>
      <c r="R12" s="3559" t="s">
        <v>3066</v>
      </c>
      <c r="S12" s="3560">
        <f t="shared" si="0"/>
        <v>100</v>
      </c>
      <c r="T12" s="3559" t="s">
        <v>3066</v>
      </c>
      <c r="U12" s="3560">
        <f t="shared" si="1"/>
        <v>100</v>
      </c>
      <c r="V12" s="3559" t="s">
        <v>3066</v>
      </c>
      <c r="W12" s="3560">
        <f t="shared" si="2"/>
        <v>100</v>
      </c>
      <c r="X12" s="3561"/>
      <c r="Y12" s="4176"/>
      <c r="Z12" s="3562">
        <f t="shared" si="7"/>
        <v>0</v>
      </c>
      <c r="AA12" s="3562">
        <f>D12/F12</f>
        <v>1</v>
      </c>
      <c r="AB12" s="3562">
        <f>D12/H12</f>
        <v>1</v>
      </c>
      <c r="AC12" s="3562">
        <f>D12/J12</f>
        <v>1</v>
      </c>
    </row>
    <row r="13" spans="1:29" ht="15.75" hidden="1" thickBot="1">
      <c r="A13" s="3592"/>
      <c r="B13" s="3593"/>
      <c r="C13" s="3597"/>
      <c r="D13" s="3598">
        <v>100</v>
      </c>
      <c r="E13" s="3597"/>
      <c r="F13" s="3581">
        <f>SUMIF(72:72,E13,73:73)-SUMIF(72:72,C13,73:73)+100</f>
        <v>100</v>
      </c>
      <c r="G13" s="3597"/>
      <c r="H13" s="3598">
        <f>SUMIF(72:72,G13,73:73)-SUMIF(72:72,C13,73:73)+100</f>
        <v>100</v>
      </c>
      <c r="I13" s="3597"/>
      <c r="J13" s="3598">
        <f>SUMIF(72:72,I13,73:73)-SUMIF(72:72,C13,73:73)+100</f>
        <v>100</v>
      </c>
      <c r="K13" s="3596"/>
      <c r="L13" s="3599"/>
      <c r="M13" s="3543"/>
      <c r="N13" s="3543"/>
      <c r="O13" s="3591"/>
      <c r="P13" s="4175"/>
      <c r="Q13" s="3576">
        <f t="shared" si="6"/>
        <v>0</v>
      </c>
      <c r="R13" s="3559" t="s">
        <v>3035</v>
      </c>
      <c r="S13" s="3560">
        <f t="shared" si="0"/>
        <v>100</v>
      </c>
      <c r="T13" s="3559" t="s">
        <v>3035</v>
      </c>
      <c r="U13" s="3560">
        <f t="shared" si="1"/>
        <v>100</v>
      </c>
      <c r="V13" s="3559" t="s">
        <v>3035</v>
      </c>
      <c r="W13" s="3560">
        <f t="shared" si="2"/>
        <v>100</v>
      </c>
      <c r="X13" s="3561"/>
      <c r="Y13" s="4176"/>
      <c r="Z13" s="3562">
        <f t="shared" si="7"/>
        <v>0</v>
      </c>
      <c r="AA13" s="3562">
        <f t="shared" si="3"/>
        <v>1</v>
      </c>
      <c r="AB13" s="3562">
        <f t="shared" si="4"/>
        <v>1</v>
      </c>
      <c r="AC13" s="3562">
        <f t="shared" si="5"/>
        <v>1</v>
      </c>
    </row>
    <row r="14" spans="1:29" ht="15.75" hidden="1" thickBot="1">
      <c r="A14" s="3600"/>
      <c r="B14" s="3601"/>
      <c r="C14" s="3602"/>
      <c r="D14" s="3603">
        <v>100</v>
      </c>
      <c r="E14" s="3602"/>
      <c r="F14" s="3604">
        <f>SUMIF(74:74,E14,75:75)-SUMIF(74:74,C14,75:75)+100</f>
        <v>100</v>
      </c>
      <c r="G14" s="3602"/>
      <c r="H14" s="3603">
        <f>SUMIF(74:74,G14,75:75)-SUMIF(74:74,C14,75:75)+100</f>
        <v>100</v>
      </c>
      <c r="I14" s="3602"/>
      <c r="J14" s="3603">
        <f>SUMIF(74:74,I14,75:75)-SUMIF(74:74,C14,75:75)+100</f>
        <v>100</v>
      </c>
      <c r="K14" s="3596"/>
      <c r="L14" s="3599"/>
      <c r="M14" s="3543"/>
      <c r="N14" s="3543"/>
      <c r="O14" s="3591"/>
      <c r="P14" s="4175"/>
      <c r="Q14" s="3576">
        <f t="shared" si="6"/>
        <v>0</v>
      </c>
      <c r="R14" s="3559" t="s">
        <v>3035</v>
      </c>
      <c r="S14" s="3560">
        <f t="shared" si="0"/>
        <v>100</v>
      </c>
      <c r="T14" s="3559" t="s">
        <v>3035</v>
      </c>
      <c r="U14" s="3560">
        <f t="shared" si="1"/>
        <v>100</v>
      </c>
      <c r="V14" s="3559" t="s">
        <v>3035</v>
      </c>
      <c r="W14" s="3560">
        <f t="shared" si="2"/>
        <v>100</v>
      </c>
      <c r="X14" s="3561"/>
      <c r="Y14" s="4176"/>
      <c r="Z14" s="3562">
        <f t="shared" si="7"/>
        <v>0</v>
      </c>
      <c r="AA14" s="3562">
        <f t="shared" si="3"/>
        <v>1</v>
      </c>
      <c r="AB14" s="3562">
        <f t="shared" si="4"/>
        <v>1</v>
      </c>
      <c r="AC14" s="3562">
        <f t="shared" si="5"/>
        <v>1</v>
      </c>
    </row>
    <row r="15" spans="1:29" ht="99.75">
      <c r="A15" s="3605" t="s">
        <v>3040</v>
      </c>
      <c r="B15" s="3606" t="s">
        <v>295</v>
      </c>
      <c r="C15" s="3607" t="str">
        <f>[1]估价对象房地状况!C3</f>
        <v>估价对象周边居住用地比例一般、有一定数量居住小区、入住率一般，综合评价居住社区成熟度一般。</v>
      </c>
      <c r="D15" s="3608">
        <v>100</v>
      </c>
      <c r="E15" s="3609" t="s">
        <v>3204</v>
      </c>
      <c r="F15" s="3610">
        <f>SUMIF(76:76,E16,77:77)-SUMIF(76:76,C16,77:77)+100</f>
        <v>100</v>
      </c>
      <c r="G15" s="3609" t="s">
        <v>3204</v>
      </c>
      <c r="H15" s="3608">
        <f>SUMIF(76:76,G16,77:77)-SUMIF(76:76,C16,77:77)+100</f>
        <v>102</v>
      </c>
      <c r="I15" s="3609" t="s">
        <v>3204</v>
      </c>
      <c r="J15" s="3608">
        <f>SUMIF(76:76,I16,77:77)-SUMIF(76:76,C16,77:77)+100</f>
        <v>102</v>
      </c>
      <c r="K15" s="3611">
        <v>2</v>
      </c>
      <c r="L15" s="3599"/>
      <c r="M15" s="3543"/>
      <c r="N15" s="3543"/>
      <c r="O15" s="3591"/>
      <c r="P15" s="4177" t="s">
        <v>3205</v>
      </c>
      <c r="Q15" s="3612" t="str">
        <f t="shared" si="6"/>
        <v>居住社区成熟度</v>
      </c>
      <c r="R15" s="3613" t="s">
        <v>3035</v>
      </c>
      <c r="S15" s="3614">
        <f t="shared" si="0"/>
        <v>100</v>
      </c>
      <c r="T15" s="3613" t="s">
        <v>3035</v>
      </c>
      <c r="U15" s="3614">
        <f t="shared" si="1"/>
        <v>102</v>
      </c>
      <c r="V15" s="3613" t="s">
        <v>3035</v>
      </c>
      <c r="W15" s="3614">
        <f t="shared" si="2"/>
        <v>102</v>
      </c>
      <c r="X15" s="3544"/>
      <c r="Y15" s="4177" t="s">
        <v>541</v>
      </c>
      <c r="Z15" s="3615" t="str">
        <f t="shared" si="7"/>
        <v>居住社区成熟度</v>
      </c>
      <c r="AA15" s="3615">
        <f t="shared" si="3"/>
        <v>1</v>
      </c>
      <c r="AB15" s="3615">
        <f t="shared" si="4"/>
        <v>0.98039215686274506</v>
      </c>
      <c r="AC15" s="3615">
        <f t="shared" si="5"/>
        <v>0.98039215686274506</v>
      </c>
    </row>
    <row r="16" spans="1:29" ht="15">
      <c r="A16" s="3616"/>
      <c r="B16" s="3617"/>
      <c r="C16" s="3618" t="s">
        <v>3043</v>
      </c>
      <c r="D16" s="3619"/>
      <c r="E16" s="3620" t="s">
        <v>3043</v>
      </c>
      <c r="F16" s="3621"/>
      <c r="G16" s="3622" t="s">
        <v>3044</v>
      </c>
      <c r="H16" s="3623"/>
      <c r="I16" s="3624" t="s">
        <v>3044</v>
      </c>
      <c r="J16" s="3619"/>
      <c r="K16" s="3625"/>
      <c r="L16" s="3599"/>
      <c r="M16" s="3543"/>
      <c r="N16" s="3543"/>
      <c r="O16" s="3591"/>
      <c r="P16" s="4178"/>
      <c r="Q16" s="3612"/>
      <c r="R16" s="3613"/>
      <c r="S16" s="3614"/>
      <c r="T16" s="3613"/>
      <c r="U16" s="3614"/>
      <c r="V16" s="3613"/>
      <c r="W16" s="3614"/>
      <c r="X16" s="3544"/>
      <c r="Y16" s="4178"/>
      <c r="Z16" s="3615"/>
      <c r="AA16" s="3615">
        <v>1</v>
      </c>
      <c r="AB16" s="3615">
        <v>1</v>
      </c>
      <c r="AC16" s="3615">
        <v>1</v>
      </c>
    </row>
    <row r="17" spans="1:29" ht="85.5">
      <c r="A17" s="3616"/>
      <c r="B17" s="3626" t="s">
        <v>296</v>
      </c>
      <c r="C17" s="3627" t="str">
        <f>[1]估价对象房地状况!C6</f>
        <v>估价对象周边路网密集程度一般、有一定数量公交车、停车较便捷，综合评价交通便捷度一般。</v>
      </c>
      <c r="D17" s="3623">
        <v>100</v>
      </c>
      <c r="E17" s="3628" t="s">
        <v>3206</v>
      </c>
      <c r="F17" s="3629">
        <f>SUMIF(78:78,E18,79:79)-SUMIF(78:78,C18,79:79)+100</f>
        <v>100</v>
      </c>
      <c r="G17" s="3628" t="s">
        <v>3206</v>
      </c>
      <c r="H17" s="3630">
        <f>SUMIF(78:78,G18,79:79)-SUMIF(78:78,C18,79:79)+100</f>
        <v>100</v>
      </c>
      <c r="I17" s="3628" t="s">
        <v>3206</v>
      </c>
      <c r="J17" s="3630">
        <f>SUMIF(78:78,I18,79:79)-SUMIF(78:78,C18,79:79)+100</f>
        <v>100</v>
      </c>
      <c r="K17" s="3611">
        <v>2</v>
      </c>
      <c r="L17" s="3599"/>
      <c r="M17" s="3543"/>
      <c r="N17" s="3543"/>
      <c r="O17" s="3591"/>
      <c r="P17" s="4178"/>
      <c r="Q17" s="3612" t="str">
        <f>B17</f>
        <v>交通便捷度</v>
      </c>
      <c r="R17" s="3613" t="s">
        <v>3207</v>
      </c>
      <c r="S17" s="3614">
        <f>F17</f>
        <v>100</v>
      </c>
      <c r="T17" s="3613" t="s">
        <v>3035</v>
      </c>
      <c r="U17" s="3614">
        <f>H17</f>
        <v>100</v>
      </c>
      <c r="V17" s="3613" t="s">
        <v>3035</v>
      </c>
      <c r="W17" s="3614">
        <f>J17</f>
        <v>100</v>
      </c>
      <c r="X17" s="3544"/>
      <c r="Y17" s="4178"/>
      <c r="Z17" s="3615" t="str">
        <f>Q17</f>
        <v>交通便捷度</v>
      </c>
      <c r="AA17" s="3615">
        <f t="shared" si="3"/>
        <v>1</v>
      </c>
      <c r="AB17" s="3615">
        <f t="shared" si="4"/>
        <v>1</v>
      </c>
      <c r="AC17" s="3615">
        <f t="shared" si="5"/>
        <v>1</v>
      </c>
    </row>
    <row r="18" spans="1:29" ht="15">
      <c r="A18" s="3616"/>
      <c r="B18" s="3631"/>
      <c r="C18" s="3632" t="s">
        <v>3043</v>
      </c>
      <c r="D18" s="3623"/>
      <c r="E18" s="3633" t="s">
        <v>3043</v>
      </c>
      <c r="F18" s="3629"/>
      <c r="G18" s="3632" t="s">
        <v>3043</v>
      </c>
      <c r="H18" s="3619"/>
      <c r="I18" s="3633" t="s">
        <v>3043</v>
      </c>
      <c r="J18" s="3619"/>
      <c r="K18" s="3625"/>
      <c r="L18" s="3599"/>
      <c r="M18" s="3543"/>
      <c r="N18" s="3543"/>
      <c r="O18" s="3591"/>
      <c r="P18" s="4178"/>
      <c r="Q18" s="3612"/>
      <c r="R18" s="3613"/>
      <c r="S18" s="3614"/>
      <c r="T18" s="3613"/>
      <c r="U18" s="3614"/>
      <c r="V18" s="3613"/>
      <c r="W18" s="3614"/>
      <c r="X18" s="3544"/>
      <c r="Y18" s="4178"/>
      <c r="Z18" s="3615"/>
      <c r="AA18" s="3615">
        <v>1</v>
      </c>
      <c r="AB18" s="3615">
        <v>1</v>
      </c>
      <c r="AC18" s="3615">
        <v>1</v>
      </c>
    </row>
    <row r="19" spans="1:29" ht="42.75">
      <c r="A19" s="3616"/>
      <c r="B19" s="3634" t="s">
        <v>3208</v>
      </c>
      <c r="C19" s="3627" t="str">
        <f>[1]估价对象房地状况!C7</f>
        <v>估价对象所在区域公共配套设施较齐备。</v>
      </c>
      <c r="D19" s="3630">
        <v>100</v>
      </c>
      <c r="E19" s="3635" t="s">
        <v>3209</v>
      </c>
      <c r="F19" s="3636">
        <f>SUMIF(80:80,E20,81:81)-SUMIF(80:80,C20,81:81)+100</f>
        <v>100</v>
      </c>
      <c r="G19" s="3635" t="s">
        <v>3209</v>
      </c>
      <c r="H19" s="3623">
        <f>SUMIF(80:80,G20,81:81)-SUMIF(80:80,C20,81:81)+100</f>
        <v>100</v>
      </c>
      <c r="I19" s="3635" t="s">
        <v>3209</v>
      </c>
      <c r="J19" s="3623">
        <f>SUMIF(80:80,I20,81:81)-SUMIF(80:80,C20,81:81)+100</f>
        <v>100</v>
      </c>
      <c r="K19" s="3611">
        <v>2</v>
      </c>
      <c r="L19" s="3599"/>
      <c r="M19" s="3543"/>
      <c r="N19" s="3543"/>
      <c r="O19" s="3591"/>
      <c r="P19" s="4178"/>
      <c r="Q19" s="3612" t="str">
        <f>B19</f>
        <v>公共配套设施</v>
      </c>
      <c r="R19" s="3613" t="s">
        <v>3035</v>
      </c>
      <c r="S19" s="3614">
        <f>F19</f>
        <v>100</v>
      </c>
      <c r="T19" s="3613" t="s">
        <v>3035</v>
      </c>
      <c r="U19" s="3614">
        <f>H19</f>
        <v>100</v>
      </c>
      <c r="V19" s="3613" t="s">
        <v>3035</v>
      </c>
      <c r="W19" s="3614">
        <f>J19</f>
        <v>100</v>
      </c>
      <c r="X19" s="3544"/>
      <c r="Y19" s="4178"/>
      <c r="Z19" s="3615" t="str">
        <f>Q19</f>
        <v>公共配套设施</v>
      </c>
      <c r="AA19" s="3615">
        <f t="shared" si="3"/>
        <v>1</v>
      </c>
      <c r="AB19" s="3615">
        <f t="shared" si="4"/>
        <v>1</v>
      </c>
      <c r="AC19" s="3615">
        <f t="shared" si="5"/>
        <v>1</v>
      </c>
    </row>
    <row r="20" spans="1:29" ht="15">
      <c r="A20" s="3616"/>
      <c r="B20" s="3631"/>
      <c r="C20" s="3618" t="s">
        <v>3044</v>
      </c>
      <c r="D20" s="3619"/>
      <c r="E20" s="3620" t="s">
        <v>3044</v>
      </c>
      <c r="F20" s="3621"/>
      <c r="G20" s="3618" t="s">
        <v>3044</v>
      </c>
      <c r="H20" s="3619"/>
      <c r="I20" s="3620" t="s">
        <v>3044</v>
      </c>
      <c r="J20" s="3619"/>
      <c r="K20" s="3625"/>
      <c r="L20" s="3599"/>
      <c r="M20" s="3543"/>
      <c r="N20" s="3543"/>
      <c r="O20" s="3591"/>
      <c r="P20" s="4178"/>
      <c r="Q20" s="3612"/>
      <c r="R20" s="3613"/>
      <c r="S20" s="3614"/>
      <c r="T20" s="3613"/>
      <c r="U20" s="3614"/>
      <c r="V20" s="3613"/>
      <c r="W20" s="3614"/>
      <c r="X20" s="3544"/>
      <c r="Y20" s="4178"/>
      <c r="Z20" s="3615"/>
      <c r="AA20" s="3615">
        <v>1</v>
      </c>
      <c r="AB20" s="3615">
        <v>1</v>
      </c>
      <c r="AC20" s="3615">
        <v>1</v>
      </c>
    </row>
    <row r="21" spans="1:29" ht="15">
      <c r="A21" s="3616"/>
      <c r="B21" s="3637" t="s">
        <v>3063</v>
      </c>
      <c r="C21" s="3627" t="str">
        <f>[1]估价对象房地状况!C8</f>
        <v>六通</v>
      </c>
      <c r="D21" s="3630">
        <v>100</v>
      </c>
      <c r="E21" s="3638" t="s">
        <v>1987</v>
      </c>
      <c r="F21" s="3636">
        <f>SUMIF(82:82,E22,83:83)-SUMIF(82:82,C22,83:83)+100</f>
        <v>100</v>
      </c>
      <c r="G21" s="3638" t="s">
        <v>1987</v>
      </c>
      <c r="H21" s="3630">
        <f>SUMIF(82:82,G22,83:83)-SUMIF(82:82,C22,83:83)+100</f>
        <v>100</v>
      </c>
      <c r="I21" s="3638" t="s">
        <v>1987</v>
      </c>
      <c r="J21" s="3630">
        <f>SUMIF(82:82,I22,83:83)-SUMIF(82:82,C22,83:83)+100</f>
        <v>100</v>
      </c>
      <c r="K21" s="3611">
        <v>1</v>
      </c>
      <c r="L21" s="3599"/>
      <c r="M21" s="3543"/>
      <c r="N21" s="3543"/>
      <c r="O21" s="3591"/>
      <c r="P21" s="4178"/>
      <c r="Q21" s="3612" t="str">
        <f>B21</f>
        <v>基础设施水平</v>
      </c>
      <c r="R21" s="3613" t="s">
        <v>3035</v>
      </c>
      <c r="S21" s="3614">
        <f>F21</f>
        <v>100</v>
      </c>
      <c r="T21" s="3613" t="s">
        <v>3035</v>
      </c>
      <c r="U21" s="3614">
        <f>H21</f>
        <v>100</v>
      </c>
      <c r="V21" s="3613" t="s">
        <v>3035</v>
      </c>
      <c r="W21" s="3614">
        <f>J21</f>
        <v>100</v>
      </c>
      <c r="X21" s="3544"/>
      <c r="Y21" s="4178"/>
      <c r="Z21" s="3615" t="str">
        <f>Q21</f>
        <v>基础设施水平</v>
      </c>
      <c r="AA21" s="3615">
        <f t="shared" ref="AA21" si="8">D21/F21</f>
        <v>1</v>
      </c>
      <c r="AB21" s="3615">
        <f t="shared" ref="AB21" si="9">D21/H21</f>
        <v>1</v>
      </c>
      <c r="AC21" s="3615">
        <f t="shared" ref="AC21" si="10">D21/J21</f>
        <v>1</v>
      </c>
    </row>
    <row r="22" spans="1:29" ht="15">
      <c r="A22" s="3616"/>
      <c r="B22" s="3639"/>
      <c r="C22" s="3632" t="s">
        <v>3068</v>
      </c>
      <c r="D22" s="3619"/>
      <c r="E22" s="3618" t="s">
        <v>3068</v>
      </c>
      <c r="F22" s="3621"/>
      <c r="G22" s="3618" t="s">
        <v>3068</v>
      </c>
      <c r="H22" s="3619"/>
      <c r="I22" s="3618" t="s">
        <v>3068</v>
      </c>
      <c r="J22" s="3619"/>
      <c r="K22" s="3640"/>
      <c r="L22" s="3599"/>
      <c r="M22" s="3543"/>
      <c r="N22" s="3543"/>
      <c r="O22" s="3591"/>
      <c r="P22" s="4178"/>
      <c r="Q22" s="3612"/>
      <c r="R22" s="3613"/>
      <c r="S22" s="3614"/>
      <c r="T22" s="3613"/>
      <c r="U22" s="3614"/>
      <c r="V22" s="3613"/>
      <c r="W22" s="3614"/>
      <c r="X22" s="3544"/>
      <c r="Y22" s="4178"/>
      <c r="Z22" s="3615"/>
      <c r="AA22" s="3615">
        <v>1</v>
      </c>
      <c r="AB22" s="3615">
        <v>1</v>
      </c>
      <c r="AC22" s="3615">
        <v>1</v>
      </c>
    </row>
    <row r="23" spans="1:29" ht="128.25">
      <c r="A23" s="3616"/>
      <c r="B23" s="3626" t="s">
        <v>297</v>
      </c>
      <c r="C23" s="3627" t="str">
        <f>[1]估价对象房地状况!C9</f>
        <v>估价对象周边无大型绿化，公园等自然环境一般：周边有长沙理工大学，无其他博物馆，图书馆等人文环境一般；综合评价环境状况一般。</v>
      </c>
      <c r="D23" s="3623">
        <v>100</v>
      </c>
      <c r="E23" s="3628" t="s">
        <v>3210</v>
      </c>
      <c r="F23" s="3629">
        <f>SUMIF(84:84,E24,85:85)-SUMIF(84:84,C24,85:85)+100</f>
        <v>100</v>
      </c>
      <c r="G23" s="3628" t="s">
        <v>3210</v>
      </c>
      <c r="H23" s="3623">
        <f>SUMIF(84:84,G24,85:85)-SUMIF(84:84,C24,85:85)+100</f>
        <v>100</v>
      </c>
      <c r="I23" s="3628" t="s">
        <v>3406</v>
      </c>
      <c r="J23" s="3623">
        <f>SUMIF(84:84,I24,85:85)-SUMIF(84:84,C24,85:85)+100</f>
        <v>102</v>
      </c>
      <c r="K23" s="3611">
        <v>2</v>
      </c>
      <c r="L23" s="3599"/>
      <c r="M23" s="3543"/>
      <c r="N23" s="3543"/>
      <c r="O23" s="3591"/>
      <c r="P23" s="4178"/>
      <c r="Q23" s="3612" t="str">
        <f>B23</f>
        <v>自然及人文环境</v>
      </c>
      <c r="R23" s="3613" t="s">
        <v>3035</v>
      </c>
      <c r="S23" s="3614">
        <f>F23</f>
        <v>100</v>
      </c>
      <c r="T23" s="3613" t="s">
        <v>3211</v>
      </c>
      <c r="U23" s="3614">
        <f>H23</f>
        <v>100</v>
      </c>
      <c r="V23" s="3613" t="s">
        <v>3035</v>
      </c>
      <c r="W23" s="3614">
        <f>J23</f>
        <v>102</v>
      </c>
      <c r="X23" s="3544"/>
      <c r="Y23" s="4178"/>
      <c r="Z23" s="3615" t="str">
        <f>Q23</f>
        <v>自然及人文环境</v>
      </c>
      <c r="AA23" s="3615">
        <f t="shared" si="3"/>
        <v>1</v>
      </c>
      <c r="AB23" s="3615">
        <f t="shared" si="4"/>
        <v>1</v>
      </c>
      <c r="AC23" s="3615">
        <f t="shared" si="5"/>
        <v>0.98039215686274506</v>
      </c>
    </row>
    <row r="24" spans="1:29" ht="21" customHeight="1">
      <c r="A24" s="3616"/>
      <c r="B24" s="3631"/>
      <c r="C24" s="3618" t="s">
        <v>3043</v>
      </c>
      <c r="D24" s="3619"/>
      <c r="E24" s="3620" t="s">
        <v>3043</v>
      </c>
      <c r="F24" s="3621"/>
      <c r="G24" s="3618" t="s">
        <v>3043</v>
      </c>
      <c r="H24" s="3619"/>
      <c r="I24" s="3624" t="s">
        <v>3044</v>
      </c>
      <c r="J24" s="3619"/>
      <c r="K24" s="3625"/>
      <c r="L24" s="3599"/>
      <c r="M24" s="3543"/>
      <c r="N24" s="3543"/>
      <c r="O24" s="3591"/>
      <c r="P24" s="4178"/>
      <c r="Q24" s="3612"/>
      <c r="R24" s="3613"/>
      <c r="S24" s="3614"/>
      <c r="T24" s="3613"/>
      <c r="U24" s="3614"/>
      <c r="V24" s="3613"/>
      <c r="W24" s="3614"/>
      <c r="X24" s="3544"/>
      <c r="Y24" s="4178"/>
      <c r="Z24" s="3615"/>
      <c r="AA24" s="3615">
        <v>1</v>
      </c>
      <c r="AB24" s="3615">
        <v>1</v>
      </c>
      <c r="AC24" s="3615">
        <v>1</v>
      </c>
    </row>
    <row r="25" spans="1:29" ht="15" hidden="1">
      <c r="A25" s="3616"/>
      <c r="B25" s="3641" t="s">
        <v>2260</v>
      </c>
      <c r="C25" s="3642"/>
      <c r="D25" s="3598">
        <v>100</v>
      </c>
      <c r="E25" s="3643"/>
      <c r="F25" s="3644">
        <f>SUMIF(86:86,E25,87:87)-SUMIF(86:86,C25,87:87)+100</f>
        <v>100</v>
      </c>
      <c r="G25" s="3642"/>
      <c r="H25" s="3598">
        <f>SUMIF(86:86,G25,87:87)-SUMIF(86:86,C25,87:87)+100</f>
        <v>100</v>
      </c>
      <c r="I25" s="3643"/>
      <c r="J25" s="3598">
        <f>SUMIF(86:86,I25,87:87)-SUMIF(86:86,C25,87:87)+100</f>
        <v>100</v>
      </c>
      <c r="K25" s="3582"/>
      <c r="L25" s="3599"/>
      <c r="M25" s="3543"/>
      <c r="N25" s="3543"/>
      <c r="O25" s="3591"/>
      <c r="P25" s="4178"/>
      <c r="Q25" s="3612" t="str">
        <f t="shared" ref="Q25:Q46" si="11">B25</f>
        <v>楼层-1</v>
      </c>
      <c r="R25" s="3613" t="s">
        <v>3035</v>
      </c>
      <c r="S25" s="3614">
        <f>F25</f>
        <v>100</v>
      </c>
      <c r="T25" s="3613" t="s">
        <v>3212</v>
      </c>
      <c r="U25" s="3614">
        <f>H25</f>
        <v>100</v>
      </c>
      <c r="V25" s="3613" t="s">
        <v>3035</v>
      </c>
      <c r="W25" s="3614">
        <f>J25</f>
        <v>100</v>
      </c>
      <c r="X25" s="3544"/>
      <c r="Y25" s="4178"/>
      <c r="Z25" s="3615" t="str">
        <f>Q25</f>
        <v>楼层-1</v>
      </c>
      <c r="AA25" s="3615">
        <f t="shared" si="3"/>
        <v>1</v>
      </c>
      <c r="AB25" s="3615">
        <f t="shared" si="4"/>
        <v>1</v>
      </c>
      <c r="AC25" s="3615">
        <f t="shared" si="5"/>
        <v>1</v>
      </c>
    </row>
    <row r="26" spans="1:29" ht="15" hidden="1">
      <c r="A26" s="3616"/>
      <c r="B26" s="3581" t="s">
        <v>724</v>
      </c>
      <c r="C26" s="3642"/>
      <c r="D26" s="3598">
        <v>100</v>
      </c>
      <c r="E26" s="3643"/>
      <c r="F26" s="3644">
        <f>SUMIF(88:88,E26,89:89)-SUMIF(88:88,C26,89:89)+100</f>
        <v>100</v>
      </c>
      <c r="G26" s="3642"/>
      <c r="H26" s="3598">
        <f>SUMIF(88:88,G26,89:89)-SUMIF(88:88,C26,89:89)+100</f>
        <v>100</v>
      </c>
      <c r="I26" s="3643"/>
      <c r="J26" s="3598">
        <f>SUMIF(88:88,I26,89:89)-SUMIF(88:88,C26,89:89)+100</f>
        <v>100</v>
      </c>
      <c r="K26" s="3582"/>
      <c r="L26" s="3599"/>
      <c r="M26" s="3543"/>
      <c r="N26" s="3543"/>
      <c r="O26" s="3591"/>
      <c r="P26" s="4178"/>
      <c r="Q26" s="3612" t="str">
        <f t="shared" si="11"/>
        <v>朝向</v>
      </c>
      <c r="R26" s="3613" t="s">
        <v>3035</v>
      </c>
      <c r="S26" s="3614">
        <f>F26</f>
        <v>100</v>
      </c>
      <c r="T26" s="3613" t="s">
        <v>3035</v>
      </c>
      <c r="U26" s="3614">
        <f>H26</f>
        <v>100</v>
      </c>
      <c r="V26" s="3613" t="s">
        <v>3035</v>
      </c>
      <c r="W26" s="3614">
        <f>J26</f>
        <v>100</v>
      </c>
      <c r="X26" s="3544"/>
      <c r="Y26" s="4178"/>
      <c r="Z26" s="3615" t="str">
        <f>Q26</f>
        <v>朝向</v>
      </c>
      <c r="AA26" s="3615">
        <f t="shared" si="3"/>
        <v>1</v>
      </c>
      <c r="AB26" s="3615">
        <f t="shared" si="4"/>
        <v>1</v>
      </c>
      <c r="AC26" s="3615">
        <f t="shared" si="5"/>
        <v>1</v>
      </c>
    </row>
    <row r="27" spans="1:29" s="3563" customFormat="1" ht="15.75" thickBot="1">
      <c r="A27" s="3645"/>
      <c r="B27" s="3646" t="s">
        <v>3213</v>
      </c>
      <c r="C27" s="3647" t="s">
        <v>3214</v>
      </c>
      <c r="D27" s="3648">
        <v>100</v>
      </c>
      <c r="E27" s="3647" t="s">
        <v>3215</v>
      </c>
      <c r="F27" s="3631">
        <f>SUMIF(90:90,E27,91:91)-SUMIF(90:90,C27,91:91)+100</f>
        <v>98</v>
      </c>
      <c r="G27" s="3647" t="s">
        <v>3214</v>
      </c>
      <c r="H27" s="3648">
        <f>SUMIF(90:90,G27,91:91)-SUMIF(90:90,C27,91:91)+100</f>
        <v>100</v>
      </c>
      <c r="I27" s="3647" t="s">
        <v>3214</v>
      </c>
      <c r="J27" s="3648">
        <f>SUMIF(90:90,I27,91:91)-SUMIF(90:90,C27,91:91)+100</f>
        <v>100</v>
      </c>
      <c r="K27" s="3596"/>
      <c r="L27" s="3557"/>
      <c r="M27" s="3558"/>
      <c r="N27" s="3558"/>
      <c r="O27" s="3575"/>
      <c r="P27" s="4178"/>
      <c r="Q27" s="3576" t="str">
        <f t="shared" si="11"/>
        <v>临街道路级别</v>
      </c>
      <c r="R27" s="3559" t="s">
        <v>3035</v>
      </c>
      <c r="S27" s="3560">
        <f>F27</f>
        <v>98</v>
      </c>
      <c r="T27" s="3559" t="s">
        <v>3035</v>
      </c>
      <c r="U27" s="3560">
        <f>H27</f>
        <v>100</v>
      </c>
      <c r="V27" s="3559" t="s">
        <v>3035</v>
      </c>
      <c r="W27" s="3560">
        <f>J27</f>
        <v>100</v>
      </c>
      <c r="X27" s="3561"/>
      <c r="Y27" s="4178"/>
      <c r="Z27" s="3562" t="str">
        <f>Q27</f>
        <v>临街道路级别</v>
      </c>
      <c r="AA27" s="3615">
        <f>D27/F27</f>
        <v>1.0204081632653061</v>
      </c>
      <c r="AB27" s="3615">
        <f>D27/H27</f>
        <v>1</v>
      </c>
      <c r="AC27" s="3615">
        <f>D27/J27</f>
        <v>1</v>
      </c>
    </row>
    <row r="28" spans="1:29" ht="15.75" hidden="1" thickBot="1">
      <c r="A28" s="3616"/>
      <c r="B28" s="3649"/>
      <c r="C28" s="3597"/>
      <c r="D28" s="3598">
        <v>100</v>
      </c>
      <c r="E28" s="3597"/>
      <c r="F28" s="3644">
        <f>SUMIF(92:92,E28,93:93)-SUMIF(92:92,C28,93:93)+100</f>
        <v>100</v>
      </c>
      <c r="G28" s="3597"/>
      <c r="H28" s="3598">
        <f>SUMIF(92:92,G28,93:93)-SUMIF(92:92,C28,93:93)+100</f>
        <v>100</v>
      </c>
      <c r="I28" s="3597"/>
      <c r="J28" s="3598">
        <f>SUMIF(92:92,I28,93:93)-SUMIF(92:92,C28,93:93)+100</f>
        <v>100</v>
      </c>
      <c r="K28" s="3596"/>
      <c r="L28" s="3599"/>
      <c r="M28" s="3543"/>
      <c r="N28" s="3543"/>
      <c r="O28" s="3591"/>
      <c r="P28" s="4178"/>
      <c r="Q28" s="3612">
        <f t="shared" si="11"/>
        <v>0</v>
      </c>
      <c r="R28" s="3613" t="s">
        <v>3035</v>
      </c>
      <c r="S28" s="3614">
        <f t="shared" ref="S28:S46" si="12">F28</f>
        <v>100</v>
      </c>
      <c r="T28" s="3613" t="s">
        <v>3035</v>
      </c>
      <c r="U28" s="3614">
        <f t="shared" ref="U28:U46" si="13">H28</f>
        <v>100</v>
      </c>
      <c r="V28" s="3613" t="s">
        <v>3035</v>
      </c>
      <c r="W28" s="3614">
        <f t="shared" ref="W28:W46" si="14">J28</f>
        <v>100</v>
      </c>
      <c r="X28" s="3544"/>
      <c r="Y28" s="4178"/>
      <c r="Z28" s="3615">
        <f t="shared" ref="Z28:Z46" si="15">Q28</f>
        <v>0</v>
      </c>
      <c r="AA28" s="3615">
        <f t="shared" si="3"/>
        <v>1</v>
      </c>
      <c r="AB28" s="3615">
        <f t="shared" si="4"/>
        <v>1</v>
      </c>
      <c r="AC28" s="3615">
        <f t="shared" si="5"/>
        <v>1</v>
      </c>
    </row>
    <row r="29" spans="1:29" ht="15.75" hidden="1" thickBot="1">
      <c r="A29" s="3616"/>
      <c r="B29" s="3649"/>
      <c r="C29" s="3597"/>
      <c r="D29" s="3598">
        <v>100</v>
      </c>
      <c r="E29" s="3597"/>
      <c r="F29" s="3644">
        <f>SUMIF(94:94,E29,95:95)-SUMIF(94:94,C29,95:95)+100</f>
        <v>100</v>
      </c>
      <c r="G29" s="3597"/>
      <c r="H29" s="3598">
        <f>SUMIF(94:94,G29,95:95)-SUMIF(94:94,C29,95:95)+100</f>
        <v>100</v>
      </c>
      <c r="I29" s="3597"/>
      <c r="J29" s="3598">
        <f>SUMIF(94:94,I29,95:95)-SUMIF(94:94,C29,95:95)+100</f>
        <v>100</v>
      </c>
      <c r="K29" s="3596"/>
      <c r="L29" s="3599"/>
      <c r="M29" s="3543"/>
      <c r="N29" s="3543"/>
      <c r="O29" s="3591"/>
      <c r="P29" s="4178"/>
      <c r="Q29" s="3612">
        <f t="shared" si="11"/>
        <v>0</v>
      </c>
      <c r="R29" s="3613" t="s">
        <v>3216</v>
      </c>
      <c r="S29" s="3614">
        <f t="shared" si="12"/>
        <v>100</v>
      </c>
      <c r="T29" s="3613" t="s">
        <v>3216</v>
      </c>
      <c r="U29" s="3614">
        <f t="shared" si="13"/>
        <v>100</v>
      </c>
      <c r="V29" s="3613" t="s">
        <v>3216</v>
      </c>
      <c r="W29" s="3614">
        <f t="shared" si="14"/>
        <v>100</v>
      </c>
      <c r="X29" s="3544"/>
      <c r="Y29" s="4178"/>
      <c r="Z29" s="3615">
        <f t="shared" si="15"/>
        <v>0</v>
      </c>
      <c r="AA29" s="3615">
        <f t="shared" si="3"/>
        <v>1</v>
      </c>
      <c r="AB29" s="3615">
        <f t="shared" si="4"/>
        <v>1</v>
      </c>
      <c r="AC29" s="3615">
        <f t="shared" si="5"/>
        <v>1</v>
      </c>
    </row>
    <row r="30" spans="1:29" ht="15.75" hidden="1" thickBot="1">
      <c r="A30" s="3616"/>
      <c r="B30" s="3649"/>
      <c r="C30" s="3597"/>
      <c r="D30" s="3598">
        <v>100</v>
      </c>
      <c r="E30" s="3597"/>
      <c r="F30" s="3644">
        <f>SUMIF(96:96,E30,97:97)-SUMIF(96:96,C30,97:97)+100</f>
        <v>100</v>
      </c>
      <c r="G30" s="3597"/>
      <c r="H30" s="3598">
        <f>SUMIF(96:96,G30,97:97)-SUMIF(96:96,C30,97:97)+100</f>
        <v>100</v>
      </c>
      <c r="I30" s="3597"/>
      <c r="J30" s="3598">
        <f>SUMIF(96:96,I30,97:97)-SUMIF(96:96,C30,97:97)+100</f>
        <v>100</v>
      </c>
      <c r="K30" s="3596"/>
      <c r="L30" s="3599"/>
      <c r="M30" s="3543"/>
      <c r="N30" s="3543"/>
      <c r="O30" s="3591"/>
      <c r="P30" s="4178"/>
      <c r="Q30" s="3612">
        <f t="shared" si="11"/>
        <v>0</v>
      </c>
      <c r="R30" s="3613" t="s">
        <v>3216</v>
      </c>
      <c r="S30" s="3614">
        <f t="shared" si="12"/>
        <v>100</v>
      </c>
      <c r="T30" s="3613" t="s">
        <v>3216</v>
      </c>
      <c r="U30" s="3614">
        <f t="shared" si="13"/>
        <v>100</v>
      </c>
      <c r="V30" s="3613" t="s">
        <v>3216</v>
      </c>
      <c r="W30" s="3614">
        <f t="shared" si="14"/>
        <v>100</v>
      </c>
      <c r="X30" s="3544"/>
      <c r="Y30" s="4178"/>
      <c r="Z30" s="3615">
        <f t="shared" si="15"/>
        <v>0</v>
      </c>
      <c r="AA30" s="3615">
        <f t="shared" si="3"/>
        <v>1</v>
      </c>
      <c r="AB30" s="3615">
        <f t="shared" si="4"/>
        <v>1</v>
      </c>
      <c r="AC30" s="3615">
        <f t="shared" si="5"/>
        <v>1</v>
      </c>
    </row>
    <row r="31" spans="1:29" ht="15.75" hidden="1" thickBot="1">
      <c r="A31" s="3650"/>
      <c r="B31" s="3649"/>
      <c r="C31" s="3602"/>
      <c r="D31" s="3603">
        <v>100</v>
      </c>
      <c r="E31" s="3602"/>
      <c r="F31" s="3604">
        <f>SUMIF(98:98,E31,99:99)-SUMIF(98:98,C31,99:99)+100</f>
        <v>100</v>
      </c>
      <c r="G31" s="3602"/>
      <c r="H31" s="3603">
        <f>SUMIF(98:98,G31,99:99)-SUMIF(98:98,C31,99:99)+100</f>
        <v>100</v>
      </c>
      <c r="I31" s="3602"/>
      <c r="J31" s="3603">
        <f>SUMIF(98:98,I31,99:99)-SUMIF(98:98,C31,99:99)+100</f>
        <v>100</v>
      </c>
      <c r="K31" s="3596"/>
      <c r="L31" s="3599"/>
      <c r="M31" s="3543"/>
      <c r="N31" s="3543"/>
      <c r="O31" s="3591"/>
      <c r="P31" s="4178"/>
      <c r="Q31" s="3612">
        <f t="shared" si="11"/>
        <v>0</v>
      </c>
      <c r="R31" s="3613" t="s">
        <v>3216</v>
      </c>
      <c r="S31" s="3614">
        <f t="shared" si="12"/>
        <v>100</v>
      </c>
      <c r="T31" s="3613" t="s">
        <v>3216</v>
      </c>
      <c r="U31" s="3614">
        <f t="shared" si="13"/>
        <v>100</v>
      </c>
      <c r="V31" s="3613" t="s">
        <v>3216</v>
      </c>
      <c r="W31" s="3614">
        <f t="shared" si="14"/>
        <v>100</v>
      </c>
      <c r="X31" s="3544"/>
      <c r="Y31" s="4178"/>
      <c r="Z31" s="3615">
        <f t="shared" si="15"/>
        <v>0</v>
      </c>
      <c r="AA31" s="3615">
        <f t="shared" si="3"/>
        <v>1</v>
      </c>
      <c r="AB31" s="3615">
        <f t="shared" si="4"/>
        <v>1</v>
      </c>
      <c r="AC31" s="3615">
        <f t="shared" si="5"/>
        <v>1</v>
      </c>
    </row>
    <row r="32" spans="1:29" s="3668" customFormat="1" ht="15">
      <c r="A32" s="3651" t="s">
        <v>3080</v>
      </c>
      <c r="B32" s="3652" t="s">
        <v>726</v>
      </c>
      <c r="C32" s="3653" t="s">
        <v>3217</v>
      </c>
      <c r="D32" s="3654">
        <v>100</v>
      </c>
      <c r="E32" s="3655" t="s">
        <v>3217</v>
      </c>
      <c r="F32" s="3656">
        <f>SUMIF(100:100,E32,101:101)-SUMIF(100:100,C32,101:101)+100</f>
        <v>100</v>
      </c>
      <c r="G32" s="3653" t="s">
        <v>3218</v>
      </c>
      <c r="H32" s="3654">
        <f>SUMIF(100:100,G32,101:101)-SUMIF(100:100,C32,101:101)+100</f>
        <v>98</v>
      </c>
      <c r="I32" s="3657" t="s">
        <v>3219</v>
      </c>
      <c r="J32" s="3658">
        <f>SUMIF(100:100,I32,101:101)-SUMIF(100:100,C32,101:101)+100</f>
        <v>96</v>
      </c>
      <c r="K32" s="3659">
        <v>2</v>
      </c>
      <c r="L32" s="3660"/>
      <c r="M32" s="3661"/>
      <c r="N32" s="3661"/>
      <c r="O32" s="3662"/>
      <c r="P32" s="4179" t="s">
        <v>551</v>
      </c>
      <c r="Q32" s="3663" t="str">
        <f t="shared" si="11"/>
        <v>建筑类型</v>
      </c>
      <c r="R32" s="3664" t="s">
        <v>3035</v>
      </c>
      <c r="S32" s="3665">
        <f t="shared" si="12"/>
        <v>100</v>
      </c>
      <c r="T32" s="3664" t="s">
        <v>3035</v>
      </c>
      <c r="U32" s="3665">
        <f t="shared" si="13"/>
        <v>98</v>
      </c>
      <c r="V32" s="3664" t="s">
        <v>3035</v>
      </c>
      <c r="W32" s="3665">
        <f t="shared" si="14"/>
        <v>96</v>
      </c>
      <c r="X32" s="3666"/>
      <c r="Y32" s="4180" t="s">
        <v>551</v>
      </c>
      <c r="Z32" s="3667" t="str">
        <f t="shared" si="15"/>
        <v>建筑类型</v>
      </c>
      <c r="AA32" s="3667">
        <f t="shared" si="3"/>
        <v>1</v>
      </c>
      <c r="AB32" s="3667">
        <f t="shared" si="4"/>
        <v>1.0204081632653061</v>
      </c>
      <c r="AC32" s="3667">
        <f t="shared" si="5"/>
        <v>1.0416666666666667</v>
      </c>
    </row>
    <row r="33" spans="1:29" s="3678" customFormat="1" ht="15">
      <c r="A33" s="3669"/>
      <c r="B33" s="3581" t="s">
        <v>727</v>
      </c>
      <c r="C33" s="3670">
        <f>'[1]数据-汇总表'!E27</f>
        <v>623369</v>
      </c>
      <c r="D33" s="3579">
        <v>100</v>
      </c>
      <c r="E33" s="3589">
        <v>1137099</v>
      </c>
      <c r="F33" s="3581">
        <f>LOOKUP(E33,103:103,104:104)-LOOKUP(C33,103:103,104:104)+100</f>
        <v>100</v>
      </c>
      <c r="G33" s="3588">
        <v>713000</v>
      </c>
      <c r="H33" s="3579">
        <f>LOOKUP(G33,103:103,104:104)-LOOKUP(C33,103:103,104:104)+100</f>
        <v>100</v>
      </c>
      <c r="I33" s="3589">
        <v>546667</v>
      </c>
      <c r="J33" s="3579">
        <f>LOOKUP(I33,103:103,104:104)-LOOKUP(C33,103:103,104:104)+100</f>
        <v>100</v>
      </c>
      <c r="K33" s="3596"/>
      <c r="L33" s="3590"/>
      <c r="M33" s="3671"/>
      <c r="N33" s="3671"/>
      <c r="O33" s="3672"/>
      <c r="P33" s="4180"/>
      <c r="Q33" s="3673" t="str">
        <f t="shared" si="11"/>
        <v>项目建筑规模</v>
      </c>
      <c r="R33" s="3674" t="s">
        <v>3035</v>
      </c>
      <c r="S33" s="3675">
        <f t="shared" si="12"/>
        <v>100</v>
      </c>
      <c r="T33" s="3674" t="s">
        <v>3035</v>
      </c>
      <c r="U33" s="3675">
        <f t="shared" si="13"/>
        <v>100</v>
      </c>
      <c r="V33" s="3674" t="s">
        <v>3035</v>
      </c>
      <c r="W33" s="3675">
        <f t="shared" si="14"/>
        <v>100</v>
      </c>
      <c r="X33" s="3676"/>
      <c r="Y33" s="4180"/>
      <c r="Z33" s="3677" t="str">
        <f t="shared" si="15"/>
        <v>项目建筑规模</v>
      </c>
      <c r="AA33" s="3615">
        <f t="shared" si="3"/>
        <v>1</v>
      </c>
      <c r="AB33" s="3615">
        <f t="shared" si="4"/>
        <v>1</v>
      </c>
      <c r="AC33" s="3615">
        <f t="shared" si="5"/>
        <v>1</v>
      </c>
    </row>
    <row r="34" spans="1:29" ht="15">
      <c r="A34" s="3679"/>
      <c r="B34" s="3581" t="s">
        <v>728</v>
      </c>
      <c r="C34" s="3642" t="s">
        <v>3220</v>
      </c>
      <c r="D34" s="3598">
        <v>100</v>
      </c>
      <c r="E34" s="3643" t="s">
        <v>3220</v>
      </c>
      <c r="F34" s="3644">
        <f>SUMIF(105:105,E34,106:106)-SUMIF(105:105,C34,106:106)+100</f>
        <v>100</v>
      </c>
      <c r="G34" s="3642" t="s">
        <v>3220</v>
      </c>
      <c r="H34" s="3598">
        <f>SUMIF(105:105,G34,106:106)-SUMIF(105:105,C34,106:106)+100</f>
        <v>100</v>
      </c>
      <c r="I34" s="3643" t="s">
        <v>3220</v>
      </c>
      <c r="J34" s="3598">
        <f>SUMIF(105:105,I34,106:106)-SUMIF(105:105,C34,106:106)+100</f>
        <v>100</v>
      </c>
      <c r="K34" s="3582">
        <v>2</v>
      </c>
      <c r="L34" s="3599"/>
      <c r="M34" s="3543"/>
      <c r="N34" s="3543"/>
      <c r="O34" s="3591"/>
      <c r="P34" s="4180"/>
      <c r="Q34" s="3612" t="str">
        <f t="shared" si="11"/>
        <v>建筑结构</v>
      </c>
      <c r="R34" s="3613" t="s">
        <v>3035</v>
      </c>
      <c r="S34" s="3614">
        <f t="shared" si="12"/>
        <v>100</v>
      </c>
      <c r="T34" s="3613" t="s">
        <v>3035</v>
      </c>
      <c r="U34" s="3614">
        <f t="shared" si="13"/>
        <v>100</v>
      </c>
      <c r="V34" s="3613" t="s">
        <v>3035</v>
      </c>
      <c r="W34" s="3614">
        <f t="shared" si="14"/>
        <v>100</v>
      </c>
      <c r="X34" s="3544"/>
      <c r="Y34" s="4180"/>
      <c r="Z34" s="3615" t="str">
        <f t="shared" si="15"/>
        <v>建筑结构</v>
      </c>
      <c r="AA34" s="3615">
        <f t="shared" si="3"/>
        <v>1</v>
      </c>
      <c r="AB34" s="3615">
        <f t="shared" si="4"/>
        <v>1</v>
      </c>
      <c r="AC34" s="3615">
        <f t="shared" si="5"/>
        <v>1</v>
      </c>
    </row>
    <row r="35" spans="1:29" ht="15">
      <c r="A35" s="3679"/>
      <c r="B35" s="3581" t="s">
        <v>729</v>
      </c>
      <c r="C35" s="3642" t="s">
        <v>3221</v>
      </c>
      <c r="D35" s="3598">
        <v>100</v>
      </c>
      <c r="E35" s="3643" t="s">
        <v>3221</v>
      </c>
      <c r="F35" s="3644">
        <f>SUMIF(107:107,E35,108:108)-SUMIF(107:107,C35,108:108)+100</f>
        <v>100</v>
      </c>
      <c r="G35" s="3642" t="s">
        <v>3221</v>
      </c>
      <c r="H35" s="3598">
        <f>SUMIF(107:107,G35,108:108)-SUMIF(107:107,C35,108:108)+100</f>
        <v>100</v>
      </c>
      <c r="I35" s="3643" t="s">
        <v>3222</v>
      </c>
      <c r="J35" s="3598">
        <f>SUMIF(107:107,I35,108:108)-SUMIF(107:107,C35,108:108)+100</f>
        <v>105</v>
      </c>
      <c r="K35" s="3582">
        <v>5</v>
      </c>
      <c r="L35" s="3599"/>
      <c r="M35" s="3543"/>
      <c r="N35" s="3543"/>
      <c r="O35" s="3591"/>
      <c r="P35" s="4180"/>
      <c r="Q35" s="3612" t="str">
        <f t="shared" si="11"/>
        <v>建筑品质</v>
      </c>
      <c r="R35" s="3613" t="s">
        <v>3035</v>
      </c>
      <c r="S35" s="3614">
        <f t="shared" si="12"/>
        <v>100</v>
      </c>
      <c r="T35" s="3613" t="s">
        <v>3035</v>
      </c>
      <c r="U35" s="3614">
        <f t="shared" si="13"/>
        <v>100</v>
      </c>
      <c r="V35" s="3613" t="s">
        <v>3035</v>
      </c>
      <c r="W35" s="3614">
        <f t="shared" si="14"/>
        <v>105</v>
      </c>
      <c r="X35" s="3544"/>
      <c r="Y35" s="4180"/>
      <c r="Z35" s="3615" t="str">
        <f t="shared" si="15"/>
        <v>建筑品质</v>
      </c>
      <c r="AA35" s="3615">
        <f t="shared" si="3"/>
        <v>1</v>
      </c>
      <c r="AB35" s="3615">
        <f t="shared" si="4"/>
        <v>1</v>
      </c>
      <c r="AC35" s="3615">
        <f t="shared" si="5"/>
        <v>0.95238095238095233</v>
      </c>
    </row>
    <row r="36" spans="1:29" ht="15">
      <c r="A36" s="3679"/>
      <c r="B36" s="3581" t="s">
        <v>730</v>
      </c>
      <c r="C36" s="3642" t="s">
        <v>3223</v>
      </c>
      <c r="D36" s="3598">
        <v>100</v>
      </c>
      <c r="E36" s="3643" t="s">
        <v>3223</v>
      </c>
      <c r="F36" s="3644">
        <f>SUMIF(109:109,E36,110:110)-SUMIF(109:109,C36,110:110)+100</f>
        <v>100</v>
      </c>
      <c r="G36" s="3642" t="s">
        <v>3223</v>
      </c>
      <c r="H36" s="3598">
        <f>SUMIF(109:109,G36,110:110)-SUMIF(109:109,C36,110:110)+100</f>
        <v>100</v>
      </c>
      <c r="I36" s="3643" t="s">
        <v>3223</v>
      </c>
      <c r="J36" s="3598">
        <f>SUMIF(109:109,I36,110:110)-SUMIF(109:109,C36,110:110)+100</f>
        <v>100</v>
      </c>
      <c r="K36" s="3582">
        <v>2</v>
      </c>
      <c r="L36" s="3599"/>
      <c r="M36" s="3543"/>
      <c r="N36" s="3543"/>
      <c r="O36" s="3591"/>
      <c r="P36" s="4180"/>
      <c r="Q36" s="3612" t="str">
        <f t="shared" si="11"/>
        <v>公共部分装修</v>
      </c>
      <c r="R36" s="3613" t="s">
        <v>3035</v>
      </c>
      <c r="S36" s="3614">
        <f t="shared" si="12"/>
        <v>100</v>
      </c>
      <c r="T36" s="3613" t="s">
        <v>3035</v>
      </c>
      <c r="U36" s="3614">
        <f t="shared" si="13"/>
        <v>100</v>
      </c>
      <c r="V36" s="3613" t="s">
        <v>3035</v>
      </c>
      <c r="W36" s="3614">
        <f t="shared" si="14"/>
        <v>100</v>
      </c>
      <c r="X36" s="3544"/>
      <c r="Y36" s="4180"/>
      <c r="Z36" s="3615" t="str">
        <f t="shared" si="15"/>
        <v>公共部分装修</v>
      </c>
      <c r="AA36" s="3615">
        <f t="shared" si="3"/>
        <v>1</v>
      </c>
      <c r="AB36" s="3615">
        <f t="shared" si="4"/>
        <v>1</v>
      </c>
      <c r="AC36" s="3615">
        <f t="shared" si="5"/>
        <v>1</v>
      </c>
    </row>
    <row r="37" spans="1:29" s="3563" customFormat="1" ht="15" hidden="1">
      <c r="A37" s="3680"/>
      <c r="B37" s="3581" t="s">
        <v>731</v>
      </c>
      <c r="C37" s="3670">
        <v>1</v>
      </c>
      <c r="D37" s="3579">
        <v>100</v>
      </c>
      <c r="E37" s="3589">
        <v>1</v>
      </c>
      <c r="F37" s="3581">
        <f>LOOKUP(E37,112:112,113:113)-LOOKUP(C37,112:112,113:113)+100</f>
        <v>100</v>
      </c>
      <c r="G37" s="3588">
        <v>1</v>
      </c>
      <c r="H37" s="3579">
        <f>LOOKUP(G37,112:112,113:113)-LOOKUP(C37,112:112,113:113)+100</f>
        <v>100</v>
      </c>
      <c r="I37" s="3589">
        <v>1</v>
      </c>
      <c r="J37" s="3579">
        <f>LOOKUP(I37,112:112,113:113)-LOOKUP(C37,112:112,113:113)+100</f>
        <v>100</v>
      </c>
      <c r="K37" s="3582">
        <v>2</v>
      </c>
      <c r="L37" s="3557"/>
      <c r="M37" s="3558"/>
      <c r="N37" s="3558"/>
      <c r="O37" s="3575"/>
      <c r="P37" s="4180"/>
      <c r="Q37" s="3576" t="str">
        <f t="shared" si="11"/>
        <v>成新度</v>
      </c>
      <c r="R37" s="3559" t="s">
        <v>3035</v>
      </c>
      <c r="S37" s="3560">
        <f t="shared" si="12"/>
        <v>100</v>
      </c>
      <c r="T37" s="3559" t="s">
        <v>3035</v>
      </c>
      <c r="U37" s="3560">
        <f t="shared" si="13"/>
        <v>100</v>
      </c>
      <c r="V37" s="3559" t="s">
        <v>3035</v>
      </c>
      <c r="W37" s="3560">
        <f t="shared" si="14"/>
        <v>100</v>
      </c>
      <c r="X37" s="3561"/>
      <c r="Y37" s="4180"/>
      <c r="Z37" s="3562" t="str">
        <f t="shared" si="15"/>
        <v>成新度</v>
      </c>
      <c r="AA37" s="3562">
        <f t="shared" si="3"/>
        <v>1</v>
      </c>
      <c r="AB37" s="3562">
        <f t="shared" si="4"/>
        <v>1</v>
      </c>
      <c r="AC37" s="3562">
        <f t="shared" si="5"/>
        <v>1</v>
      </c>
    </row>
    <row r="38" spans="1:29" ht="15">
      <c r="A38" s="3679"/>
      <c r="B38" s="3581" t="s">
        <v>732</v>
      </c>
      <c r="C38" s="3642" t="s">
        <v>3224</v>
      </c>
      <c r="D38" s="3598">
        <v>100</v>
      </c>
      <c r="E38" s="3643" t="s">
        <v>3224</v>
      </c>
      <c r="F38" s="3644">
        <f>SUMIF(114:114,E38,115:115)-SUMIF(114:114,C38,115:115)+100</f>
        <v>100</v>
      </c>
      <c r="G38" s="3642" t="s">
        <v>3224</v>
      </c>
      <c r="H38" s="3598">
        <f>SUMIF(114:114,G38,115:115)-SUMIF(114:114,C38,115:115)+100</f>
        <v>100</v>
      </c>
      <c r="I38" s="3643" t="s">
        <v>3224</v>
      </c>
      <c r="J38" s="3598">
        <f>SUMIF(114:114,I38,115:115)-SUMIF(114:114,C38,115:115)+100</f>
        <v>100</v>
      </c>
      <c r="K38" s="3582">
        <v>2</v>
      </c>
      <c r="L38" s="3599"/>
      <c r="M38" s="3543"/>
      <c r="N38" s="3543"/>
      <c r="O38" s="3591"/>
      <c r="P38" s="4180" t="s">
        <v>551</v>
      </c>
      <c r="Q38" s="3612" t="str">
        <f t="shared" si="11"/>
        <v>物业管理</v>
      </c>
      <c r="R38" s="3613" t="s">
        <v>3035</v>
      </c>
      <c r="S38" s="3614">
        <f t="shared" si="12"/>
        <v>100</v>
      </c>
      <c r="T38" s="3613" t="s">
        <v>3035</v>
      </c>
      <c r="U38" s="3614">
        <f t="shared" si="13"/>
        <v>100</v>
      </c>
      <c r="V38" s="3613" t="s">
        <v>3035</v>
      </c>
      <c r="W38" s="3614">
        <f t="shared" si="14"/>
        <v>100</v>
      </c>
      <c r="X38" s="3544"/>
      <c r="Y38" s="4180" t="s">
        <v>551</v>
      </c>
      <c r="Z38" s="3615" t="str">
        <f t="shared" si="15"/>
        <v>物业管理</v>
      </c>
      <c r="AA38" s="3615">
        <f t="shared" si="3"/>
        <v>1</v>
      </c>
      <c r="AB38" s="3615">
        <f t="shared" si="4"/>
        <v>1</v>
      </c>
      <c r="AC38" s="3615">
        <f t="shared" si="5"/>
        <v>1</v>
      </c>
    </row>
    <row r="39" spans="1:29" ht="15" hidden="1">
      <c r="A39" s="3679"/>
      <c r="B39" s="3641" t="s">
        <v>3225</v>
      </c>
      <c r="C39" s="3642"/>
      <c r="D39" s="3598">
        <v>100</v>
      </c>
      <c r="E39" s="3643"/>
      <c r="F39" s="3644">
        <f>SUMIF(116:116,E39,117:117)-SUMIF(116:116,C39,117:117)+100</f>
        <v>100</v>
      </c>
      <c r="G39" s="3642"/>
      <c r="H39" s="3598">
        <f>SUMIF(116:116,G39,117:117)-SUMIF(116:116,C39,117:117)+100</f>
        <v>100</v>
      </c>
      <c r="I39" s="3643"/>
      <c r="J39" s="3598">
        <f>SUMIF(116:116,I39,117:117)-SUMIF(116:116,C39,117:117)+100</f>
        <v>100</v>
      </c>
      <c r="K39" s="3582">
        <v>1</v>
      </c>
      <c r="L39" s="3599"/>
      <c r="M39" s="3543"/>
      <c r="N39" s="3543"/>
      <c r="O39" s="3591"/>
      <c r="P39" s="4180"/>
      <c r="Q39" s="3612" t="str">
        <f t="shared" si="11"/>
        <v>市政基础设施</v>
      </c>
      <c r="R39" s="3613" t="s">
        <v>3035</v>
      </c>
      <c r="S39" s="3614">
        <f t="shared" si="12"/>
        <v>100</v>
      </c>
      <c r="T39" s="3613" t="s">
        <v>3035</v>
      </c>
      <c r="U39" s="3614">
        <f t="shared" si="13"/>
        <v>100</v>
      </c>
      <c r="V39" s="3613" t="s">
        <v>3035</v>
      </c>
      <c r="W39" s="3614">
        <f t="shared" si="14"/>
        <v>100</v>
      </c>
      <c r="X39" s="3544"/>
      <c r="Y39" s="4180"/>
      <c r="Z39" s="3615" t="str">
        <f t="shared" si="15"/>
        <v>市政基础设施</v>
      </c>
      <c r="AA39" s="3615">
        <f t="shared" si="3"/>
        <v>1</v>
      </c>
      <c r="AB39" s="3615">
        <f t="shared" si="4"/>
        <v>1</v>
      </c>
      <c r="AC39" s="3615">
        <f t="shared" si="5"/>
        <v>1</v>
      </c>
    </row>
    <row r="40" spans="1:29" ht="15" hidden="1">
      <c r="A40" s="3679"/>
      <c r="B40" s="3581" t="s">
        <v>733</v>
      </c>
      <c r="C40" s="3642"/>
      <c r="D40" s="3598">
        <v>100</v>
      </c>
      <c r="E40" s="3643"/>
      <c r="F40" s="3644">
        <f>SUMIF(118:118,E40,119:119)-SUMIF(118:118,C40,119:119)+100</f>
        <v>100</v>
      </c>
      <c r="G40" s="3642"/>
      <c r="H40" s="3598">
        <f>SUMIF(118:118,G40,119:119)-SUMIF(118:118,C40,119:119)+100</f>
        <v>100</v>
      </c>
      <c r="I40" s="3643"/>
      <c r="J40" s="3598">
        <f>SUMIF(118:118,I40,119:119)-SUMIF(118:118,C40,119:119)+100</f>
        <v>100</v>
      </c>
      <c r="K40" s="3582"/>
      <c r="L40" s="3599"/>
      <c r="M40" s="3543"/>
      <c r="N40" s="3543"/>
      <c r="O40" s="3591"/>
      <c r="P40" s="4180"/>
      <c r="Q40" s="3612" t="str">
        <f t="shared" si="11"/>
        <v>房型</v>
      </c>
      <c r="R40" s="3613" t="s">
        <v>3035</v>
      </c>
      <c r="S40" s="3614">
        <f t="shared" si="12"/>
        <v>100</v>
      </c>
      <c r="T40" s="3613" t="s">
        <v>3035</v>
      </c>
      <c r="U40" s="3614">
        <f t="shared" si="13"/>
        <v>100</v>
      </c>
      <c r="V40" s="3613" t="s">
        <v>3035</v>
      </c>
      <c r="W40" s="3614">
        <f t="shared" si="14"/>
        <v>100</v>
      </c>
      <c r="X40" s="3544"/>
      <c r="Y40" s="4180"/>
      <c r="Z40" s="3615" t="str">
        <f t="shared" si="15"/>
        <v>房型</v>
      </c>
      <c r="AA40" s="3615">
        <f t="shared" si="3"/>
        <v>1</v>
      </c>
      <c r="AB40" s="3615">
        <f t="shared" si="4"/>
        <v>1</v>
      </c>
      <c r="AC40" s="3615">
        <f t="shared" si="5"/>
        <v>1</v>
      </c>
    </row>
    <row r="41" spans="1:29" s="3678" customFormat="1" ht="28.5" hidden="1">
      <c r="A41" s="3669"/>
      <c r="B41" s="3581" t="s">
        <v>734</v>
      </c>
      <c r="C41" s="3670"/>
      <c r="D41" s="3579">
        <v>100</v>
      </c>
      <c r="E41" s="3589"/>
      <c r="F41" s="3581">
        <f>SUMIF(120:120,E41,121:121)-SUMIF(120:120,C41,121:121)+100</f>
        <v>100</v>
      </c>
      <c r="G41" s="3588"/>
      <c r="H41" s="3579">
        <f>SUMIF(120:120,G41,121:121)-SUMIF(120:120,C41,121:121)+100</f>
        <v>100</v>
      </c>
      <c r="I41" s="3681"/>
      <c r="J41" s="3598">
        <f>SUMIF(120:120,I41,121:121)-SUMIF(120:120,C41,121:121)+100</f>
        <v>100</v>
      </c>
      <c r="K41" s="3596"/>
      <c r="L41" s="3590"/>
      <c r="M41" s="3671"/>
      <c r="N41" s="3671"/>
      <c r="O41" s="3672"/>
      <c r="P41" s="4180"/>
      <c r="Q41" s="3673" t="str">
        <f t="shared" si="11"/>
        <v>单套/主力户型建筑面积</v>
      </c>
      <c r="R41" s="3674" t="s">
        <v>3035</v>
      </c>
      <c r="S41" s="3675">
        <f t="shared" si="12"/>
        <v>100</v>
      </c>
      <c r="T41" s="3674" t="s">
        <v>3035</v>
      </c>
      <c r="U41" s="3675">
        <f t="shared" si="13"/>
        <v>100</v>
      </c>
      <c r="V41" s="3674" t="s">
        <v>3035</v>
      </c>
      <c r="W41" s="3675">
        <f t="shared" si="14"/>
        <v>100</v>
      </c>
      <c r="X41" s="3676"/>
      <c r="Y41" s="4180"/>
      <c r="Z41" s="3677" t="str">
        <f t="shared" si="15"/>
        <v>单套/主力户型建筑面积</v>
      </c>
      <c r="AA41" s="3615">
        <f t="shared" si="3"/>
        <v>1</v>
      </c>
      <c r="AB41" s="3615">
        <f t="shared" si="4"/>
        <v>1</v>
      </c>
      <c r="AC41" s="3615">
        <f t="shared" si="5"/>
        <v>1</v>
      </c>
    </row>
    <row r="42" spans="1:29" ht="15.75" thickBot="1">
      <c r="A42" s="3679"/>
      <c r="B42" s="3581" t="s">
        <v>735</v>
      </c>
      <c r="C42" s="3642" t="s">
        <v>3223</v>
      </c>
      <c r="D42" s="3598">
        <v>100</v>
      </c>
      <c r="E42" s="3643" t="s">
        <v>3226</v>
      </c>
      <c r="F42" s="3644">
        <f>SUMIF(122:122,E42,123:123)-SUMIF(122:122,C42,123:123)+100</f>
        <v>94</v>
      </c>
      <c r="G42" s="3642" t="s">
        <v>3223</v>
      </c>
      <c r="H42" s="3598">
        <f>SUMIF(122:122,G42,123:123)-SUMIF(122:122,C42,123:123)+100</f>
        <v>100</v>
      </c>
      <c r="I42" s="3643" t="s">
        <v>3226</v>
      </c>
      <c r="J42" s="3598">
        <f>SUMIF(122:122,I42,123:123)-SUMIF(122:122,C42,123:123)+100</f>
        <v>94</v>
      </c>
      <c r="K42" s="3582">
        <v>2</v>
      </c>
      <c r="L42" s="3599"/>
      <c r="M42" s="3543"/>
      <c r="N42" s="3543"/>
      <c r="O42" s="3591"/>
      <c r="P42" s="4180"/>
      <c r="Q42" s="3612" t="str">
        <f t="shared" si="11"/>
        <v>内部装修</v>
      </c>
      <c r="R42" s="3613" t="s">
        <v>3077</v>
      </c>
      <c r="S42" s="3614">
        <f t="shared" si="12"/>
        <v>94</v>
      </c>
      <c r="T42" s="3613" t="s">
        <v>3077</v>
      </c>
      <c r="U42" s="3614">
        <f t="shared" si="13"/>
        <v>100</v>
      </c>
      <c r="V42" s="3613" t="s">
        <v>3077</v>
      </c>
      <c r="W42" s="3614">
        <f t="shared" si="14"/>
        <v>94</v>
      </c>
      <c r="X42" s="3544"/>
      <c r="Y42" s="4180"/>
      <c r="Z42" s="3615" t="str">
        <f t="shared" si="15"/>
        <v>内部装修</v>
      </c>
      <c r="AA42" s="3615">
        <f t="shared" si="3"/>
        <v>1.0638297872340425</v>
      </c>
      <c r="AB42" s="3615">
        <f t="shared" si="4"/>
        <v>1</v>
      </c>
      <c r="AC42" s="3615">
        <f t="shared" si="5"/>
        <v>1.0638297872340425</v>
      </c>
    </row>
    <row r="43" spans="1:29" ht="27.75" hidden="1" thickBot="1">
      <c r="A43" s="3679"/>
      <c r="B43" s="3581" t="s">
        <v>736</v>
      </c>
      <c r="C43" s="3642"/>
      <c r="D43" s="3598">
        <v>100</v>
      </c>
      <c r="E43" s="3643"/>
      <c r="F43" s="3644">
        <f>SUMIF(124:124,E43,125:125)-SUMIF(124:124,C43,125:125)+100</f>
        <v>100</v>
      </c>
      <c r="G43" s="3642"/>
      <c r="H43" s="3598">
        <f>SUMIF(124:124,G43,125:125)-SUMIF(124:124,C43,125:125)+100</f>
        <v>100</v>
      </c>
      <c r="I43" s="3643"/>
      <c r="J43" s="3598">
        <f>SUMIF(124:124,I43,125:125)-SUMIF(124:124,C43,125:125)+100</f>
        <v>100</v>
      </c>
      <c r="K43" s="3582"/>
      <c r="L43" s="3599"/>
      <c r="M43" s="3543"/>
      <c r="N43" s="3543"/>
      <c r="O43" s="3591"/>
      <c r="P43" s="4180"/>
      <c r="Q43" s="3612" t="str">
        <f t="shared" si="11"/>
        <v>内部装修维护情况</v>
      </c>
      <c r="R43" s="3613" t="s">
        <v>3035</v>
      </c>
      <c r="S43" s="3614">
        <f t="shared" si="12"/>
        <v>100</v>
      </c>
      <c r="T43" s="3613" t="s">
        <v>3035</v>
      </c>
      <c r="U43" s="3614">
        <f t="shared" si="13"/>
        <v>100</v>
      </c>
      <c r="V43" s="3613" t="s">
        <v>3035</v>
      </c>
      <c r="W43" s="3614">
        <f t="shared" si="14"/>
        <v>100</v>
      </c>
      <c r="X43" s="3544"/>
      <c r="Y43" s="4180"/>
      <c r="Z43" s="3615" t="str">
        <f t="shared" si="15"/>
        <v>内部装修维护情况</v>
      </c>
      <c r="AA43" s="3615">
        <f t="shared" si="3"/>
        <v>1</v>
      </c>
      <c r="AB43" s="3615">
        <f t="shared" si="4"/>
        <v>1</v>
      </c>
      <c r="AC43" s="3615">
        <f t="shared" si="5"/>
        <v>1</v>
      </c>
    </row>
    <row r="44" spans="1:29" s="3563" customFormat="1" ht="15.75" hidden="1" thickBot="1">
      <c r="A44" s="3680"/>
      <c r="B44" s="3649"/>
      <c r="C44" s="3670"/>
      <c r="D44" s="3579">
        <v>100</v>
      </c>
      <c r="E44" s="3670"/>
      <c r="F44" s="3581">
        <f>SUMIF(126:126,E44,127:127)-SUMIF(126:126,C44,127:127)+100</f>
        <v>100</v>
      </c>
      <c r="G44" s="3670"/>
      <c r="H44" s="3579">
        <f>SUMIF(126:126,G44,127:127)-SUMIF(126:126,C44,127:127)+100</f>
        <v>100</v>
      </c>
      <c r="I44" s="3670"/>
      <c r="J44" s="3579">
        <f>SUMIF(126:126,I44,127:127)-SUMIF(126:126,C44,127:127)+100</f>
        <v>100</v>
      </c>
      <c r="K44" s="3596"/>
      <c r="L44" s="3557"/>
      <c r="M44" s="3558"/>
      <c r="N44" s="3558"/>
      <c r="O44" s="3575"/>
      <c r="P44" s="4180"/>
      <c r="Q44" s="3576">
        <f t="shared" si="11"/>
        <v>0</v>
      </c>
      <c r="R44" s="3559" t="s">
        <v>3035</v>
      </c>
      <c r="S44" s="3560">
        <f t="shared" si="12"/>
        <v>100</v>
      </c>
      <c r="T44" s="3559" t="s">
        <v>3035</v>
      </c>
      <c r="U44" s="3560">
        <f t="shared" si="13"/>
        <v>100</v>
      </c>
      <c r="V44" s="3559" t="s">
        <v>3035</v>
      </c>
      <c r="W44" s="3560">
        <f t="shared" si="14"/>
        <v>100</v>
      </c>
      <c r="X44" s="3561"/>
      <c r="Y44" s="4180"/>
      <c r="Z44" s="3562">
        <f t="shared" si="15"/>
        <v>0</v>
      </c>
      <c r="AA44" s="3562">
        <f t="shared" si="3"/>
        <v>1</v>
      </c>
      <c r="AB44" s="3562">
        <f t="shared" si="4"/>
        <v>1</v>
      </c>
      <c r="AC44" s="3562">
        <f t="shared" si="5"/>
        <v>1</v>
      </c>
    </row>
    <row r="45" spans="1:29" ht="15.75" hidden="1" thickBot="1">
      <c r="A45" s="3679"/>
      <c r="B45" s="3649"/>
      <c r="C45" s="3597"/>
      <c r="D45" s="3598">
        <v>100</v>
      </c>
      <c r="E45" s="3597"/>
      <c r="F45" s="3644">
        <f>SUMIF(128:128,E45,129:129)-SUMIF(128:128,C45,129:129)+100</f>
        <v>100</v>
      </c>
      <c r="G45" s="3597"/>
      <c r="H45" s="3598">
        <f>SUMIF(128:128,G45,129:129)-SUMIF(128:128,C45,129:129)+100</f>
        <v>100</v>
      </c>
      <c r="I45" s="3597"/>
      <c r="J45" s="3598">
        <f>SUMIF(128:128,I45,129:129)-SUMIF(128:128,C45,129:129)+100</f>
        <v>100</v>
      </c>
      <c r="K45" s="3596"/>
      <c r="L45" s="3599"/>
      <c r="M45" s="3543"/>
      <c r="N45" s="3543"/>
      <c r="O45" s="3591"/>
      <c r="P45" s="4180"/>
      <c r="Q45" s="3612">
        <f t="shared" si="11"/>
        <v>0</v>
      </c>
      <c r="R45" s="3613" t="s">
        <v>3035</v>
      </c>
      <c r="S45" s="3614">
        <f t="shared" si="12"/>
        <v>100</v>
      </c>
      <c r="T45" s="3613" t="s">
        <v>3035</v>
      </c>
      <c r="U45" s="3614">
        <f t="shared" si="13"/>
        <v>100</v>
      </c>
      <c r="V45" s="3613" t="s">
        <v>3035</v>
      </c>
      <c r="W45" s="3614">
        <f t="shared" si="14"/>
        <v>100</v>
      </c>
      <c r="X45" s="3544"/>
      <c r="Y45" s="4180"/>
      <c r="Z45" s="3615">
        <f t="shared" si="15"/>
        <v>0</v>
      </c>
      <c r="AA45" s="3615">
        <f t="shared" si="3"/>
        <v>1</v>
      </c>
      <c r="AB45" s="3615">
        <f t="shared" si="4"/>
        <v>1</v>
      </c>
      <c r="AC45" s="3615">
        <f t="shared" si="5"/>
        <v>1</v>
      </c>
    </row>
    <row r="46" spans="1:29" ht="15.75" hidden="1" thickBot="1">
      <c r="A46" s="3682"/>
      <c r="B46" s="3683"/>
      <c r="C46" s="3602"/>
      <c r="D46" s="3603">
        <v>100</v>
      </c>
      <c r="E46" s="3602"/>
      <c r="F46" s="3604">
        <f>SUMIF(130:130,E46,131:131)-SUMIF(130:130,C46,131:131)+100</f>
        <v>100</v>
      </c>
      <c r="G46" s="3602"/>
      <c r="H46" s="3603">
        <f>SUMIF(130:130,G46,131:131)-SUMIF(130:130,C46,131:131)+100</f>
        <v>100</v>
      </c>
      <c r="I46" s="3602"/>
      <c r="J46" s="3603">
        <f>SUMIF(130:130,I46,131:131)-SUMIF(130:130,C46,131:131)+100</f>
        <v>100</v>
      </c>
      <c r="K46" s="3596"/>
      <c r="L46" s="3599"/>
      <c r="M46" s="3543"/>
      <c r="N46" s="3543"/>
      <c r="O46" s="3591"/>
      <c r="P46" s="4181"/>
      <c r="Q46" s="3612">
        <f t="shared" si="11"/>
        <v>0</v>
      </c>
      <c r="R46" s="3613" t="s">
        <v>3035</v>
      </c>
      <c r="S46" s="3614">
        <f t="shared" si="12"/>
        <v>100</v>
      </c>
      <c r="T46" s="3613" t="s">
        <v>3035</v>
      </c>
      <c r="U46" s="3614">
        <f t="shared" si="13"/>
        <v>100</v>
      </c>
      <c r="V46" s="3613" t="s">
        <v>3035</v>
      </c>
      <c r="W46" s="3614">
        <f t="shared" si="14"/>
        <v>100</v>
      </c>
      <c r="X46" s="3544"/>
      <c r="Y46" s="4181"/>
      <c r="Z46" s="3615">
        <f t="shared" si="15"/>
        <v>0</v>
      </c>
      <c r="AA46" s="3615">
        <f t="shared" si="3"/>
        <v>1</v>
      </c>
      <c r="AB46" s="3615">
        <f t="shared" si="4"/>
        <v>1</v>
      </c>
      <c r="AC46" s="3615">
        <f t="shared" si="5"/>
        <v>1</v>
      </c>
    </row>
    <row r="47" spans="1:29" ht="15">
      <c r="A47" s="3684" t="s">
        <v>737</v>
      </c>
      <c r="B47" s="3685"/>
      <c r="C47" s="3686" t="s">
        <v>1766</v>
      </c>
      <c r="D47" s="3687"/>
      <c r="E47" s="3688">
        <v>7000</v>
      </c>
      <c r="F47" s="3689"/>
      <c r="G47" s="3690">
        <v>8600</v>
      </c>
      <c r="H47" s="3691"/>
      <c r="I47" s="3688">
        <v>8200</v>
      </c>
      <c r="J47" s="3691"/>
      <c r="K47" s="3692"/>
      <c r="L47" s="3693"/>
      <c r="M47" s="3694"/>
      <c r="N47" s="3543"/>
      <c r="O47" s="3694"/>
      <c r="P47" s="4175" t="str">
        <f>A47</f>
        <v>成交单价（元/平方米）</v>
      </c>
      <c r="Q47" s="4175"/>
      <c r="R47" s="4171">
        <f>E47</f>
        <v>7000</v>
      </c>
      <c r="S47" s="4171"/>
      <c r="T47" s="4171">
        <f>G47</f>
        <v>8600</v>
      </c>
      <c r="U47" s="4171"/>
      <c r="V47" s="4171">
        <f>I47</f>
        <v>8200</v>
      </c>
      <c r="W47" s="4171"/>
      <c r="X47" s="3695"/>
      <c r="Y47" s="3696"/>
      <c r="Z47" s="3695"/>
      <c r="AA47" s="3695"/>
      <c r="AB47" s="3695"/>
      <c r="AC47" s="3695"/>
    </row>
    <row r="48" spans="1:29" ht="15.75" thickBot="1">
      <c r="A48" s="3697" t="s">
        <v>2701</v>
      </c>
      <c r="B48" s="3698"/>
      <c r="C48" s="3699">
        <f>R49</f>
        <v>8173</v>
      </c>
      <c r="D48" s="3700"/>
      <c r="E48" s="3701">
        <f>R48</f>
        <v>7599</v>
      </c>
      <c r="F48" s="3701"/>
      <c r="G48" s="3699">
        <f>T48</f>
        <v>8603</v>
      </c>
      <c r="H48" s="3700"/>
      <c r="I48" s="3701">
        <f>V48</f>
        <v>8318</v>
      </c>
      <c r="J48" s="3700"/>
      <c r="K48" s="3702"/>
      <c r="L48" s="3693"/>
      <c r="M48" s="3694"/>
      <c r="N48" s="3694"/>
      <c r="O48" s="3694"/>
      <c r="P48" s="4175" t="str">
        <f>A48</f>
        <v>比较价格（元/平方米）</v>
      </c>
      <c r="Q48" s="4175"/>
      <c r="R48" s="4171">
        <f>IF(F1="售价",ROUND(PRODUCT(R47,AA7:AA46),0),ROUND(PRODUCT(R47,AA7:AA46),1))</f>
        <v>7599</v>
      </c>
      <c r="S48" s="4171"/>
      <c r="T48" s="4171">
        <f>IF(F1="售价",ROUND(PRODUCT(T47,AB7:AB46),0),ROUND(PRODUCT(T47,AB7:AB46),1))</f>
        <v>8603</v>
      </c>
      <c r="U48" s="4171"/>
      <c r="V48" s="4171">
        <f>IF(F1="售价",ROUND(PRODUCT(V47,AC7:AC46),0),ROUND(PRODUCT(V47,AC7:AC46),1))</f>
        <v>8318</v>
      </c>
      <c r="W48" s="4171"/>
      <c r="X48" s="3695"/>
      <c r="Y48" s="3695"/>
      <c r="Z48" s="3695"/>
      <c r="AA48" s="3695"/>
      <c r="AB48" s="3695"/>
      <c r="AC48" s="3695"/>
    </row>
    <row r="49" spans="1:29" ht="15.75" thickBot="1">
      <c r="A49" s="3703" t="s">
        <v>3227</v>
      </c>
      <c r="B49" s="3704"/>
      <c r="C49" s="3550">
        <f>R49</f>
        <v>8173</v>
      </c>
      <c r="D49" s="3550"/>
      <c r="E49" s="3550"/>
      <c r="F49" s="3550"/>
      <c r="G49" s="3550"/>
      <c r="H49" s="3550"/>
      <c r="I49" s="3550"/>
      <c r="J49" s="3550"/>
      <c r="K49" s="3603"/>
      <c r="L49" s="3693"/>
      <c r="M49" s="3694"/>
      <c r="N49" s="3694"/>
      <c r="O49" s="3694"/>
      <c r="P49" s="4182" t="str">
        <f>A49</f>
        <v>估价对象住宅用房的比较价格（楼面单价，元/平方米）</v>
      </c>
      <c r="Q49" s="4183"/>
      <c r="R49" s="4184">
        <f>IF(F1="售价",ROUND(AVERAGE(R48:V48),0),ROUND(AVERAGE(R48:V48),1))</f>
        <v>8173</v>
      </c>
      <c r="S49" s="4184"/>
      <c r="T49" s="4184"/>
      <c r="U49" s="4184"/>
      <c r="V49" s="4184"/>
      <c r="W49" s="4184"/>
      <c r="X49" s="3695"/>
      <c r="Y49" s="3695"/>
      <c r="Z49" s="3695"/>
      <c r="AA49" s="3695"/>
      <c r="AB49" s="3695"/>
      <c r="AC49" s="3695"/>
    </row>
    <row r="50" spans="1:29">
      <c r="A50" s="3694"/>
      <c r="B50" s="3694"/>
      <c r="C50" s="3694"/>
      <c r="D50" s="3694"/>
      <c r="E50" s="3694"/>
      <c r="F50" s="3694"/>
      <c r="G50" s="3694"/>
      <c r="H50" s="3694"/>
      <c r="I50" s="3694"/>
      <c r="J50" s="3694"/>
      <c r="K50" s="3694"/>
      <c r="L50" s="3694"/>
      <c r="M50" s="3694"/>
      <c r="N50" s="3694"/>
      <c r="O50" s="3694"/>
      <c r="P50" s="3694"/>
      <c r="Q50" s="3694"/>
      <c r="R50" s="3694"/>
      <c r="S50" s="3694"/>
      <c r="T50" s="3694"/>
      <c r="U50" s="3694"/>
      <c r="V50" s="3694"/>
      <c r="W50" s="3694"/>
      <c r="X50" s="3694"/>
      <c r="Y50" s="3694"/>
      <c r="Z50" s="3694"/>
      <c r="AA50" s="3694"/>
      <c r="AB50" s="3694"/>
      <c r="AC50" s="3694"/>
    </row>
    <row r="51" spans="1:29">
      <c r="A51" s="3694"/>
      <c r="B51" s="3694"/>
      <c r="C51" s="3694"/>
      <c r="D51" s="3694"/>
      <c r="E51" s="3694"/>
      <c r="F51" s="3694"/>
      <c r="G51" s="3694"/>
      <c r="H51" s="3694"/>
      <c r="I51" s="3694"/>
      <c r="J51" s="3694"/>
      <c r="K51" s="3694"/>
      <c r="L51" s="3694"/>
      <c r="M51" s="3694"/>
      <c r="N51" s="3694"/>
      <c r="O51" s="3694"/>
      <c r="P51" s="3694"/>
      <c r="Q51" s="3694"/>
      <c r="R51" s="3694"/>
      <c r="S51" s="3694"/>
      <c r="T51" s="3694"/>
      <c r="U51" s="3694"/>
      <c r="V51" s="3694"/>
      <c r="W51" s="3694"/>
      <c r="X51" s="3694"/>
      <c r="Y51" s="3694"/>
      <c r="Z51" s="3694"/>
      <c r="AA51" s="3694"/>
      <c r="AB51" s="3694"/>
      <c r="AC51" s="3694"/>
    </row>
    <row r="52" spans="1:29" ht="13.5" customHeight="1">
      <c r="A52" s="3694"/>
      <c r="B52" s="3694"/>
      <c r="C52" s="3705" t="s">
        <v>558</v>
      </c>
      <c r="D52" s="3706"/>
      <c r="E52" s="3613">
        <f>IF(E47&lt;E48,E48/E47-1,E47/E48-1)</f>
        <v>8.5571428571428632E-2</v>
      </c>
      <c r="F52" s="3707" t="str">
        <f>IF(OR(E52&gt;=0.3,E52&lt;=-0.3),"超过30%","")</f>
        <v/>
      </c>
      <c r="G52" s="3613">
        <f>IF(G47&lt;G48,G48/G47-1,G47/G48-1)</f>
        <v>3.4883720930234396E-4</v>
      </c>
      <c r="H52" s="3707" t="str">
        <f>IF(OR(G52&gt;=0.3,G52&lt;=-0.3),"超过30%","")</f>
        <v/>
      </c>
      <c r="I52" s="3613">
        <f>IF(I47&lt;I48,I48/I47-1,I47/I48-1)</f>
        <v>1.4390243902439037E-2</v>
      </c>
      <c r="J52" s="3707" t="str">
        <f>IF(OR(I52&gt;=0.3,I52&lt;=-0.3),"超过30%","")</f>
        <v/>
      </c>
      <c r="K52" s="3694"/>
      <c r="L52" s="3694"/>
      <c r="M52" s="3694"/>
      <c r="N52" s="3694"/>
      <c r="O52" s="3694"/>
      <c r="P52" s="3694"/>
      <c r="Q52" s="3694"/>
      <c r="R52" s="3694"/>
      <c r="S52" s="3694"/>
      <c r="T52" s="3694"/>
      <c r="U52" s="3694"/>
      <c r="V52" s="3694"/>
      <c r="W52" s="3694"/>
      <c r="X52" s="3694"/>
      <c r="Y52" s="3694"/>
      <c r="Z52" s="3694"/>
      <c r="AA52" s="3694"/>
      <c r="AB52" s="3694"/>
      <c r="AC52" s="3694"/>
    </row>
    <row r="53" spans="1:29" ht="13.5" customHeight="1">
      <c r="A53" s="3694"/>
      <c r="B53" s="3694"/>
      <c r="C53" s="3705" t="s">
        <v>559</v>
      </c>
      <c r="D53" s="3708"/>
      <c r="E53" s="3613">
        <f>IF(E48&lt;G48,G48/E48-1,E48/G48-1)</f>
        <v>0.13212264771680493</v>
      </c>
      <c r="F53" s="3707" t="str">
        <f>IF(OR(E53&gt;=0.2,E53&lt;=-0.2),"超过20%","")</f>
        <v/>
      </c>
      <c r="G53" s="3613">
        <f>IF(G48&lt;I48,I48/G48-1,G48/I48-1)</f>
        <v>3.4263044000961695E-2</v>
      </c>
      <c r="H53" s="3707" t="str">
        <f>IF(OR(G53&gt;=0.2,G53&lt;=-0.2),"超过20%","")</f>
        <v/>
      </c>
      <c r="I53" s="3613">
        <f>IF(I48&lt;E48,E48/I48-1,I48/E48-1)</f>
        <v>9.4617712856954972E-2</v>
      </c>
      <c r="J53" s="3707" t="str">
        <f>IF(OR(I53&gt;=0.2,I53&lt;=-0.2),"超过20%","")</f>
        <v/>
      </c>
      <c r="K53" s="3694"/>
      <c r="L53" s="3694"/>
      <c r="M53" s="3694"/>
      <c r="N53" s="3694"/>
      <c r="O53" s="3694"/>
      <c r="P53" s="3694"/>
      <c r="Q53" s="3694"/>
      <c r="R53" s="3694"/>
      <c r="S53" s="3694"/>
      <c r="T53" s="3694"/>
      <c r="U53" s="3694"/>
      <c r="V53" s="3694"/>
      <c r="W53" s="3694"/>
      <c r="X53" s="3694"/>
      <c r="Y53" s="3694"/>
      <c r="Z53" s="3694"/>
      <c r="AA53" s="3694"/>
      <c r="AB53" s="3694"/>
      <c r="AC53" s="3694"/>
    </row>
    <row r="54" spans="1:29" s="3710" customFormat="1" ht="13.5" customHeight="1">
      <c r="A54" s="3709"/>
      <c r="B54" s="3709"/>
      <c r="C54" s="3705" t="s">
        <v>560</v>
      </c>
      <c r="D54" s="3708"/>
      <c r="E54" s="3613">
        <f>IF(E47&lt;G47,G47/E47-1,E47/G47-1)</f>
        <v>0.22857142857142865</v>
      </c>
      <c r="F54" s="3707" t="str">
        <f>IF(OR(E54&gt;=0.3,E54&lt;=-0.3),"超过30%","")</f>
        <v/>
      </c>
      <c r="G54" s="3613">
        <f>IF(G47&lt;I47,I47/G47-1,G47/I47-1)</f>
        <v>4.8780487804878092E-2</v>
      </c>
      <c r="H54" s="3707" t="str">
        <f>IF(OR(G54&gt;=0.3,G54&lt;=-0.3),"超过30%","")</f>
        <v/>
      </c>
      <c r="I54" s="3613">
        <f>IF(I47&lt;E47,E47/I47-1,I47/E47-1)</f>
        <v>0.17142857142857149</v>
      </c>
      <c r="J54" s="3707" t="str">
        <f>IF(OR(I54&gt;=0.3,I54&lt;=-0.3),"超过30%","")</f>
        <v/>
      </c>
      <c r="K54" s="3709"/>
      <c r="L54" s="3709"/>
      <c r="M54" s="3709"/>
      <c r="N54" s="3709"/>
      <c r="O54" s="3709"/>
      <c r="P54" s="3709"/>
      <c r="Q54" s="3709"/>
      <c r="R54" s="3709"/>
      <c r="S54" s="3709"/>
      <c r="T54" s="3709"/>
      <c r="U54" s="3709"/>
      <c r="V54" s="3709"/>
      <c r="W54" s="3709"/>
      <c r="X54" s="3709"/>
      <c r="Y54" s="3709"/>
      <c r="Z54" s="3709"/>
      <c r="AA54" s="3709"/>
      <c r="AB54" s="3709"/>
      <c r="AC54" s="3709"/>
    </row>
    <row r="55" spans="1:29" s="3710" customFormat="1">
      <c r="A55" s="3709"/>
      <c r="B55" s="3694"/>
      <c r="C55" s="3694"/>
      <c r="D55" s="3709"/>
      <c r="E55" s="3709"/>
      <c r="F55" s="3709"/>
      <c r="G55" s="3709"/>
      <c r="H55" s="3709"/>
      <c r="I55" s="3709"/>
      <c r="J55" s="3709"/>
      <c r="K55" s="3709"/>
      <c r="L55" s="3709"/>
      <c r="M55" s="3709"/>
      <c r="N55" s="3709"/>
      <c r="O55" s="3709"/>
      <c r="P55" s="3709"/>
      <c r="Q55" s="3709"/>
      <c r="R55" s="3709"/>
      <c r="S55" s="3709"/>
      <c r="T55" s="3709"/>
      <c r="U55" s="3709"/>
      <c r="V55" s="3709"/>
      <c r="W55" s="3709"/>
      <c r="X55" s="3709"/>
      <c r="Y55" s="3709"/>
      <c r="Z55" s="3709"/>
      <c r="AA55" s="3709"/>
      <c r="AB55" s="3709"/>
      <c r="AC55" s="3709"/>
    </row>
    <row r="56" spans="1:29">
      <c r="A56" s="3694"/>
      <c r="B56" s="3694"/>
      <c r="C56" s="3694"/>
      <c r="D56" s="3694"/>
      <c r="E56" s="3694"/>
      <c r="F56" s="3694"/>
      <c r="G56" s="3694"/>
      <c r="H56" s="3694"/>
      <c r="I56" s="3694"/>
      <c r="J56" s="3694"/>
      <c r="K56" s="3694"/>
      <c r="L56" s="3694"/>
      <c r="M56" s="3694"/>
      <c r="N56" s="3694"/>
      <c r="O56" s="3694"/>
      <c r="P56" s="3694"/>
      <c r="Q56" s="3694"/>
      <c r="R56" s="3694"/>
      <c r="S56" s="3694"/>
      <c r="T56" s="3694"/>
      <c r="U56" s="3694"/>
      <c r="V56" s="3694"/>
      <c r="W56" s="3694"/>
      <c r="X56" s="3694"/>
      <c r="Y56" s="3694"/>
      <c r="Z56" s="3694"/>
      <c r="AA56" s="3694"/>
      <c r="AB56" s="3694"/>
      <c r="AC56" s="3694"/>
    </row>
    <row r="57" spans="1:29" ht="21.75" thickBot="1">
      <c r="A57" s="3711" t="s">
        <v>575</v>
      </c>
      <c r="B57" s="3695"/>
      <c r="C57" s="3712"/>
      <c r="D57" s="3712"/>
      <c r="E57" s="3712"/>
      <c r="F57" s="3713"/>
      <c r="G57" s="3713"/>
      <c r="H57" s="3712"/>
      <c r="I57" s="3712"/>
      <c r="J57" s="3712"/>
      <c r="K57" s="3713"/>
      <c r="L57" s="3712"/>
      <c r="M57" s="3712"/>
      <c r="N57" s="3712"/>
      <c r="O57" s="3712"/>
      <c r="P57" s="3714"/>
      <c r="Q57" s="3557"/>
      <c r="R57" s="3694"/>
      <c r="S57" s="3694"/>
      <c r="T57" s="3694"/>
      <c r="U57" s="3694"/>
      <c r="V57" s="3694"/>
      <c r="W57" s="3694"/>
      <c r="X57" s="3694"/>
      <c r="Y57" s="3694"/>
      <c r="Z57" s="3694"/>
      <c r="AA57" s="3694"/>
      <c r="AB57" s="3694"/>
      <c r="AC57" s="3694"/>
    </row>
    <row r="58" spans="1:29" s="3563" customFormat="1" ht="15">
      <c r="A58" s="3715" t="s">
        <v>530</v>
      </c>
      <c r="B58" s="3716"/>
      <c r="C58" s="3717" t="str">
        <f>YEAR(C7)&amp;"-"&amp;MONTH(C7)</f>
        <v>2017-7</v>
      </c>
      <c r="D58" s="3717">
        <f>EDATE(C58,-1)</f>
        <v>42887</v>
      </c>
      <c r="E58" s="3717">
        <f t="shared" ref="E58:O58" si="16">EDATE(D58,-1)</f>
        <v>42856</v>
      </c>
      <c r="F58" s="3717">
        <f t="shared" si="16"/>
        <v>42826</v>
      </c>
      <c r="G58" s="3717">
        <f t="shared" si="16"/>
        <v>42795</v>
      </c>
      <c r="H58" s="3717">
        <f t="shared" si="16"/>
        <v>42767</v>
      </c>
      <c r="I58" s="3717">
        <f t="shared" si="16"/>
        <v>42736</v>
      </c>
      <c r="J58" s="3717">
        <f t="shared" si="16"/>
        <v>42705</v>
      </c>
      <c r="K58" s="3717">
        <f t="shared" si="16"/>
        <v>42675</v>
      </c>
      <c r="L58" s="3717">
        <f t="shared" si="16"/>
        <v>42644</v>
      </c>
      <c r="M58" s="3717">
        <f t="shared" si="16"/>
        <v>42614</v>
      </c>
      <c r="N58" s="3717">
        <f t="shared" si="16"/>
        <v>42583</v>
      </c>
      <c r="O58" s="3717">
        <f t="shared" si="16"/>
        <v>42552</v>
      </c>
      <c r="P58" s="3558"/>
      <c r="Q58" s="3718"/>
      <c r="R58" s="3718"/>
      <c r="S58" s="3718"/>
      <c r="T58" s="3718"/>
      <c r="U58" s="3718"/>
      <c r="V58" s="3718"/>
      <c r="W58" s="3718"/>
      <c r="X58" s="3718"/>
      <c r="Y58" s="3718"/>
      <c r="Z58" s="3718"/>
      <c r="AA58" s="3718"/>
      <c r="AB58" s="3718"/>
      <c r="AC58" s="3718"/>
    </row>
    <row r="59" spans="1:29" s="3563" customFormat="1" ht="15">
      <c r="A59" s="3719"/>
      <c r="B59" s="3720"/>
      <c r="C59" s="3721">
        <v>100</v>
      </c>
      <c r="D59" s="3722"/>
      <c r="E59" s="3722"/>
      <c r="F59" s="3722"/>
      <c r="G59" s="3722"/>
      <c r="H59" s="3722"/>
      <c r="I59" s="3722"/>
      <c r="J59" s="3722"/>
      <c r="K59" s="3722"/>
      <c r="L59" s="3722"/>
      <c r="M59" s="3722"/>
      <c r="N59" s="3722"/>
      <c r="O59" s="3722"/>
      <c r="P59" s="3557"/>
      <c r="Q59" s="3718"/>
      <c r="R59" s="3718"/>
      <c r="S59" s="3718"/>
      <c r="T59" s="3718"/>
      <c r="U59" s="3718"/>
      <c r="V59" s="3718"/>
      <c r="W59" s="3718"/>
      <c r="X59" s="3718"/>
      <c r="Y59" s="3718"/>
      <c r="Z59" s="3718"/>
      <c r="AA59" s="3718"/>
      <c r="AB59" s="3718"/>
      <c r="AC59" s="3718"/>
    </row>
    <row r="60" spans="1:29" s="3563" customFormat="1" ht="15.75" thickBot="1">
      <c r="A60" s="3723" t="s">
        <v>3228</v>
      </c>
      <c r="B60" s="3724"/>
      <c r="C60" s="3725"/>
      <c r="D60" s="3726"/>
      <c r="E60" s="3726"/>
      <c r="F60" s="3726"/>
      <c r="G60" s="3726"/>
      <c r="H60" s="3726"/>
      <c r="I60" s="3726"/>
      <c r="J60" s="3726"/>
      <c r="K60" s="3726"/>
      <c r="L60" s="3726"/>
      <c r="M60" s="3727"/>
      <c r="N60" s="3726"/>
      <c r="O60" s="3728"/>
      <c r="P60" s="3557"/>
      <c r="Q60" s="3557"/>
      <c r="R60" s="3718"/>
      <c r="S60" s="3718"/>
      <c r="T60" s="3718"/>
      <c r="U60" s="3718"/>
      <c r="V60" s="3718"/>
      <c r="W60" s="3718"/>
      <c r="X60" s="3718"/>
      <c r="Y60" s="3718"/>
      <c r="Z60" s="3718"/>
      <c r="AA60" s="3718"/>
      <c r="AB60" s="3718"/>
      <c r="AC60" s="3718"/>
    </row>
    <row r="61" spans="1:29" s="3563" customFormat="1" ht="15">
      <c r="A61" s="3729" t="s">
        <v>532</v>
      </c>
      <c r="B61" s="3720"/>
      <c r="C61" s="3730" t="s">
        <v>3108</v>
      </c>
      <c r="D61" s="3731"/>
      <c r="E61" s="3731"/>
      <c r="F61" s="3731"/>
      <c r="G61" s="3731"/>
      <c r="H61" s="3731"/>
      <c r="I61" s="3731"/>
      <c r="J61" s="3731"/>
      <c r="K61" s="3731"/>
      <c r="L61" s="3732"/>
      <c r="M61" s="3733"/>
      <c r="N61" s="3557"/>
      <c r="O61" s="3557"/>
      <c r="P61" s="3734"/>
      <c r="Q61" s="3557"/>
      <c r="R61" s="3718"/>
      <c r="S61" s="3718"/>
      <c r="T61" s="3718"/>
      <c r="U61" s="3718"/>
      <c r="V61" s="3718"/>
      <c r="W61" s="3718"/>
      <c r="X61" s="3718"/>
      <c r="Y61" s="3718"/>
      <c r="Z61" s="3718"/>
      <c r="AA61" s="3718"/>
      <c r="AB61" s="3718"/>
      <c r="AC61" s="3718"/>
    </row>
    <row r="62" spans="1:29" s="3563" customFormat="1" ht="15.75" thickBot="1">
      <c r="A62" s="3729"/>
      <c r="B62" s="3720"/>
      <c r="C62" s="3735">
        <v>100</v>
      </c>
      <c r="D62" s="3722"/>
      <c r="E62" s="3722"/>
      <c r="F62" s="3722"/>
      <c r="G62" s="3722"/>
      <c r="H62" s="3722"/>
      <c r="I62" s="3722"/>
      <c r="J62" s="3722"/>
      <c r="K62" s="3722"/>
      <c r="L62" s="3722"/>
      <c r="M62" s="3736"/>
      <c r="N62" s="3557"/>
      <c r="O62" s="3557"/>
      <c r="P62" s="3557"/>
      <c r="Q62" s="3557"/>
      <c r="R62" s="3718"/>
      <c r="S62" s="3718"/>
      <c r="T62" s="3718"/>
      <c r="U62" s="3718"/>
      <c r="V62" s="3718"/>
      <c r="W62" s="3718"/>
      <c r="X62" s="3718"/>
      <c r="Y62" s="3718"/>
      <c r="Z62" s="3718"/>
      <c r="AA62" s="3718"/>
      <c r="AB62" s="3718"/>
      <c r="AC62" s="3718"/>
    </row>
    <row r="63" spans="1:29">
      <c r="A63" s="3737" t="s">
        <v>578</v>
      </c>
      <c r="B63" s="3738" t="s">
        <v>535</v>
      </c>
      <c r="C63" s="3739" t="str">
        <f>C9</f>
        <v>住宅</v>
      </c>
      <c r="D63" s="3740"/>
      <c r="E63" s="3740"/>
      <c r="F63" s="3740"/>
      <c r="G63" s="3740"/>
      <c r="H63" s="3740"/>
      <c r="I63" s="3740"/>
      <c r="J63" s="3740"/>
      <c r="K63" s="3741"/>
      <c r="L63" s="3742"/>
      <c r="M63" s="3743"/>
      <c r="N63" s="3599"/>
      <c r="O63" s="3599"/>
      <c r="P63" s="3557"/>
      <c r="Q63" s="3557"/>
      <c r="R63" s="3694"/>
      <c r="S63" s="3694"/>
      <c r="T63" s="3694"/>
      <c r="U63" s="3694"/>
      <c r="V63" s="3694"/>
      <c r="W63" s="3694"/>
      <c r="X63" s="3694"/>
      <c r="Y63" s="3694"/>
      <c r="Z63" s="3694"/>
      <c r="AA63" s="3694"/>
      <c r="AB63" s="3694"/>
      <c r="AC63" s="3694"/>
    </row>
    <row r="64" spans="1:29" ht="15.75" thickBot="1">
      <c r="A64" s="3616"/>
      <c r="B64" s="3744"/>
      <c r="C64" s="3745"/>
      <c r="D64" s="3745"/>
      <c r="E64" s="3746"/>
      <c r="F64" s="3746"/>
      <c r="G64" s="3746"/>
      <c r="H64" s="3746"/>
      <c r="I64" s="3746"/>
      <c r="J64" s="3746"/>
      <c r="K64" s="3746"/>
      <c r="L64" s="3746"/>
      <c r="M64" s="3747"/>
      <c r="N64" s="3748"/>
      <c r="O64" s="3748"/>
      <c r="P64" s="3557"/>
      <c r="Q64" s="3557"/>
      <c r="R64" s="3694"/>
      <c r="S64" s="3694"/>
      <c r="T64" s="3694"/>
      <c r="U64" s="3694"/>
      <c r="V64" s="3694"/>
      <c r="W64" s="3694"/>
      <c r="X64" s="3694"/>
      <c r="Y64" s="3694"/>
      <c r="Z64" s="3694"/>
      <c r="AA64" s="3694"/>
      <c r="AB64" s="3694"/>
      <c r="AC64" s="3694"/>
    </row>
    <row r="65" spans="1:29" ht="27.75" thickTop="1">
      <c r="A65" s="3616"/>
      <c r="B65" s="3749" t="s">
        <v>538</v>
      </c>
      <c r="C65" s="3750" t="s">
        <v>3229</v>
      </c>
      <c r="D65" s="3750" t="s">
        <v>3230</v>
      </c>
      <c r="E65" s="3750" t="s">
        <v>3231</v>
      </c>
      <c r="F65" s="3750" t="s">
        <v>3232</v>
      </c>
      <c r="G65" s="3750" t="s">
        <v>3233</v>
      </c>
      <c r="H65" s="3750" t="s">
        <v>3234</v>
      </c>
      <c r="I65" s="3750" t="s">
        <v>3235</v>
      </c>
      <c r="J65" s="3750"/>
      <c r="K65" s="3751"/>
      <c r="L65" s="3752"/>
      <c r="M65" s="3753"/>
      <c r="N65" s="3599"/>
      <c r="O65" s="3599"/>
      <c r="P65" s="3557"/>
      <c r="Q65" s="3557"/>
      <c r="R65" s="3694"/>
      <c r="S65" s="3694"/>
      <c r="T65" s="3694"/>
      <c r="U65" s="3694"/>
      <c r="V65" s="3694"/>
      <c r="W65" s="3694"/>
      <c r="X65" s="3694"/>
      <c r="Y65" s="3694"/>
      <c r="Z65" s="3694"/>
      <c r="AA65" s="3694"/>
      <c r="AB65" s="3694"/>
      <c r="AC65" s="3694"/>
    </row>
    <row r="66" spans="1:29" ht="15.75" thickBot="1">
      <c r="A66" s="3616"/>
      <c r="B66" s="3754"/>
      <c r="C66" s="3755">
        <v>100</v>
      </c>
      <c r="D66" s="3755">
        <f t="shared" ref="D66:I66" si="17">C66-$K10</f>
        <v>99</v>
      </c>
      <c r="E66" s="3755">
        <f t="shared" si="17"/>
        <v>98</v>
      </c>
      <c r="F66" s="3755">
        <f t="shared" si="17"/>
        <v>97</v>
      </c>
      <c r="G66" s="3755">
        <f t="shared" si="17"/>
        <v>96</v>
      </c>
      <c r="H66" s="3755">
        <f t="shared" si="17"/>
        <v>95</v>
      </c>
      <c r="I66" s="3755">
        <f t="shared" si="17"/>
        <v>94</v>
      </c>
      <c r="J66" s="3755"/>
      <c r="K66" s="3755"/>
      <c r="L66" s="3755"/>
      <c r="M66" s="3756"/>
      <c r="N66" s="3748"/>
      <c r="O66" s="3748"/>
      <c r="P66" s="3557"/>
      <c r="Q66" s="3557"/>
      <c r="R66" s="3694"/>
      <c r="S66" s="3694"/>
      <c r="T66" s="3694"/>
      <c r="U66" s="3694"/>
      <c r="V66" s="3694"/>
      <c r="W66" s="3694"/>
      <c r="X66" s="3694"/>
      <c r="Y66" s="3694"/>
      <c r="Z66" s="3694"/>
      <c r="AA66" s="3694"/>
      <c r="AB66" s="3694"/>
      <c r="AC66" s="3694"/>
    </row>
    <row r="67" spans="1:29" ht="15.75" thickTop="1">
      <c r="A67" s="3616"/>
      <c r="B67" s="3757" t="s">
        <v>539</v>
      </c>
      <c r="C67" s="3758" t="str">
        <f>C68&amp;"（含）"&amp;"-"&amp;D68</f>
        <v>0（含）-1</v>
      </c>
      <c r="D67" s="3758" t="str">
        <f t="shared" ref="D67:L67" si="18">D68&amp;"（含）"&amp;"-"&amp;E68</f>
        <v>1（含）-2</v>
      </c>
      <c r="E67" s="3758" t="str">
        <f t="shared" si="18"/>
        <v>2（含）-3</v>
      </c>
      <c r="F67" s="3758" t="str">
        <f t="shared" si="18"/>
        <v>3（含）-4</v>
      </c>
      <c r="G67" s="3758" t="str">
        <f t="shared" si="18"/>
        <v>4（含）-5</v>
      </c>
      <c r="H67" s="3758" t="str">
        <f t="shared" si="18"/>
        <v>5（含）-</v>
      </c>
      <c r="I67" s="3758" t="str">
        <f t="shared" si="18"/>
        <v>（含）-</v>
      </c>
      <c r="J67" s="3758" t="str">
        <f t="shared" si="18"/>
        <v>（含）-</v>
      </c>
      <c r="K67" s="3758" t="str">
        <f t="shared" si="18"/>
        <v>（含）-</v>
      </c>
      <c r="L67" s="3758" t="str">
        <f t="shared" si="18"/>
        <v>（含）-</v>
      </c>
      <c r="M67" s="3619" t="str">
        <f>M68&amp;"（含）"&amp;"-"&amp;P68</f>
        <v>（含）-</v>
      </c>
      <c r="N67" s="3748"/>
      <c r="O67" s="3748"/>
      <c r="P67" s="3557"/>
      <c r="Q67" s="3557"/>
      <c r="R67" s="3694"/>
      <c r="S67" s="3694"/>
      <c r="T67" s="3694"/>
      <c r="U67" s="3694"/>
      <c r="V67" s="3694"/>
      <c r="W67" s="3694"/>
      <c r="X67" s="3694"/>
      <c r="Y67" s="3694"/>
      <c r="Z67" s="3694"/>
      <c r="AA67" s="3694"/>
      <c r="AB67" s="3694"/>
      <c r="AC67" s="3694"/>
    </row>
    <row r="68" spans="1:29" ht="15">
      <c r="A68" s="3616"/>
      <c r="B68" s="3759"/>
      <c r="C68" s="3760">
        <v>0</v>
      </c>
      <c r="D68" s="3760">
        <v>1</v>
      </c>
      <c r="E68" s="3760">
        <v>2</v>
      </c>
      <c r="F68" s="3760">
        <v>3</v>
      </c>
      <c r="G68" s="3760">
        <v>4</v>
      </c>
      <c r="H68" s="3760">
        <v>5</v>
      </c>
      <c r="I68" s="3760"/>
      <c r="J68" s="3760"/>
      <c r="K68" s="3761"/>
      <c r="L68" s="3762"/>
      <c r="M68" s="3763"/>
      <c r="N68" s="3599"/>
      <c r="O68" s="3599"/>
      <c r="P68" s="3557"/>
      <c r="Q68" s="3557"/>
      <c r="R68" s="3694"/>
      <c r="S68" s="3694"/>
      <c r="T68" s="3694"/>
      <c r="U68" s="3694"/>
      <c r="V68" s="3694"/>
      <c r="W68" s="3694"/>
      <c r="X68" s="3694"/>
      <c r="Y68" s="3694"/>
      <c r="Z68" s="3694"/>
      <c r="AA68" s="3694"/>
      <c r="AB68" s="3694"/>
      <c r="AC68" s="3694"/>
    </row>
    <row r="69" spans="1:29" ht="15.75" thickBot="1">
      <c r="A69" s="3616"/>
      <c r="B69" s="3744"/>
      <c r="C69" s="3755">
        <v>100</v>
      </c>
      <c r="D69" s="3755">
        <f t="shared" ref="D69:M69" si="19">C69-$K11</f>
        <v>98</v>
      </c>
      <c r="E69" s="3755">
        <f t="shared" si="19"/>
        <v>96</v>
      </c>
      <c r="F69" s="3755">
        <f t="shared" si="19"/>
        <v>94</v>
      </c>
      <c r="G69" s="3755">
        <f t="shared" si="19"/>
        <v>92</v>
      </c>
      <c r="H69" s="3755">
        <f t="shared" si="19"/>
        <v>90</v>
      </c>
      <c r="I69" s="3755">
        <f t="shared" si="19"/>
        <v>88</v>
      </c>
      <c r="J69" s="3755">
        <f t="shared" si="19"/>
        <v>86</v>
      </c>
      <c r="K69" s="3755">
        <f t="shared" si="19"/>
        <v>84</v>
      </c>
      <c r="L69" s="3755">
        <f t="shared" si="19"/>
        <v>82</v>
      </c>
      <c r="M69" s="3756">
        <f t="shared" si="19"/>
        <v>80</v>
      </c>
      <c r="N69" s="3748"/>
      <c r="O69" s="3748"/>
      <c r="P69" s="3557"/>
      <c r="Q69" s="3557"/>
      <c r="R69" s="3694"/>
      <c r="S69" s="3694"/>
      <c r="T69" s="3694"/>
      <c r="U69" s="3694"/>
      <c r="V69" s="3694"/>
      <c r="W69" s="3694"/>
      <c r="X69" s="3694"/>
      <c r="Y69" s="3694"/>
      <c r="Z69" s="3694"/>
      <c r="AA69" s="3694"/>
      <c r="AB69" s="3694"/>
      <c r="AC69" s="3694"/>
    </row>
    <row r="70" spans="1:29" s="3678" customFormat="1" ht="16.5" hidden="1" thickTop="1" thickBot="1">
      <c r="A70" s="3764"/>
      <c r="B70" s="3749">
        <f>B12</f>
        <v>0</v>
      </c>
      <c r="C70" s="3765"/>
      <c r="D70" s="3765"/>
      <c r="E70" s="3765"/>
      <c r="F70" s="3765"/>
      <c r="G70" s="3765"/>
      <c r="H70" s="3766"/>
      <c r="I70" s="3766"/>
      <c r="J70" s="3766"/>
      <c r="K70" s="3766"/>
      <c r="L70" s="3767"/>
      <c r="M70" s="3768"/>
      <c r="N70" s="3590"/>
      <c r="O70" s="3590"/>
      <c r="P70" s="3590"/>
      <c r="Q70" s="3590"/>
      <c r="R70" s="3769"/>
      <c r="S70" s="3769"/>
      <c r="T70" s="3769"/>
      <c r="U70" s="3769"/>
      <c r="V70" s="3769"/>
      <c r="W70" s="3769"/>
      <c r="X70" s="3769"/>
      <c r="Y70" s="3769"/>
      <c r="Z70" s="3769"/>
      <c r="AA70" s="3769"/>
      <c r="AB70" s="3769"/>
      <c r="AC70" s="3769"/>
    </row>
    <row r="71" spans="1:29" s="3678" customFormat="1" ht="16.5" hidden="1" thickTop="1" thickBot="1">
      <c r="A71" s="3764"/>
      <c r="B71" s="3754"/>
      <c r="C71" s="3770"/>
      <c r="D71" s="3745"/>
      <c r="E71" s="3745"/>
      <c r="F71" s="3745"/>
      <c r="G71" s="3745"/>
      <c r="H71" s="3745"/>
      <c r="I71" s="3745"/>
      <c r="J71" s="3745"/>
      <c r="K71" s="3745"/>
      <c r="L71" s="3745"/>
      <c r="M71" s="3771"/>
      <c r="N71" s="3748"/>
      <c r="O71" s="3748"/>
      <c r="P71" s="3590"/>
      <c r="Q71" s="3590"/>
      <c r="R71" s="3769"/>
      <c r="S71" s="3769"/>
      <c r="T71" s="3769"/>
      <c r="U71" s="3769"/>
      <c r="V71" s="3769"/>
      <c r="W71" s="3769"/>
      <c r="X71" s="3769"/>
      <c r="Y71" s="3769"/>
      <c r="Z71" s="3769"/>
      <c r="AA71" s="3769"/>
      <c r="AB71" s="3769"/>
      <c r="AC71" s="3769"/>
    </row>
    <row r="72" spans="1:29" s="3678" customFormat="1" ht="16.5" hidden="1" thickTop="1" thickBot="1">
      <c r="A72" s="3764"/>
      <c r="B72" s="3749">
        <f>B13</f>
        <v>0</v>
      </c>
      <c r="C72" s="3765"/>
      <c r="D72" s="3765"/>
      <c r="E72" s="3765"/>
      <c r="F72" s="3765"/>
      <c r="G72" s="3765"/>
      <c r="H72" s="3766"/>
      <c r="I72" s="3766"/>
      <c r="J72" s="3766"/>
      <c r="K72" s="3766"/>
      <c r="L72" s="3767"/>
      <c r="M72" s="3768"/>
      <c r="N72" s="3590"/>
      <c r="O72" s="3590"/>
      <c r="P72" s="3671"/>
      <c r="Q72" s="3671"/>
      <c r="R72" s="3769"/>
      <c r="S72" s="3769"/>
      <c r="T72" s="3769"/>
      <c r="U72" s="3769"/>
      <c r="V72" s="3769"/>
      <c r="W72" s="3769"/>
      <c r="X72" s="3769"/>
      <c r="Y72" s="3769"/>
      <c r="Z72" s="3769"/>
      <c r="AA72" s="3769"/>
      <c r="AB72" s="3769"/>
      <c r="AC72" s="3769"/>
    </row>
    <row r="73" spans="1:29" s="3678" customFormat="1" ht="16.5" hidden="1" thickTop="1" thickBot="1">
      <c r="A73" s="3764"/>
      <c r="B73" s="3754"/>
      <c r="C73" s="3770"/>
      <c r="D73" s="3770"/>
      <c r="E73" s="3770"/>
      <c r="F73" s="3770"/>
      <c r="G73" s="3770"/>
      <c r="H73" s="3772"/>
      <c r="I73" s="3772"/>
      <c r="J73" s="3772"/>
      <c r="K73" s="3772"/>
      <c r="L73" s="3772"/>
      <c r="M73" s="3773"/>
      <c r="N73" s="3590"/>
      <c r="O73" s="3590"/>
      <c r="P73" s="3590"/>
      <c r="Q73" s="3590"/>
      <c r="R73" s="3769"/>
      <c r="S73" s="3769"/>
      <c r="T73" s="3769"/>
      <c r="U73" s="3769"/>
      <c r="V73" s="3769"/>
      <c r="W73" s="3769"/>
      <c r="X73" s="3769"/>
      <c r="Y73" s="3769"/>
      <c r="Z73" s="3769"/>
      <c r="AA73" s="3769"/>
      <c r="AB73" s="3769"/>
      <c r="AC73" s="3769"/>
    </row>
    <row r="74" spans="1:29" s="3678" customFormat="1" ht="16.5" hidden="1" thickTop="1" thickBot="1">
      <c r="A74" s="3764"/>
      <c r="B74" s="3757">
        <f>B14</f>
        <v>0</v>
      </c>
      <c r="C74" s="3765"/>
      <c r="D74" s="3765"/>
      <c r="E74" s="3765"/>
      <c r="F74" s="3765"/>
      <c r="G74" s="3731"/>
      <c r="H74" s="3774"/>
      <c r="I74" s="3774"/>
      <c r="J74" s="3774"/>
      <c r="K74" s="3774"/>
      <c r="L74" s="3775"/>
      <c r="M74" s="3776"/>
      <c r="N74" s="3590"/>
      <c r="O74" s="3590"/>
      <c r="P74" s="3777"/>
      <c r="Q74" s="3590"/>
      <c r="R74" s="3769"/>
      <c r="S74" s="3769"/>
      <c r="T74" s="3769"/>
      <c r="U74" s="3769"/>
      <c r="V74" s="3769"/>
      <c r="W74" s="3769"/>
      <c r="X74" s="3769"/>
      <c r="Y74" s="3769"/>
      <c r="Z74" s="3769"/>
      <c r="AA74" s="3769"/>
      <c r="AB74" s="3769"/>
      <c r="AC74" s="3769"/>
    </row>
    <row r="75" spans="1:29" s="3678" customFormat="1" ht="16.5" hidden="1" thickTop="1" thickBot="1">
      <c r="A75" s="3778"/>
      <c r="B75" s="3779"/>
      <c r="C75" s="3780"/>
      <c r="D75" s="3780"/>
      <c r="E75" s="3780"/>
      <c r="F75" s="3780"/>
      <c r="G75" s="3780"/>
      <c r="H75" s="3781"/>
      <c r="I75" s="3781"/>
      <c r="J75" s="3781"/>
      <c r="K75" s="3781"/>
      <c r="L75" s="3781"/>
      <c r="M75" s="3782"/>
      <c r="N75" s="3590"/>
      <c r="O75" s="3590"/>
      <c r="P75" s="3590"/>
      <c r="Q75" s="3590"/>
      <c r="R75" s="3769"/>
      <c r="S75" s="3769"/>
      <c r="T75" s="3769"/>
      <c r="U75" s="3769"/>
      <c r="V75" s="3769"/>
      <c r="W75" s="3769"/>
      <c r="X75" s="3769"/>
      <c r="Y75" s="3769"/>
      <c r="Z75" s="3769"/>
      <c r="AA75" s="3769"/>
      <c r="AB75" s="3769"/>
      <c r="AC75" s="3769"/>
    </row>
    <row r="76" spans="1:29" ht="15" thickTop="1">
      <c r="A76" s="3737" t="s">
        <v>3236</v>
      </c>
      <c r="B76" s="3738" t="s">
        <v>3237</v>
      </c>
      <c r="C76" s="3717" t="s">
        <v>3238</v>
      </c>
      <c r="D76" s="3717" t="s">
        <v>3239</v>
      </c>
      <c r="E76" s="3717" t="s">
        <v>3240</v>
      </c>
      <c r="F76" s="3717" t="s">
        <v>3241</v>
      </c>
      <c r="G76" s="3717" t="s">
        <v>3242</v>
      </c>
      <c r="H76" s="3739"/>
      <c r="I76" s="3739"/>
      <c r="J76" s="3739"/>
      <c r="K76" s="3783"/>
      <c r="L76" s="3784"/>
      <c r="M76" s="3785"/>
      <c r="N76" s="3599"/>
      <c r="O76" s="3599"/>
      <c r="P76" s="3542"/>
      <c r="Q76" s="3557"/>
      <c r="R76" s="3694"/>
      <c r="S76" s="3694"/>
      <c r="T76" s="3694"/>
      <c r="U76" s="3694"/>
      <c r="V76" s="3694"/>
      <c r="W76" s="3694"/>
      <c r="X76" s="3694"/>
      <c r="Y76" s="3694"/>
      <c r="Z76" s="3694"/>
      <c r="AA76" s="3694"/>
      <c r="AB76" s="3694"/>
      <c r="AC76" s="3694"/>
    </row>
    <row r="77" spans="1:29" ht="15.75" thickBot="1">
      <c r="A77" s="3616"/>
      <c r="B77" s="3754"/>
      <c r="C77" s="3755">
        <v>100</v>
      </c>
      <c r="D77" s="3755">
        <f>C77-$K15</f>
        <v>98</v>
      </c>
      <c r="E77" s="3755">
        <f>D77-$K15</f>
        <v>96</v>
      </c>
      <c r="F77" s="3755">
        <f>E77-$K15</f>
        <v>94</v>
      </c>
      <c r="G77" s="3755">
        <f>F77-$K15</f>
        <v>92</v>
      </c>
      <c r="H77" s="3755"/>
      <c r="I77" s="3755"/>
      <c r="J77" s="3755"/>
      <c r="K77" s="3755"/>
      <c r="L77" s="3755"/>
      <c r="M77" s="3756"/>
      <c r="N77" s="3748"/>
      <c r="O77" s="3748"/>
      <c r="P77" s="3557"/>
      <c r="Q77" s="3557"/>
      <c r="R77" s="3694"/>
      <c r="S77" s="3694"/>
      <c r="T77" s="3694"/>
      <c r="U77" s="3694"/>
      <c r="V77" s="3694"/>
      <c r="W77" s="3694"/>
      <c r="X77" s="3694"/>
      <c r="Y77" s="3694"/>
      <c r="Z77" s="3694"/>
      <c r="AA77" s="3694"/>
      <c r="AB77" s="3694"/>
      <c r="AC77" s="3694"/>
    </row>
    <row r="78" spans="1:29" ht="15.75" thickTop="1">
      <c r="A78" s="3616"/>
      <c r="B78" s="3749" t="s">
        <v>3243</v>
      </c>
      <c r="C78" s="3786" t="s">
        <v>3238</v>
      </c>
      <c r="D78" s="3786" t="s">
        <v>3239</v>
      </c>
      <c r="E78" s="3786" t="s">
        <v>3240</v>
      </c>
      <c r="F78" s="3786" t="s">
        <v>3241</v>
      </c>
      <c r="G78" s="3786" t="s">
        <v>3242</v>
      </c>
      <c r="H78" s="3750"/>
      <c r="I78" s="3750"/>
      <c r="J78" s="3750"/>
      <c r="K78" s="3751"/>
      <c r="L78" s="3752"/>
      <c r="M78" s="3753"/>
      <c r="N78" s="3599"/>
      <c r="O78" s="3599"/>
      <c r="P78" s="3557"/>
      <c r="Q78" s="3557"/>
      <c r="R78" s="3694"/>
      <c r="S78" s="3694"/>
      <c r="T78" s="3694"/>
      <c r="U78" s="3694"/>
      <c r="V78" s="3694"/>
      <c r="W78" s="3694"/>
      <c r="X78" s="3694"/>
      <c r="Y78" s="3694"/>
      <c r="Z78" s="3694"/>
      <c r="AA78" s="3694"/>
      <c r="AB78" s="3694"/>
      <c r="AC78" s="3694"/>
    </row>
    <row r="79" spans="1:29" ht="15.75" thickBot="1">
      <c r="A79" s="3616"/>
      <c r="B79" s="3754"/>
      <c r="C79" s="3755">
        <v>100</v>
      </c>
      <c r="D79" s="3755">
        <f>C79-$K17</f>
        <v>98</v>
      </c>
      <c r="E79" s="3755">
        <f>D79-$K17</f>
        <v>96</v>
      </c>
      <c r="F79" s="3755">
        <f>E79-$K17</f>
        <v>94</v>
      </c>
      <c r="G79" s="3755">
        <f>F79-$K17</f>
        <v>92</v>
      </c>
      <c r="H79" s="3755"/>
      <c r="I79" s="3755"/>
      <c r="J79" s="3755"/>
      <c r="K79" s="3755"/>
      <c r="L79" s="3755"/>
      <c r="M79" s="3756"/>
      <c r="N79" s="3748"/>
      <c r="O79" s="3748"/>
      <c r="P79" s="3557"/>
      <c r="Q79" s="3557"/>
      <c r="R79" s="3694"/>
      <c r="S79" s="3694"/>
      <c r="T79" s="3694"/>
      <c r="U79" s="3694"/>
      <c r="V79" s="3694"/>
      <c r="W79" s="3694"/>
      <c r="X79" s="3694"/>
      <c r="Y79" s="3694"/>
      <c r="Z79" s="3694"/>
      <c r="AA79" s="3694"/>
      <c r="AB79" s="3694"/>
      <c r="AC79" s="3694"/>
    </row>
    <row r="80" spans="1:29" ht="15.75" thickTop="1">
      <c r="A80" s="3616"/>
      <c r="B80" s="3787" t="s">
        <v>3244</v>
      </c>
      <c r="C80" s="3786" t="s">
        <v>3238</v>
      </c>
      <c r="D80" s="3786" t="s">
        <v>3239</v>
      </c>
      <c r="E80" s="3786" t="s">
        <v>3240</v>
      </c>
      <c r="F80" s="3786" t="s">
        <v>3241</v>
      </c>
      <c r="G80" s="3786" t="s">
        <v>3242</v>
      </c>
      <c r="H80" s="3750"/>
      <c r="I80" s="3750"/>
      <c r="J80" s="3750"/>
      <c r="K80" s="3751"/>
      <c r="L80" s="3752"/>
      <c r="M80" s="3753"/>
      <c r="N80" s="3599"/>
      <c r="O80" s="3599"/>
      <c r="P80" s="3557"/>
      <c r="Q80" s="3557"/>
      <c r="R80" s="3694"/>
      <c r="S80" s="3694"/>
      <c r="T80" s="3694"/>
      <c r="U80" s="3694"/>
      <c r="V80" s="3694"/>
      <c r="W80" s="3694"/>
      <c r="X80" s="3694"/>
      <c r="Y80" s="3694"/>
      <c r="Z80" s="3694"/>
      <c r="AA80" s="3694"/>
      <c r="AB80" s="3694"/>
      <c r="AC80" s="3694"/>
    </row>
    <row r="81" spans="1:29" ht="15.75" thickBot="1">
      <c r="A81" s="3616"/>
      <c r="B81" s="3754"/>
      <c r="C81" s="3755">
        <v>100</v>
      </c>
      <c r="D81" s="3755">
        <f>C81-$K19</f>
        <v>98</v>
      </c>
      <c r="E81" s="3755">
        <f>D81-$K19</f>
        <v>96</v>
      </c>
      <c r="F81" s="3755">
        <f>E81-$K19</f>
        <v>94</v>
      </c>
      <c r="G81" s="3755">
        <f>F81-$K19</f>
        <v>92</v>
      </c>
      <c r="H81" s="3755"/>
      <c r="I81" s="3755"/>
      <c r="J81" s="3755"/>
      <c r="K81" s="3755"/>
      <c r="L81" s="3755"/>
      <c r="M81" s="3756"/>
      <c r="N81" s="3748"/>
      <c r="O81" s="3748"/>
      <c r="P81" s="3557"/>
      <c r="Q81" s="3557"/>
      <c r="R81" s="3694"/>
      <c r="S81" s="3694"/>
      <c r="T81" s="3694"/>
      <c r="U81" s="3694"/>
      <c r="V81" s="3694"/>
      <c r="W81" s="3694"/>
      <c r="X81" s="3694"/>
      <c r="Y81" s="3694"/>
      <c r="Z81" s="3694"/>
      <c r="AA81" s="3694"/>
      <c r="AB81" s="3694"/>
      <c r="AC81" s="3694"/>
    </row>
    <row r="82" spans="1:29" ht="15.75" thickTop="1">
      <c r="A82" s="3616"/>
      <c r="B82" s="3788" t="s">
        <v>3245</v>
      </c>
      <c r="C82" s="3789" t="s">
        <v>3246</v>
      </c>
      <c r="D82" s="3789" t="s">
        <v>3247</v>
      </c>
      <c r="E82" s="3789" t="s">
        <v>3248</v>
      </c>
      <c r="F82" s="3789" t="s">
        <v>3249</v>
      </c>
      <c r="G82" s="3789" t="s">
        <v>3250</v>
      </c>
      <c r="H82" s="3750"/>
      <c r="I82" s="3750"/>
      <c r="J82" s="3750"/>
      <c r="K82" s="3750"/>
      <c r="L82" s="3750"/>
      <c r="M82" s="3790"/>
      <c r="N82" s="3748"/>
      <c r="O82" s="3748"/>
      <c r="P82" s="3557"/>
      <c r="Q82" s="3557"/>
      <c r="R82" s="3694"/>
      <c r="S82" s="3694"/>
      <c r="T82" s="3694"/>
      <c r="U82" s="3694"/>
      <c r="V82" s="3694"/>
      <c r="W82" s="3694"/>
      <c r="X82" s="3694"/>
      <c r="Y82" s="3694"/>
      <c r="Z82" s="3694"/>
      <c r="AA82" s="3694"/>
      <c r="AB82" s="3694"/>
      <c r="AC82" s="3694"/>
    </row>
    <row r="83" spans="1:29" ht="15.75" thickBot="1">
      <c r="A83" s="3616"/>
      <c r="B83" s="3757"/>
      <c r="C83" s="3755">
        <v>100</v>
      </c>
      <c r="D83" s="3755">
        <f>C83-$K21</f>
        <v>99</v>
      </c>
      <c r="E83" s="3755">
        <f>D83-$K21</f>
        <v>98</v>
      </c>
      <c r="F83" s="3755">
        <f>E83-$K21</f>
        <v>97</v>
      </c>
      <c r="G83" s="3755">
        <f>F83-$K21</f>
        <v>96</v>
      </c>
      <c r="H83" s="3791"/>
      <c r="I83" s="3791"/>
      <c r="J83" s="3791"/>
      <c r="K83" s="3791"/>
      <c r="L83" s="3791"/>
      <c r="M83" s="3623"/>
      <c r="N83" s="3748"/>
      <c r="O83" s="3748"/>
      <c r="P83" s="3557"/>
      <c r="Q83" s="3557"/>
      <c r="R83" s="3694"/>
      <c r="S83" s="3694"/>
      <c r="T83" s="3694"/>
      <c r="U83" s="3694"/>
      <c r="V83" s="3694"/>
      <c r="W83" s="3694"/>
      <c r="X83" s="3694"/>
      <c r="Y83" s="3694"/>
      <c r="Z83" s="3694"/>
      <c r="AA83" s="3694"/>
      <c r="AB83" s="3694"/>
      <c r="AC83" s="3694"/>
    </row>
    <row r="84" spans="1:29" ht="15.75" thickTop="1">
      <c r="A84" s="3616"/>
      <c r="B84" s="3749" t="s">
        <v>3251</v>
      </c>
      <c r="C84" s="3786" t="s">
        <v>580</v>
      </c>
      <c r="D84" s="3786" t="s">
        <v>581</v>
      </c>
      <c r="E84" s="3786" t="s">
        <v>582</v>
      </c>
      <c r="F84" s="3786" t="s">
        <v>583</v>
      </c>
      <c r="G84" s="3786" t="s">
        <v>584</v>
      </c>
      <c r="H84" s="3750"/>
      <c r="I84" s="3750"/>
      <c r="J84" s="3750"/>
      <c r="K84" s="3751"/>
      <c r="L84" s="3752"/>
      <c r="M84" s="3753"/>
      <c r="N84" s="3599"/>
      <c r="O84" s="3599"/>
      <c r="P84" s="3557"/>
      <c r="Q84" s="3557"/>
      <c r="R84" s="3694"/>
      <c r="S84" s="3694"/>
      <c r="T84" s="3694"/>
      <c r="U84" s="3694"/>
      <c r="V84" s="3694"/>
      <c r="W84" s="3694"/>
      <c r="X84" s="3694"/>
      <c r="Y84" s="3694"/>
      <c r="Z84" s="3694"/>
      <c r="AA84" s="3694"/>
      <c r="AB84" s="3694"/>
      <c r="AC84" s="3694"/>
    </row>
    <row r="85" spans="1:29" ht="15.75" thickBot="1">
      <c r="A85" s="3616"/>
      <c r="B85" s="3754"/>
      <c r="C85" s="3755">
        <v>100</v>
      </c>
      <c r="D85" s="3755">
        <f>C85-$K23</f>
        <v>98</v>
      </c>
      <c r="E85" s="3755">
        <f>D85-$K23</f>
        <v>96</v>
      </c>
      <c r="F85" s="3755">
        <f>E85-$K23</f>
        <v>94</v>
      </c>
      <c r="G85" s="3755">
        <f>F85-$K23</f>
        <v>92</v>
      </c>
      <c r="H85" s="3755"/>
      <c r="I85" s="3755"/>
      <c r="J85" s="3755"/>
      <c r="K85" s="3755"/>
      <c r="L85" s="3755"/>
      <c r="M85" s="3756"/>
      <c r="N85" s="3748"/>
      <c r="O85" s="3748"/>
      <c r="P85" s="3557"/>
      <c r="Q85" s="3557"/>
      <c r="R85" s="3694"/>
      <c r="S85" s="3694"/>
      <c r="T85" s="3694"/>
      <c r="U85" s="3694"/>
      <c r="V85" s="3694"/>
      <c r="W85" s="3694"/>
      <c r="X85" s="3694"/>
      <c r="Y85" s="3694"/>
      <c r="Z85" s="3694"/>
      <c r="AA85" s="3694"/>
      <c r="AB85" s="3694"/>
      <c r="AC85" s="3694"/>
    </row>
    <row r="86" spans="1:29" s="3563" customFormat="1" ht="16.5" hidden="1" thickTop="1" thickBot="1">
      <c r="A86" s="3645"/>
      <c r="B86" s="3787" t="s">
        <v>2260</v>
      </c>
      <c r="C86" s="3765"/>
      <c r="D86" s="3765"/>
      <c r="E86" s="3765"/>
      <c r="F86" s="3765"/>
      <c r="G86" s="3765"/>
      <c r="H86" s="3765"/>
      <c r="I86" s="3765"/>
      <c r="J86" s="3765"/>
      <c r="K86" s="3765"/>
      <c r="L86" s="3792"/>
      <c r="M86" s="3793"/>
      <c r="N86" s="3557"/>
      <c r="O86" s="3557"/>
      <c r="P86" s="3557"/>
      <c r="Q86" s="3557"/>
      <c r="R86" s="3718"/>
      <c r="S86" s="3718"/>
      <c r="T86" s="3718"/>
      <c r="U86" s="3718"/>
      <c r="V86" s="3718"/>
      <c r="W86" s="3718"/>
      <c r="X86" s="3718"/>
      <c r="Y86" s="3718"/>
      <c r="Z86" s="3718"/>
      <c r="AA86" s="3718"/>
      <c r="AB86" s="3718"/>
      <c r="AC86" s="3718"/>
    </row>
    <row r="87" spans="1:29" s="3563" customFormat="1" ht="16.5" hidden="1" thickTop="1" thickBot="1">
      <c r="A87" s="3645"/>
      <c r="B87" s="3754"/>
      <c r="C87" s="3794">
        <v>100</v>
      </c>
      <c r="D87" s="3755">
        <f>$C$87-($C$86-D86)*$K$25</f>
        <v>100</v>
      </c>
      <c r="E87" s="3755">
        <f t="shared" ref="E87:M87" si="20">$C$87-($C$86-E86)*$K$25</f>
        <v>100</v>
      </c>
      <c r="F87" s="3755">
        <f t="shared" si="20"/>
        <v>100</v>
      </c>
      <c r="G87" s="3755">
        <f t="shared" si="20"/>
        <v>100</v>
      </c>
      <c r="H87" s="3755">
        <f t="shared" si="20"/>
        <v>100</v>
      </c>
      <c r="I87" s="3755">
        <f t="shared" si="20"/>
        <v>100</v>
      </c>
      <c r="J87" s="3755">
        <f t="shared" si="20"/>
        <v>100</v>
      </c>
      <c r="K87" s="3755">
        <f t="shared" si="20"/>
        <v>100</v>
      </c>
      <c r="L87" s="3755">
        <f t="shared" si="20"/>
        <v>100</v>
      </c>
      <c r="M87" s="3755">
        <f t="shared" si="20"/>
        <v>100</v>
      </c>
      <c r="N87" s="3748"/>
      <c r="O87" s="3748"/>
      <c r="P87" s="3557"/>
      <c r="Q87" s="3557"/>
      <c r="R87" s="3718"/>
      <c r="S87" s="3718"/>
      <c r="T87" s="3718"/>
      <c r="U87" s="3718"/>
      <c r="V87" s="3718"/>
      <c r="W87" s="3718"/>
      <c r="X87" s="3718"/>
      <c r="Y87" s="3718"/>
      <c r="Z87" s="3718"/>
      <c r="AA87" s="3718"/>
      <c r="AB87" s="3718"/>
      <c r="AC87" s="3718"/>
    </row>
    <row r="88" spans="1:29" s="3563" customFormat="1" ht="16.5" hidden="1" thickTop="1" thickBot="1">
      <c r="A88" s="3645"/>
      <c r="B88" s="3749" t="s">
        <v>747</v>
      </c>
      <c r="C88" s="3765"/>
      <c r="D88" s="3765"/>
      <c r="E88" s="3765"/>
      <c r="F88" s="3795"/>
      <c r="G88" s="3765"/>
      <c r="H88" s="3765"/>
      <c r="I88" s="3765"/>
      <c r="J88" s="3765"/>
      <c r="K88" s="3765"/>
      <c r="L88" s="3765"/>
      <c r="M88" s="3793"/>
      <c r="N88" s="3557"/>
      <c r="O88" s="3557"/>
      <c r="P88" s="3557"/>
      <c r="Q88" s="3557"/>
      <c r="R88" s="3718"/>
      <c r="S88" s="3718"/>
      <c r="T88" s="3718"/>
      <c r="U88" s="3718"/>
      <c r="V88" s="3718"/>
      <c r="W88" s="3718"/>
      <c r="X88" s="3718"/>
      <c r="Y88" s="3718"/>
      <c r="Z88" s="3718"/>
      <c r="AA88" s="3718"/>
      <c r="AB88" s="3718"/>
      <c r="AC88" s="3718"/>
    </row>
    <row r="89" spans="1:29" s="3563" customFormat="1" ht="16.5" hidden="1" thickTop="1" thickBot="1">
      <c r="A89" s="3645"/>
      <c r="B89" s="3754"/>
      <c r="C89" s="3794">
        <v>100</v>
      </c>
      <c r="D89" s="3755">
        <f t="shared" ref="D89:M89" si="21">C89-$K26</f>
        <v>100</v>
      </c>
      <c r="E89" s="3755">
        <f t="shared" si="21"/>
        <v>100</v>
      </c>
      <c r="F89" s="3755">
        <f t="shared" si="21"/>
        <v>100</v>
      </c>
      <c r="G89" s="3755">
        <f t="shared" si="21"/>
        <v>100</v>
      </c>
      <c r="H89" s="3755">
        <f t="shared" si="21"/>
        <v>100</v>
      </c>
      <c r="I89" s="3755">
        <f t="shared" si="21"/>
        <v>100</v>
      </c>
      <c r="J89" s="3755">
        <f t="shared" si="21"/>
        <v>100</v>
      </c>
      <c r="K89" s="3755">
        <f t="shared" si="21"/>
        <v>100</v>
      </c>
      <c r="L89" s="3755">
        <f t="shared" si="21"/>
        <v>100</v>
      </c>
      <c r="M89" s="3755">
        <f t="shared" si="21"/>
        <v>100</v>
      </c>
      <c r="N89" s="3748"/>
      <c r="O89" s="3748"/>
      <c r="P89" s="3557"/>
      <c r="Q89" s="3557"/>
      <c r="R89" s="3718"/>
      <c r="S89" s="3718"/>
      <c r="T89" s="3718"/>
      <c r="U89" s="3718"/>
      <c r="V89" s="3718"/>
      <c r="W89" s="3718"/>
      <c r="X89" s="3718"/>
      <c r="Y89" s="3718"/>
      <c r="Z89" s="3718"/>
      <c r="AA89" s="3718"/>
      <c r="AB89" s="3718"/>
      <c r="AC89" s="3718"/>
    </row>
    <row r="90" spans="1:29" s="3678" customFormat="1" ht="15.75" thickTop="1">
      <c r="A90" s="3764"/>
      <c r="B90" s="3749" t="str">
        <f>B27</f>
        <v>临街道路级别</v>
      </c>
      <c r="C90" s="3796" t="s">
        <v>3252</v>
      </c>
      <c r="D90" s="3796" t="s">
        <v>3253</v>
      </c>
      <c r="E90" s="3796" t="s">
        <v>3254</v>
      </c>
      <c r="F90" s="3796" t="s">
        <v>3255</v>
      </c>
      <c r="G90" s="3796" t="s">
        <v>3256</v>
      </c>
      <c r="H90" s="3766"/>
      <c r="I90" s="3766"/>
      <c r="J90" s="3766"/>
      <c r="K90" s="3766"/>
      <c r="L90" s="3767"/>
      <c r="M90" s="3768"/>
      <c r="N90" s="3590"/>
      <c r="O90" s="3590"/>
      <c r="P90" s="3590"/>
      <c r="Q90" s="3590"/>
      <c r="R90" s="3769"/>
      <c r="S90" s="3769"/>
      <c r="T90" s="3769"/>
      <c r="U90" s="3769"/>
      <c r="V90" s="3769"/>
      <c r="W90" s="3769"/>
      <c r="X90" s="3769"/>
      <c r="Y90" s="3769"/>
      <c r="Z90" s="3769"/>
      <c r="AA90" s="3769"/>
      <c r="AB90" s="3769"/>
      <c r="AC90" s="3769"/>
    </row>
    <row r="91" spans="1:29" s="3678" customFormat="1" ht="15.75" thickBot="1">
      <c r="A91" s="3764"/>
      <c r="B91" s="3754"/>
      <c r="C91" s="3770">
        <v>100</v>
      </c>
      <c r="D91" s="3770">
        <v>98</v>
      </c>
      <c r="E91" s="3770">
        <v>96</v>
      </c>
      <c r="F91" s="3770">
        <v>94</v>
      </c>
      <c r="G91" s="3770">
        <v>92</v>
      </c>
      <c r="H91" s="3772"/>
      <c r="I91" s="3772"/>
      <c r="J91" s="3772"/>
      <c r="K91" s="3772"/>
      <c r="L91" s="3772"/>
      <c r="M91" s="3773"/>
      <c r="N91" s="3590"/>
      <c r="O91" s="3590"/>
      <c r="P91" s="3590"/>
      <c r="Q91" s="3590"/>
      <c r="R91" s="3769"/>
      <c r="S91" s="3769"/>
      <c r="T91" s="3769"/>
      <c r="U91" s="3769"/>
      <c r="V91" s="3769"/>
      <c r="W91" s="3769"/>
      <c r="X91" s="3769"/>
      <c r="Y91" s="3769"/>
      <c r="Z91" s="3769"/>
      <c r="AA91" s="3769"/>
      <c r="AB91" s="3769"/>
      <c r="AC91" s="3769"/>
    </row>
    <row r="92" spans="1:29" ht="16.5" hidden="1" thickTop="1" thickBot="1">
      <c r="A92" s="3616"/>
      <c r="B92" s="3749">
        <f>B28</f>
        <v>0</v>
      </c>
      <c r="C92" s="3765"/>
      <c r="D92" s="3765"/>
      <c r="E92" s="3765"/>
      <c r="F92" s="3765"/>
      <c r="G92" s="3797"/>
      <c r="H92" s="3797"/>
      <c r="I92" s="3797"/>
      <c r="J92" s="3797"/>
      <c r="K92" s="3798"/>
      <c r="L92" s="3799"/>
      <c r="M92" s="3800"/>
      <c r="N92" s="3599"/>
      <c r="O92" s="3599"/>
      <c r="P92" s="3557"/>
      <c r="Q92" s="3557"/>
      <c r="R92" s="3694"/>
      <c r="S92" s="3694"/>
      <c r="T92" s="3694"/>
      <c r="U92" s="3694"/>
      <c r="V92" s="3694"/>
      <c r="W92" s="3694"/>
      <c r="X92" s="3694"/>
      <c r="Y92" s="3694"/>
      <c r="Z92" s="3694"/>
      <c r="AA92" s="3694"/>
      <c r="AB92" s="3694"/>
      <c r="AC92" s="3694"/>
    </row>
    <row r="93" spans="1:29" ht="16.5" hidden="1" thickTop="1" thickBot="1">
      <c r="A93" s="3616"/>
      <c r="B93" s="3754"/>
      <c r="C93" s="3770"/>
      <c r="D93" s="3745"/>
      <c r="E93" s="3745"/>
      <c r="F93" s="3745"/>
      <c r="G93" s="3745"/>
      <c r="H93" s="3745"/>
      <c r="I93" s="3745"/>
      <c r="J93" s="3745"/>
      <c r="K93" s="3745"/>
      <c r="L93" s="3745"/>
      <c r="M93" s="3771"/>
      <c r="N93" s="3748"/>
      <c r="O93" s="3748"/>
      <c r="P93" s="3557"/>
      <c r="Q93" s="3557"/>
      <c r="R93" s="3694"/>
      <c r="S93" s="3694"/>
      <c r="T93" s="3694"/>
      <c r="U93" s="3694"/>
      <c r="V93" s="3694"/>
      <c r="W93" s="3694"/>
      <c r="X93" s="3694"/>
      <c r="Y93" s="3694"/>
      <c r="Z93" s="3694"/>
      <c r="AA93" s="3694"/>
      <c r="AB93" s="3694"/>
      <c r="AC93" s="3694"/>
    </row>
    <row r="94" spans="1:29" ht="16.5" hidden="1" thickTop="1" thickBot="1">
      <c r="A94" s="3616"/>
      <c r="B94" s="3749">
        <f>B29</f>
        <v>0</v>
      </c>
      <c r="C94" s="3765"/>
      <c r="D94" s="3765"/>
      <c r="E94" s="3765"/>
      <c r="F94" s="3765"/>
      <c r="G94" s="3797"/>
      <c r="H94" s="3797"/>
      <c r="I94" s="3797"/>
      <c r="J94" s="3797"/>
      <c r="K94" s="3798"/>
      <c r="L94" s="3799"/>
      <c r="M94" s="3800"/>
      <c r="N94" s="3599"/>
      <c r="O94" s="3599"/>
      <c r="P94" s="3557"/>
      <c r="Q94" s="3557"/>
      <c r="R94" s="3694"/>
      <c r="S94" s="3694"/>
      <c r="T94" s="3694"/>
      <c r="U94" s="3694"/>
      <c r="V94" s="3694"/>
      <c r="W94" s="3694"/>
      <c r="X94" s="3694"/>
      <c r="Y94" s="3694"/>
      <c r="Z94" s="3694"/>
      <c r="AA94" s="3694"/>
      <c r="AB94" s="3694"/>
      <c r="AC94" s="3694"/>
    </row>
    <row r="95" spans="1:29" ht="16.5" hidden="1" thickTop="1" thickBot="1">
      <c r="A95" s="3616"/>
      <c r="B95" s="3754"/>
      <c r="C95" s="3770"/>
      <c r="D95" s="3770"/>
      <c r="E95" s="3770"/>
      <c r="F95" s="3770"/>
      <c r="G95" s="3745"/>
      <c r="H95" s="3745"/>
      <c r="I95" s="3745"/>
      <c r="J95" s="3745"/>
      <c r="K95" s="3745"/>
      <c r="L95" s="3745"/>
      <c r="M95" s="3771"/>
      <c r="N95" s="3748"/>
      <c r="O95" s="3748"/>
      <c r="P95" s="3557"/>
      <c r="Q95" s="3557"/>
      <c r="R95" s="3694"/>
      <c r="S95" s="3694"/>
      <c r="T95" s="3694"/>
      <c r="U95" s="3694"/>
      <c r="V95" s="3694"/>
      <c r="W95" s="3694"/>
      <c r="X95" s="3694"/>
      <c r="Y95" s="3694"/>
      <c r="Z95" s="3694"/>
      <c r="AA95" s="3694"/>
      <c r="AB95" s="3694"/>
      <c r="AC95" s="3694"/>
    </row>
    <row r="96" spans="1:29" ht="16.5" hidden="1" thickTop="1" thickBot="1">
      <c r="A96" s="3616"/>
      <c r="B96" s="3749">
        <f>B30</f>
        <v>0</v>
      </c>
      <c r="C96" s="3765"/>
      <c r="D96" s="3765"/>
      <c r="E96" s="3765"/>
      <c r="F96" s="3765"/>
      <c r="G96" s="3797"/>
      <c r="H96" s="3797"/>
      <c r="I96" s="3797"/>
      <c r="J96" s="3797"/>
      <c r="K96" s="3798"/>
      <c r="L96" s="3799"/>
      <c r="M96" s="3800"/>
      <c r="N96" s="3599"/>
      <c r="O96" s="3599"/>
      <c r="P96" s="3557"/>
      <c r="Q96" s="3557"/>
      <c r="R96" s="3694"/>
      <c r="S96" s="3694"/>
      <c r="T96" s="3694"/>
      <c r="U96" s="3694"/>
      <c r="V96" s="3694"/>
      <c r="W96" s="3694"/>
      <c r="X96" s="3694"/>
      <c r="Y96" s="3694"/>
      <c r="Z96" s="3694"/>
      <c r="AA96" s="3694"/>
      <c r="AB96" s="3694"/>
      <c r="AC96" s="3694"/>
    </row>
    <row r="97" spans="1:29" ht="16.5" hidden="1" thickTop="1" thickBot="1">
      <c r="A97" s="3616"/>
      <c r="B97" s="3754"/>
      <c r="C97" s="3780"/>
      <c r="D97" s="3780"/>
      <c r="E97" s="3780"/>
      <c r="F97" s="3780"/>
      <c r="G97" s="3745"/>
      <c r="H97" s="3745"/>
      <c r="I97" s="3745"/>
      <c r="J97" s="3745"/>
      <c r="K97" s="3745"/>
      <c r="L97" s="3745"/>
      <c r="M97" s="3771"/>
      <c r="N97" s="3748"/>
      <c r="O97" s="3748"/>
      <c r="P97" s="3557"/>
      <c r="Q97" s="3557"/>
      <c r="R97" s="3694"/>
      <c r="S97" s="3694"/>
      <c r="T97" s="3694"/>
      <c r="U97" s="3694"/>
      <c r="V97" s="3694"/>
      <c r="W97" s="3694"/>
      <c r="X97" s="3694"/>
      <c r="Y97" s="3694"/>
      <c r="Z97" s="3694"/>
      <c r="AA97" s="3694"/>
      <c r="AB97" s="3694"/>
      <c r="AC97" s="3694"/>
    </row>
    <row r="98" spans="1:29" ht="16.5" hidden="1" thickTop="1" thickBot="1">
      <c r="A98" s="3616"/>
      <c r="B98" s="3757">
        <f>B31</f>
        <v>0</v>
      </c>
      <c r="C98" s="3801"/>
      <c r="D98" s="3801"/>
      <c r="E98" s="3801"/>
      <c r="F98" s="3801"/>
      <c r="G98" s="3801"/>
      <c r="H98" s="3801"/>
      <c r="I98" s="3801"/>
      <c r="J98" s="3801"/>
      <c r="K98" s="3802"/>
      <c r="L98" s="3803"/>
      <c r="M98" s="3804"/>
      <c r="N98" s="3599"/>
      <c r="O98" s="3599"/>
      <c r="P98" s="3557"/>
      <c r="Q98" s="3557"/>
      <c r="R98" s="3694"/>
      <c r="S98" s="3694"/>
      <c r="T98" s="3694"/>
      <c r="U98" s="3694"/>
      <c r="V98" s="3694"/>
      <c r="W98" s="3694"/>
      <c r="X98" s="3694"/>
      <c r="Y98" s="3694"/>
      <c r="Z98" s="3694"/>
      <c r="AA98" s="3694"/>
      <c r="AB98" s="3694"/>
      <c r="AC98" s="3694"/>
    </row>
    <row r="99" spans="1:29" ht="16.5" hidden="1" thickTop="1" thickBot="1">
      <c r="A99" s="3650"/>
      <c r="B99" s="3779"/>
      <c r="C99" s="3805"/>
      <c r="D99" s="3805"/>
      <c r="E99" s="3805"/>
      <c r="F99" s="3805"/>
      <c r="G99" s="3805"/>
      <c r="H99" s="3805"/>
      <c r="I99" s="3805"/>
      <c r="J99" s="3805"/>
      <c r="K99" s="3805"/>
      <c r="L99" s="3805"/>
      <c r="M99" s="3806"/>
      <c r="N99" s="3748"/>
      <c r="O99" s="3748"/>
      <c r="P99" s="3557"/>
      <c r="Q99" s="3557"/>
      <c r="R99" s="3694"/>
      <c r="S99" s="3694"/>
      <c r="T99" s="3694"/>
      <c r="U99" s="3694"/>
      <c r="V99" s="3694"/>
      <c r="W99" s="3694"/>
      <c r="X99" s="3694"/>
      <c r="Y99" s="3694"/>
      <c r="Z99" s="3694"/>
      <c r="AA99" s="3694"/>
      <c r="AB99" s="3694"/>
      <c r="AC99" s="3694"/>
    </row>
    <row r="100" spans="1:29" ht="15" thickTop="1">
      <c r="A100" s="3737" t="s">
        <v>3257</v>
      </c>
      <c r="B100" s="3738" t="s">
        <v>3258</v>
      </c>
      <c r="C100" s="3807" t="s">
        <v>3259</v>
      </c>
      <c r="D100" s="3807" t="s">
        <v>3260</v>
      </c>
      <c r="E100" s="3807" t="s">
        <v>3261</v>
      </c>
      <c r="F100" s="3740"/>
      <c r="G100" s="3740"/>
      <c r="H100" s="3740"/>
      <c r="I100" s="3740"/>
      <c r="J100" s="3740"/>
      <c r="K100" s="3741"/>
      <c r="L100" s="3742"/>
      <c r="M100" s="3743"/>
      <c r="N100" s="3599"/>
      <c r="O100" s="3599"/>
      <c r="P100" s="3557"/>
      <c r="Q100" s="3557"/>
      <c r="R100" s="3694"/>
      <c r="S100" s="3694"/>
      <c r="T100" s="3694"/>
      <c r="U100" s="3694"/>
      <c r="V100" s="3694"/>
      <c r="W100" s="3694"/>
      <c r="X100" s="3694"/>
      <c r="Y100" s="3694"/>
      <c r="Z100" s="3694"/>
      <c r="AA100" s="3694"/>
      <c r="AB100" s="3694"/>
      <c r="AC100" s="3694"/>
    </row>
    <row r="101" spans="1:29" ht="15.75" thickBot="1">
      <c r="A101" s="3616"/>
      <c r="B101" s="3754"/>
      <c r="C101" s="3755">
        <v>100</v>
      </c>
      <c r="D101" s="3755">
        <f t="shared" ref="D101:M101" si="22">C101-$K32</f>
        <v>98</v>
      </c>
      <c r="E101" s="3755">
        <f t="shared" si="22"/>
        <v>96</v>
      </c>
      <c r="F101" s="3755">
        <f t="shared" si="22"/>
        <v>94</v>
      </c>
      <c r="G101" s="3755">
        <f t="shared" si="22"/>
        <v>92</v>
      </c>
      <c r="H101" s="3755">
        <f t="shared" si="22"/>
        <v>90</v>
      </c>
      <c r="I101" s="3755">
        <f t="shared" si="22"/>
        <v>88</v>
      </c>
      <c r="J101" s="3755">
        <f t="shared" si="22"/>
        <v>86</v>
      </c>
      <c r="K101" s="3755">
        <f t="shared" si="22"/>
        <v>84</v>
      </c>
      <c r="L101" s="3755">
        <f t="shared" si="22"/>
        <v>82</v>
      </c>
      <c r="M101" s="3755">
        <f t="shared" si="22"/>
        <v>80</v>
      </c>
      <c r="N101" s="3748"/>
      <c r="O101" s="3748"/>
      <c r="P101" s="3557"/>
      <c r="Q101" s="3557"/>
      <c r="R101" s="3694"/>
      <c r="S101" s="3694"/>
      <c r="T101" s="3694"/>
      <c r="U101" s="3694"/>
      <c r="V101" s="3694"/>
      <c r="W101" s="3694"/>
      <c r="X101" s="3694"/>
      <c r="Y101" s="3694"/>
      <c r="Z101" s="3694"/>
      <c r="AA101" s="3694"/>
      <c r="AB101" s="3694"/>
      <c r="AC101" s="3694"/>
    </row>
    <row r="102" spans="1:29" ht="29.25" thickTop="1">
      <c r="A102" s="3616"/>
      <c r="B102" s="3749" t="s">
        <v>749</v>
      </c>
      <c r="C102" s="3786" t="str">
        <f>C103&amp;"(含)"&amp;"-"&amp;D103</f>
        <v>0(含)-20000</v>
      </c>
      <c r="D102" s="3786" t="str">
        <f t="shared" ref="D102:L102" si="23">D103&amp;"(含)"&amp;"-"&amp;E103</f>
        <v>20000(含)-40000</v>
      </c>
      <c r="E102" s="3786" t="str">
        <f t="shared" si="23"/>
        <v>40000(含)-60000</v>
      </c>
      <c r="F102" s="3786" t="str">
        <f t="shared" si="23"/>
        <v>60000(含)-80000</v>
      </c>
      <c r="G102" s="3786" t="str">
        <f t="shared" si="23"/>
        <v>80000(含)-100000</v>
      </c>
      <c r="H102" s="3786" t="str">
        <f t="shared" si="23"/>
        <v>100000(含)-120000</v>
      </c>
      <c r="I102" s="3786" t="str">
        <f t="shared" si="23"/>
        <v>120000(含)-150000</v>
      </c>
      <c r="J102" s="3786" t="str">
        <f t="shared" si="23"/>
        <v>150000(含)-</v>
      </c>
      <c r="K102" s="3786" t="str">
        <f t="shared" si="23"/>
        <v>(含)-</v>
      </c>
      <c r="L102" s="3786" t="str">
        <f t="shared" si="23"/>
        <v>(含)-</v>
      </c>
      <c r="M102" s="3786" t="str">
        <f>M103&amp;"(含)"&amp;"-"&amp;P103</f>
        <v>(含)-</v>
      </c>
      <c r="N102" s="3557"/>
      <c r="O102" s="3557"/>
      <c r="P102" s="3557"/>
      <c r="Q102" s="3557"/>
      <c r="R102" s="3694"/>
      <c r="S102" s="3694"/>
      <c r="T102" s="3694"/>
      <c r="U102" s="3694"/>
      <c r="V102" s="3694"/>
      <c r="W102" s="3694"/>
      <c r="X102" s="3694"/>
      <c r="Y102" s="3694"/>
      <c r="Z102" s="3694"/>
      <c r="AA102" s="3694"/>
      <c r="AB102" s="3694"/>
      <c r="AC102" s="3694"/>
    </row>
    <row r="103" spans="1:29" s="3678" customFormat="1">
      <c r="A103" s="3669"/>
      <c r="B103" s="3808"/>
      <c r="C103" s="3809">
        <v>0</v>
      </c>
      <c r="D103" s="3809">
        <v>20000</v>
      </c>
      <c r="E103" s="3809">
        <v>40000</v>
      </c>
      <c r="F103" s="3809">
        <v>60000</v>
      </c>
      <c r="G103" s="3809">
        <v>80000</v>
      </c>
      <c r="H103" s="3809">
        <v>100000</v>
      </c>
      <c r="I103" s="3809">
        <v>120000</v>
      </c>
      <c r="J103" s="3810">
        <v>150000</v>
      </c>
      <c r="K103" s="3810"/>
      <c r="L103" s="3811"/>
      <c r="M103" s="3812"/>
      <c r="N103" s="3590"/>
      <c r="O103" s="3590"/>
      <c r="P103" s="3590"/>
      <c r="Q103" s="3590"/>
      <c r="R103" s="3769"/>
      <c r="S103" s="3769"/>
      <c r="T103" s="3769"/>
      <c r="U103" s="3769"/>
      <c r="V103" s="3769"/>
      <c r="W103" s="3769"/>
      <c r="X103" s="3769"/>
      <c r="Y103" s="3769"/>
      <c r="Z103" s="3769"/>
      <c r="AA103" s="3769"/>
      <c r="AB103" s="3769"/>
      <c r="AC103" s="3769"/>
    </row>
    <row r="104" spans="1:29" s="3678" customFormat="1" ht="15.75" thickBot="1">
      <c r="A104" s="3764"/>
      <c r="B104" s="3754"/>
      <c r="C104" s="3770">
        <v>100</v>
      </c>
      <c r="D104" s="3745">
        <v>102</v>
      </c>
      <c r="E104" s="3745">
        <v>104</v>
      </c>
      <c r="F104" s="3745">
        <v>106</v>
      </c>
      <c r="G104" s="3745">
        <v>108</v>
      </c>
      <c r="H104" s="3745">
        <v>110</v>
      </c>
      <c r="I104" s="3745">
        <v>112</v>
      </c>
      <c r="J104" s="3745">
        <v>114</v>
      </c>
      <c r="K104" s="3745"/>
      <c r="L104" s="3745"/>
      <c r="M104" s="3745"/>
      <c r="N104" s="3748"/>
      <c r="O104" s="3748"/>
      <c r="P104" s="3590"/>
      <c r="Q104" s="3590"/>
      <c r="R104" s="3769"/>
      <c r="S104" s="3769"/>
      <c r="T104" s="3769"/>
      <c r="U104" s="3769"/>
      <c r="V104" s="3769"/>
      <c r="W104" s="3769"/>
      <c r="X104" s="3769"/>
      <c r="Y104" s="3769"/>
      <c r="Z104" s="3769"/>
      <c r="AA104" s="3769"/>
      <c r="AB104" s="3769"/>
      <c r="AC104" s="3769"/>
    </row>
    <row r="105" spans="1:29" ht="15" thickTop="1">
      <c r="A105" s="3679"/>
      <c r="B105" s="3749" t="s">
        <v>3262</v>
      </c>
      <c r="C105" s="3796" t="s">
        <v>3263</v>
      </c>
      <c r="D105" s="3796" t="s">
        <v>3264</v>
      </c>
      <c r="E105" s="3797"/>
      <c r="F105" s="3797"/>
      <c r="G105" s="3797"/>
      <c r="H105" s="3797"/>
      <c r="I105" s="3797"/>
      <c r="J105" s="3797"/>
      <c r="K105" s="3798"/>
      <c r="L105" s="3799"/>
      <c r="M105" s="3800"/>
      <c r="N105" s="3599"/>
      <c r="O105" s="3599"/>
      <c r="P105" s="3557"/>
      <c r="Q105" s="3557"/>
      <c r="R105" s="3694"/>
      <c r="S105" s="3694"/>
      <c r="T105" s="3694"/>
      <c r="U105" s="3694"/>
      <c r="V105" s="3694"/>
      <c r="W105" s="3694"/>
      <c r="X105" s="3694"/>
      <c r="Y105" s="3694"/>
      <c r="Z105" s="3694"/>
      <c r="AA105" s="3694"/>
      <c r="AB105" s="3694"/>
      <c r="AC105" s="3694"/>
    </row>
    <row r="106" spans="1:29" ht="15.75" thickBot="1">
      <c r="A106" s="3616"/>
      <c r="B106" s="3754"/>
      <c r="C106" s="3755">
        <v>100</v>
      </c>
      <c r="D106" s="3755">
        <f t="shared" ref="D106:M106" si="24">C106-$K34</f>
        <v>98</v>
      </c>
      <c r="E106" s="3755">
        <f t="shared" si="24"/>
        <v>96</v>
      </c>
      <c r="F106" s="3755">
        <f t="shared" si="24"/>
        <v>94</v>
      </c>
      <c r="G106" s="3755">
        <f t="shared" si="24"/>
        <v>92</v>
      </c>
      <c r="H106" s="3755">
        <f t="shared" si="24"/>
        <v>90</v>
      </c>
      <c r="I106" s="3755">
        <f t="shared" si="24"/>
        <v>88</v>
      </c>
      <c r="J106" s="3755">
        <f t="shared" si="24"/>
        <v>86</v>
      </c>
      <c r="K106" s="3755">
        <f t="shared" si="24"/>
        <v>84</v>
      </c>
      <c r="L106" s="3755">
        <f t="shared" si="24"/>
        <v>82</v>
      </c>
      <c r="M106" s="3755">
        <f t="shared" si="24"/>
        <v>80</v>
      </c>
      <c r="N106" s="3748"/>
      <c r="O106" s="3748"/>
      <c r="P106" s="3557"/>
      <c r="Q106" s="3557"/>
      <c r="R106" s="3694"/>
      <c r="S106" s="3694"/>
      <c r="T106" s="3694"/>
      <c r="U106" s="3694"/>
      <c r="V106" s="3694"/>
      <c r="W106" s="3694"/>
      <c r="X106" s="3694"/>
      <c r="Y106" s="3694"/>
      <c r="Z106" s="3694"/>
      <c r="AA106" s="3694"/>
      <c r="AB106" s="3694"/>
      <c r="AC106" s="3694"/>
    </row>
    <row r="107" spans="1:29" ht="15" thickTop="1">
      <c r="A107" s="3679"/>
      <c r="B107" s="3749" t="s">
        <v>3265</v>
      </c>
      <c r="C107" s="3813" t="s">
        <v>3266</v>
      </c>
      <c r="D107" s="3813" t="s">
        <v>3267</v>
      </c>
      <c r="E107" s="3797"/>
      <c r="F107" s="3797"/>
      <c r="G107" s="3797"/>
      <c r="H107" s="3797"/>
      <c r="I107" s="3797"/>
      <c r="J107" s="3797"/>
      <c r="K107" s="3798"/>
      <c r="L107" s="3799"/>
      <c r="M107" s="3800"/>
      <c r="N107" s="3599"/>
      <c r="O107" s="3599"/>
      <c r="P107" s="3557"/>
      <c r="Q107" s="3557"/>
      <c r="R107" s="3694"/>
      <c r="S107" s="3694"/>
      <c r="T107" s="3694"/>
      <c r="U107" s="3694"/>
      <c r="V107" s="3694"/>
      <c r="W107" s="3694"/>
      <c r="X107" s="3694"/>
      <c r="Y107" s="3694"/>
      <c r="Z107" s="3694"/>
      <c r="AA107" s="3694"/>
      <c r="AB107" s="3694"/>
      <c r="AC107" s="3694"/>
    </row>
    <row r="108" spans="1:29" ht="15.75" thickBot="1">
      <c r="A108" s="3616"/>
      <c r="B108" s="3754"/>
      <c r="C108" s="3755">
        <v>100</v>
      </c>
      <c r="D108" s="3755">
        <f t="shared" ref="D108:M108" si="25">C108-$K35</f>
        <v>95</v>
      </c>
      <c r="E108" s="3755">
        <f t="shared" si="25"/>
        <v>90</v>
      </c>
      <c r="F108" s="3755">
        <f t="shared" si="25"/>
        <v>85</v>
      </c>
      <c r="G108" s="3755">
        <f t="shared" si="25"/>
        <v>80</v>
      </c>
      <c r="H108" s="3755">
        <f t="shared" si="25"/>
        <v>75</v>
      </c>
      <c r="I108" s="3755">
        <f t="shared" si="25"/>
        <v>70</v>
      </c>
      <c r="J108" s="3755">
        <f t="shared" si="25"/>
        <v>65</v>
      </c>
      <c r="K108" s="3755">
        <f t="shared" si="25"/>
        <v>60</v>
      </c>
      <c r="L108" s="3755">
        <f t="shared" si="25"/>
        <v>55</v>
      </c>
      <c r="M108" s="3755">
        <f t="shared" si="25"/>
        <v>50</v>
      </c>
      <c r="N108" s="3748"/>
      <c r="O108" s="3748"/>
      <c r="P108" s="3557"/>
      <c r="Q108" s="3557"/>
      <c r="R108" s="3694"/>
      <c r="S108" s="3694"/>
      <c r="T108" s="3694"/>
      <c r="U108" s="3694"/>
      <c r="V108" s="3694"/>
      <c r="W108" s="3694"/>
      <c r="X108" s="3694"/>
      <c r="Y108" s="3694"/>
      <c r="Z108" s="3694"/>
      <c r="AA108" s="3694"/>
      <c r="AB108" s="3694"/>
      <c r="AC108" s="3694"/>
    </row>
    <row r="109" spans="1:29" ht="15" thickTop="1">
      <c r="A109" s="3679"/>
      <c r="B109" s="3749" t="s">
        <v>3268</v>
      </c>
      <c r="C109" s="3796" t="s">
        <v>3269</v>
      </c>
      <c r="D109" s="3796" t="s">
        <v>3270</v>
      </c>
      <c r="E109" s="3796" t="s">
        <v>3271</v>
      </c>
      <c r="F109" s="3813" t="s">
        <v>3272</v>
      </c>
      <c r="G109" s="3797"/>
      <c r="H109" s="3797"/>
      <c r="I109" s="3797"/>
      <c r="J109" s="3797"/>
      <c r="K109" s="3798"/>
      <c r="L109" s="3799"/>
      <c r="M109" s="3800"/>
      <c r="N109" s="3599"/>
      <c r="O109" s="3599"/>
      <c r="P109" s="3557"/>
      <c r="Q109" s="3557"/>
      <c r="R109" s="3694"/>
      <c r="S109" s="3694"/>
      <c r="T109" s="3694"/>
      <c r="U109" s="3694"/>
      <c r="V109" s="3694"/>
      <c r="W109" s="3694"/>
      <c r="X109" s="3694"/>
      <c r="Y109" s="3694"/>
      <c r="Z109" s="3694"/>
      <c r="AA109" s="3694"/>
      <c r="AB109" s="3694"/>
      <c r="AC109" s="3694"/>
    </row>
    <row r="110" spans="1:29" ht="15.75" thickBot="1">
      <c r="A110" s="3616"/>
      <c r="B110" s="3754"/>
      <c r="C110" s="3755">
        <v>100</v>
      </c>
      <c r="D110" s="3755">
        <f t="shared" ref="D110:M110" si="26">C110-$K36</f>
        <v>98</v>
      </c>
      <c r="E110" s="3755">
        <f t="shared" si="26"/>
        <v>96</v>
      </c>
      <c r="F110" s="3755">
        <f t="shared" si="26"/>
        <v>94</v>
      </c>
      <c r="G110" s="3755">
        <f t="shared" si="26"/>
        <v>92</v>
      </c>
      <c r="H110" s="3755">
        <f t="shared" si="26"/>
        <v>90</v>
      </c>
      <c r="I110" s="3755">
        <f t="shared" si="26"/>
        <v>88</v>
      </c>
      <c r="J110" s="3755">
        <f t="shared" si="26"/>
        <v>86</v>
      </c>
      <c r="K110" s="3755">
        <f t="shared" si="26"/>
        <v>84</v>
      </c>
      <c r="L110" s="3755">
        <f t="shared" si="26"/>
        <v>82</v>
      </c>
      <c r="M110" s="3755">
        <f t="shared" si="26"/>
        <v>80</v>
      </c>
      <c r="N110" s="3748"/>
      <c r="O110" s="3748"/>
      <c r="P110" s="3557"/>
      <c r="Q110" s="3557"/>
      <c r="R110" s="3694"/>
      <c r="S110" s="3694"/>
      <c r="T110" s="3694"/>
      <c r="U110" s="3694"/>
      <c r="V110" s="3694"/>
      <c r="W110" s="3694"/>
      <c r="X110" s="3694"/>
      <c r="Y110" s="3694"/>
      <c r="Z110" s="3694"/>
      <c r="AA110" s="3694"/>
      <c r="AB110" s="3694"/>
      <c r="AC110" s="3694"/>
    </row>
    <row r="111" spans="1:29" s="3678" customFormat="1" ht="15.75" hidden="1" thickTop="1" thickBot="1">
      <c r="A111" s="3669"/>
      <c r="B111" s="3749" t="s">
        <v>3273</v>
      </c>
      <c r="C111" s="3786" t="str">
        <f>C112&amp;"(含)"&amp;"-"&amp;D112</f>
        <v>0.5(含)-0.6</v>
      </c>
      <c r="D111" s="3786" t="str">
        <f>D112&amp;"(含)"&amp;"-"&amp;E112</f>
        <v>0.6(含)-0.7</v>
      </c>
      <c r="E111" s="3786" t="str">
        <f>E112&amp;"(含)"&amp;"-"&amp;F112</f>
        <v>0.7(含)-0.8</v>
      </c>
      <c r="F111" s="3786" t="str">
        <f>F112&amp;"(含)"&amp;"-"&amp;G112</f>
        <v>0.8(含)-0.9</v>
      </c>
      <c r="G111" s="3786" t="str">
        <f>G112&amp;"(含)"&amp;"-"&amp;ROUND(H112,0)</f>
        <v>0.9(含)-1</v>
      </c>
      <c r="H111" s="3786" t="str">
        <f>ROUND(H112,0)&amp;"(含)"&amp;"-"&amp;I112</f>
        <v>1(含)-</v>
      </c>
      <c r="I111" s="3786"/>
      <c r="J111" s="3814"/>
      <c r="K111" s="3814"/>
      <c r="L111" s="3815"/>
      <c r="M111" s="3816"/>
      <c r="N111" s="3590"/>
      <c r="O111" s="3590"/>
      <c r="P111" s="3590"/>
      <c r="Q111" s="3590"/>
      <c r="R111" s="3769"/>
      <c r="S111" s="3769"/>
      <c r="T111" s="3769"/>
      <c r="U111" s="3769"/>
      <c r="V111" s="3769"/>
      <c r="W111" s="3769"/>
      <c r="X111" s="3769"/>
      <c r="Y111" s="3769"/>
      <c r="Z111" s="3769"/>
      <c r="AA111" s="3769"/>
      <c r="AB111" s="3769"/>
      <c r="AC111" s="3769"/>
    </row>
    <row r="112" spans="1:29" s="3678" customFormat="1" ht="15.75" hidden="1" thickTop="1" thickBot="1">
      <c r="A112" s="3669"/>
      <c r="B112" s="3757"/>
      <c r="C112" s="3576">
        <v>0.5</v>
      </c>
      <c r="D112" s="3576">
        <v>0.6</v>
      </c>
      <c r="E112" s="3576">
        <v>0.7</v>
      </c>
      <c r="F112" s="3576">
        <v>0.8</v>
      </c>
      <c r="G112" s="3576">
        <v>0.9</v>
      </c>
      <c r="H112" s="3576">
        <v>1.0001</v>
      </c>
      <c r="I112" s="3576"/>
      <c r="J112" s="3673"/>
      <c r="K112" s="3673"/>
      <c r="L112" s="3817"/>
      <c r="M112" s="3818"/>
      <c r="N112" s="3590"/>
      <c r="O112" s="3590"/>
      <c r="P112" s="3590"/>
      <c r="Q112" s="3590"/>
      <c r="R112" s="3769"/>
      <c r="S112" s="3769"/>
      <c r="T112" s="3769"/>
      <c r="U112" s="3769"/>
      <c r="V112" s="3769"/>
      <c r="W112" s="3769"/>
      <c r="X112" s="3769"/>
      <c r="Y112" s="3769"/>
      <c r="Z112" s="3769"/>
      <c r="AA112" s="3769"/>
      <c r="AB112" s="3769"/>
      <c r="AC112" s="3769"/>
    </row>
    <row r="113" spans="1:29" s="3678" customFormat="1" ht="16.5" hidden="1" thickTop="1" thickBot="1">
      <c r="A113" s="3764"/>
      <c r="B113" s="3754"/>
      <c r="C113" s="3794">
        <v>100</v>
      </c>
      <c r="D113" s="3755">
        <f>C113+$K37</f>
        <v>102</v>
      </c>
      <c r="E113" s="3755">
        <f>D113+$K37</f>
        <v>104</v>
      </c>
      <c r="F113" s="3755">
        <f>E113+$K37</f>
        <v>106</v>
      </c>
      <c r="G113" s="3755">
        <f>F113+$K37</f>
        <v>108</v>
      </c>
      <c r="H113" s="3755">
        <f>G113+$K37</f>
        <v>110</v>
      </c>
      <c r="I113" s="3794"/>
      <c r="J113" s="3819"/>
      <c r="K113" s="3819"/>
      <c r="L113" s="3819"/>
      <c r="M113" s="3820"/>
      <c r="N113" s="3590"/>
      <c r="O113" s="3590"/>
      <c r="P113" s="3590"/>
      <c r="Q113" s="3590"/>
      <c r="R113" s="3769"/>
      <c r="S113" s="3769"/>
      <c r="T113" s="3769"/>
      <c r="U113" s="3769"/>
      <c r="V113" s="3769"/>
      <c r="W113" s="3769"/>
      <c r="X113" s="3769"/>
      <c r="Y113" s="3769"/>
      <c r="Z113" s="3769"/>
      <c r="AA113" s="3769"/>
      <c r="AB113" s="3769"/>
      <c r="AC113" s="3769"/>
    </row>
    <row r="114" spans="1:29" ht="15" thickTop="1">
      <c r="A114" s="3679"/>
      <c r="B114" s="3749" t="s">
        <v>3274</v>
      </c>
      <c r="C114" s="3796" t="s">
        <v>3275</v>
      </c>
      <c r="D114" s="3796" t="s">
        <v>3276</v>
      </c>
      <c r="E114" s="3813" t="s">
        <v>3277</v>
      </c>
      <c r="F114" s="3797"/>
      <c r="G114" s="3797"/>
      <c r="H114" s="3797"/>
      <c r="I114" s="3797"/>
      <c r="J114" s="3797"/>
      <c r="K114" s="3798"/>
      <c r="L114" s="3799"/>
      <c r="M114" s="3800"/>
      <c r="N114" s="3599"/>
      <c r="O114" s="3599"/>
      <c r="P114" s="3557"/>
      <c r="Q114" s="3557"/>
      <c r="R114" s="3694"/>
      <c r="S114" s="3694"/>
      <c r="T114" s="3694"/>
      <c r="U114" s="3694"/>
      <c r="V114" s="3694"/>
      <c r="W114" s="3694"/>
      <c r="X114" s="3694"/>
      <c r="Y114" s="3694"/>
      <c r="Z114" s="3694"/>
      <c r="AA114" s="3694"/>
      <c r="AB114" s="3694"/>
      <c r="AC114" s="3694"/>
    </row>
    <row r="115" spans="1:29" ht="15.75" thickBot="1">
      <c r="A115" s="3616"/>
      <c r="B115" s="3754"/>
      <c r="C115" s="3755">
        <v>100</v>
      </c>
      <c r="D115" s="3755">
        <f t="shared" ref="D115:M115" si="27">C115-$K38</f>
        <v>98</v>
      </c>
      <c r="E115" s="3755">
        <f t="shared" si="27"/>
        <v>96</v>
      </c>
      <c r="F115" s="3755">
        <f t="shared" si="27"/>
        <v>94</v>
      </c>
      <c r="G115" s="3755">
        <f t="shared" si="27"/>
        <v>92</v>
      </c>
      <c r="H115" s="3755">
        <f t="shared" si="27"/>
        <v>90</v>
      </c>
      <c r="I115" s="3755">
        <f t="shared" si="27"/>
        <v>88</v>
      </c>
      <c r="J115" s="3755">
        <f t="shared" si="27"/>
        <v>86</v>
      </c>
      <c r="K115" s="3755">
        <f t="shared" si="27"/>
        <v>84</v>
      </c>
      <c r="L115" s="3755">
        <f t="shared" si="27"/>
        <v>82</v>
      </c>
      <c r="M115" s="3755">
        <f t="shared" si="27"/>
        <v>80</v>
      </c>
      <c r="N115" s="3748"/>
      <c r="O115" s="3748"/>
      <c r="P115" s="3557"/>
      <c r="Q115" s="3557"/>
      <c r="R115" s="3694"/>
      <c r="S115" s="3694"/>
      <c r="T115" s="3694"/>
      <c r="U115" s="3694"/>
      <c r="V115" s="3694"/>
      <c r="W115" s="3694"/>
      <c r="X115" s="3694"/>
      <c r="Y115" s="3694"/>
      <c r="Z115" s="3694"/>
      <c r="AA115" s="3694"/>
      <c r="AB115" s="3694"/>
      <c r="AC115" s="3694"/>
    </row>
    <row r="116" spans="1:29" ht="15" thickTop="1">
      <c r="A116" s="3679"/>
      <c r="B116" s="3787" t="s">
        <v>2562</v>
      </c>
      <c r="C116" s="3796" t="s">
        <v>1987</v>
      </c>
      <c r="D116" s="3796" t="s">
        <v>1986</v>
      </c>
      <c r="E116" s="3796" t="s">
        <v>1985</v>
      </c>
      <c r="F116" s="3796" t="s">
        <v>1984</v>
      </c>
      <c r="G116" s="3796" t="s">
        <v>3278</v>
      </c>
      <c r="H116" s="3797"/>
      <c r="I116" s="3797"/>
      <c r="J116" s="3797"/>
      <c r="K116" s="3798"/>
      <c r="L116" s="3799"/>
      <c r="M116" s="3800"/>
      <c r="N116" s="3599"/>
      <c r="O116" s="3599"/>
      <c r="P116" s="3557"/>
      <c r="Q116" s="3557"/>
      <c r="R116" s="3694"/>
      <c r="S116" s="3694"/>
      <c r="T116" s="3694"/>
      <c r="U116" s="3694"/>
      <c r="V116" s="3694"/>
      <c r="W116" s="3694"/>
      <c r="X116" s="3694"/>
      <c r="Y116" s="3694"/>
      <c r="Z116" s="3694"/>
      <c r="AA116" s="3694"/>
      <c r="AB116" s="3694"/>
      <c r="AC116" s="3694"/>
    </row>
    <row r="117" spans="1:29" ht="15.75" thickBot="1">
      <c r="A117" s="3616"/>
      <c r="B117" s="3754"/>
      <c r="C117" s="3755">
        <v>100</v>
      </c>
      <c r="D117" s="3755">
        <f>C117-$K39</f>
        <v>99</v>
      </c>
      <c r="E117" s="3755">
        <f>D117-$K39</f>
        <v>98</v>
      </c>
      <c r="F117" s="3755">
        <f>E117-$K39</f>
        <v>97</v>
      </c>
      <c r="G117" s="3755">
        <f>F117-$K39</f>
        <v>96</v>
      </c>
      <c r="H117" s="3755"/>
      <c r="I117" s="3755"/>
      <c r="J117" s="3755"/>
      <c r="K117" s="3755"/>
      <c r="L117" s="3755"/>
      <c r="M117" s="3756"/>
      <c r="N117" s="3748"/>
      <c r="O117" s="3748"/>
      <c r="P117" s="3557"/>
      <c r="Q117" s="3557"/>
      <c r="R117" s="3694"/>
      <c r="S117" s="3694"/>
      <c r="T117" s="3694"/>
      <c r="U117" s="3694"/>
      <c r="V117" s="3694"/>
      <c r="W117" s="3694"/>
      <c r="X117" s="3694"/>
      <c r="Y117" s="3694"/>
      <c r="Z117" s="3694"/>
      <c r="AA117" s="3694"/>
      <c r="AB117" s="3694"/>
      <c r="AC117" s="3694"/>
    </row>
    <row r="118" spans="1:29" ht="15.75" hidden="1" thickTop="1" thickBot="1">
      <c r="A118" s="3679"/>
      <c r="B118" s="3749" t="s">
        <v>755</v>
      </c>
      <c r="C118" s="3797"/>
      <c r="D118" s="3797"/>
      <c r="E118" s="3797"/>
      <c r="F118" s="3797"/>
      <c r="G118" s="3797"/>
      <c r="H118" s="3797"/>
      <c r="I118" s="3797"/>
      <c r="J118" s="3797"/>
      <c r="K118" s="3798"/>
      <c r="L118" s="3799"/>
      <c r="M118" s="3800"/>
      <c r="N118" s="3599"/>
      <c r="O118" s="3599"/>
      <c r="P118" s="3557"/>
      <c r="Q118" s="3557"/>
      <c r="R118" s="3694"/>
      <c r="S118" s="3694"/>
      <c r="T118" s="3694"/>
      <c r="U118" s="3694"/>
      <c r="V118" s="3694"/>
      <c r="W118" s="3694"/>
      <c r="X118" s="3694"/>
      <c r="Y118" s="3694"/>
      <c r="Z118" s="3694"/>
      <c r="AA118" s="3694"/>
      <c r="AB118" s="3694"/>
      <c r="AC118" s="3694"/>
    </row>
    <row r="119" spans="1:29" ht="16.5" hidden="1" thickTop="1" thickBot="1">
      <c r="A119" s="3616"/>
      <c r="B119" s="3754"/>
      <c r="C119" s="3755">
        <v>100</v>
      </c>
      <c r="D119" s="3755">
        <f t="shared" ref="D119:M119" si="28">C119-$K40</f>
        <v>100</v>
      </c>
      <c r="E119" s="3755">
        <f t="shared" si="28"/>
        <v>100</v>
      </c>
      <c r="F119" s="3755">
        <f t="shared" si="28"/>
        <v>100</v>
      </c>
      <c r="G119" s="3755">
        <f t="shared" si="28"/>
        <v>100</v>
      </c>
      <c r="H119" s="3755">
        <f t="shared" si="28"/>
        <v>100</v>
      </c>
      <c r="I119" s="3755">
        <f t="shared" si="28"/>
        <v>100</v>
      </c>
      <c r="J119" s="3755">
        <f t="shared" si="28"/>
        <v>100</v>
      </c>
      <c r="K119" s="3755">
        <f t="shared" si="28"/>
        <v>100</v>
      </c>
      <c r="L119" s="3755">
        <f t="shared" si="28"/>
        <v>100</v>
      </c>
      <c r="M119" s="3755">
        <f t="shared" si="28"/>
        <v>100</v>
      </c>
      <c r="N119" s="3748"/>
      <c r="O119" s="3748"/>
      <c r="P119" s="3557"/>
      <c r="Q119" s="3557"/>
      <c r="R119" s="3694"/>
      <c r="S119" s="3694"/>
      <c r="T119" s="3694"/>
      <c r="U119" s="3694"/>
      <c r="V119" s="3694"/>
      <c r="W119" s="3694"/>
      <c r="X119" s="3694"/>
      <c r="Y119" s="3694"/>
      <c r="Z119" s="3694"/>
      <c r="AA119" s="3694"/>
      <c r="AB119" s="3694"/>
      <c r="AC119" s="3694"/>
    </row>
    <row r="120" spans="1:29" s="3678" customFormat="1" ht="29.25" hidden="1" thickTop="1" thickBot="1">
      <c r="A120" s="3669"/>
      <c r="B120" s="3749" t="s">
        <v>734</v>
      </c>
      <c r="C120" s="3765"/>
      <c r="D120" s="3765"/>
      <c r="E120" s="3765"/>
      <c r="F120" s="3765"/>
      <c r="G120" s="3765"/>
      <c r="H120" s="3765"/>
      <c r="I120" s="3765"/>
      <c r="J120" s="3765"/>
      <c r="K120" s="3765"/>
      <c r="L120" s="3792"/>
      <c r="M120" s="3793"/>
      <c r="N120" s="3590"/>
      <c r="O120" s="3590"/>
      <c r="P120" s="3590"/>
      <c r="Q120" s="3590"/>
      <c r="R120" s="3769"/>
      <c r="S120" s="3769"/>
      <c r="T120" s="3769"/>
      <c r="U120" s="3769"/>
      <c r="V120" s="3769"/>
      <c r="W120" s="3769"/>
      <c r="X120" s="3769"/>
      <c r="Y120" s="3769"/>
      <c r="Z120" s="3769"/>
      <c r="AA120" s="3769"/>
      <c r="AB120" s="3769"/>
      <c r="AC120" s="3769"/>
    </row>
    <row r="121" spans="1:29" s="3678" customFormat="1" ht="16.5" hidden="1" thickTop="1" thickBot="1">
      <c r="A121" s="3764"/>
      <c r="B121" s="3744"/>
      <c r="C121" s="3770"/>
      <c r="D121" s="3745"/>
      <c r="E121" s="3745"/>
      <c r="F121" s="3745"/>
      <c r="G121" s="3745"/>
      <c r="H121" s="3745"/>
      <c r="I121" s="3745"/>
      <c r="J121" s="3745"/>
      <c r="K121" s="3745"/>
      <c r="L121" s="3745"/>
      <c r="M121" s="3745"/>
      <c r="N121" s="3590"/>
      <c r="O121" s="3590"/>
      <c r="P121" s="3590"/>
      <c r="Q121" s="3590"/>
      <c r="R121" s="3769"/>
      <c r="S121" s="3769"/>
      <c r="T121" s="3769"/>
      <c r="U121" s="3769"/>
      <c r="V121" s="3769"/>
      <c r="W121" s="3769"/>
      <c r="X121" s="3769"/>
      <c r="Y121" s="3769"/>
      <c r="Z121" s="3769"/>
      <c r="AA121" s="3769"/>
      <c r="AB121" s="3769"/>
      <c r="AC121" s="3769"/>
    </row>
    <row r="122" spans="1:29" ht="15" thickTop="1">
      <c r="A122" s="3679"/>
      <c r="B122" s="3749" t="s">
        <v>756</v>
      </c>
      <c r="C122" s="3796" t="s">
        <v>3279</v>
      </c>
      <c r="D122" s="3796" t="s">
        <v>3280</v>
      </c>
      <c r="E122" s="3796" t="s">
        <v>3281</v>
      </c>
      <c r="F122" s="3813" t="s">
        <v>3282</v>
      </c>
      <c r="G122" s="3797"/>
      <c r="H122" s="3797"/>
      <c r="I122" s="3797"/>
      <c r="J122" s="3797"/>
      <c r="K122" s="3798"/>
      <c r="L122" s="3799"/>
      <c r="M122" s="3800"/>
      <c r="N122" s="3599"/>
      <c r="O122" s="3599"/>
      <c r="P122" s="3557"/>
      <c r="Q122" s="3557"/>
      <c r="R122" s="3694"/>
      <c r="S122" s="3694"/>
      <c r="T122" s="3694"/>
      <c r="U122" s="3694"/>
      <c r="V122" s="3694"/>
      <c r="W122" s="3694"/>
      <c r="X122" s="3694"/>
      <c r="Y122" s="3694"/>
      <c r="Z122" s="3694"/>
      <c r="AA122" s="3694"/>
      <c r="AB122" s="3694"/>
      <c r="AC122" s="3694"/>
    </row>
    <row r="123" spans="1:29" ht="15.75" thickBot="1">
      <c r="A123" s="3616"/>
      <c r="B123" s="3754"/>
      <c r="C123" s="3755">
        <v>100</v>
      </c>
      <c r="D123" s="3755">
        <f t="shared" ref="D123:M123" si="29">C123-$K42</f>
        <v>98</v>
      </c>
      <c r="E123" s="3755">
        <f t="shared" si="29"/>
        <v>96</v>
      </c>
      <c r="F123" s="3755">
        <f t="shared" si="29"/>
        <v>94</v>
      </c>
      <c r="G123" s="3755">
        <f t="shared" si="29"/>
        <v>92</v>
      </c>
      <c r="H123" s="3755">
        <f t="shared" si="29"/>
        <v>90</v>
      </c>
      <c r="I123" s="3755">
        <f t="shared" si="29"/>
        <v>88</v>
      </c>
      <c r="J123" s="3755">
        <f t="shared" si="29"/>
        <v>86</v>
      </c>
      <c r="K123" s="3755">
        <f t="shared" si="29"/>
        <v>84</v>
      </c>
      <c r="L123" s="3755">
        <f t="shared" si="29"/>
        <v>82</v>
      </c>
      <c r="M123" s="3755">
        <f t="shared" si="29"/>
        <v>80</v>
      </c>
      <c r="N123" s="3748"/>
      <c r="O123" s="3748"/>
      <c r="P123" s="3557"/>
      <c r="Q123" s="3557"/>
      <c r="R123" s="3694"/>
      <c r="S123" s="3694"/>
      <c r="T123" s="3694"/>
      <c r="U123" s="3694"/>
      <c r="V123" s="3694"/>
      <c r="W123" s="3694"/>
      <c r="X123" s="3694"/>
      <c r="Y123" s="3694"/>
      <c r="Z123" s="3694"/>
      <c r="AA123" s="3694"/>
      <c r="AB123" s="3694"/>
      <c r="AC123" s="3694"/>
    </row>
    <row r="124" spans="1:29" ht="27.75" hidden="1" thickTop="1">
      <c r="A124" s="3679"/>
      <c r="B124" s="3749" t="s">
        <v>757</v>
      </c>
      <c r="C124" s="3786" t="s">
        <v>580</v>
      </c>
      <c r="D124" s="3786" t="s">
        <v>581</v>
      </c>
      <c r="E124" s="3786" t="s">
        <v>582</v>
      </c>
      <c r="F124" s="3786" t="s">
        <v>583</v>
      </c>
      <c r="G124" s="3786" t="s">
        <v>584</v>
      </c>
      <c r="H124" s="3750"/>
      <c r="I124" s="3750"/>
      <c r="J124" s="3750"/>
      <c r="K124" s="3751"/>
      <c r="L124" s="3752"/>
      <c r="M124" s="3753"/>
      <c r="N124" s="3599"/>
      <c r="O124" s="3599"/>
      <c r="P124" s="3590"/>
      <c r="Q124" s="3557"/>
      <c r="R124" s="3694"/>
      <c r="S124" s="3694"/>
      <c r="T124" s="3694"/>
      <c r="U124" s="3694"/>
      <c r="V124" s="3694"/>
      <c r="W124" s="3694"/>
      <c r="X124" s="3694"/>
      <c r="Y124" s="3694"/>
      <c r="Z124" s="3694"/>
      <c r="AA124" s="3694"/>
      <c r="AB124" s="3694"/>
      <c r="AC124" s="3694"/>
    </row>
    <row r="125" spans="1:29" ht="16.5" hidden="1" thickTop="1" thickBot="1">
      <c r="A125" s="3616"/>
      <c r="B125" s="3754"/>
      <c r="C125" s="3755">
        <v>100</v>
      </c>
      <c r="D125" s="3755">
        <f>C125-$K43</f>
        <v>100</v>
      </c>
      <c r="E125" s="3755">
        <f>D125-$K43</f>
        <v>100</v>
      </c>
      <c r="F125" s="3755">
        <f>E125-$K43</f>
        <v>100</v>
      </c>
      <c r="G125" s="3755">
        <f>F125-$K43</f>
        <v>100</v>
      </c>
      <c r="H125" s="3755"/>
      <c r="I125" s="3755"/>
      <c r="J125" s="3755"/>
      <c r="K125" s="3755"/>
      <c r="L125" s="3755"/>
      <c r="M125" s="3756"/>
      <c r="N125" s="3748"/>
      <c r="O125" s="3748"/>
      <c r="P125" s="3557"/>
      <c r="Q125" s="3557"/>
      <c r="R125" s="3694"/>
      <c r="S125" s="3694"/>
      <c r="T125" s="3694"/>
      <c r="U125" s="3694"/>
      <c r="V125" s="3694"/>
      <c r="W125" s="3694"/>
      <c r="X125" s="3694"/>
      <c r="Y125" s="3694"/>
      <c r="Z125" s="3694"/>
      <c r="AA125" s="3694"/>
      <c r="AB125" s="3694"/>
      <c r="AC125" s="3694"/>
    </row>
    <row r="126" spans="1:29" s="3678" customFormat="1" ht="15" hidden="1" thickTop="1">
      <c r="A126" s="3669"/>
      <c r="B126" s="3749">
        <f>B44</f>
        <v>0</v>
      </c>
      <c r="C126" s="3765"/>
      <c r="D126" s="3765"/>
      <c r="E126" s="3765"/>
      <c r="F126" s="3765"/>
      <c r="G126" s="3765"/>
      <c r="H126" s="3766"/>
      <c r="I126" s="3766"/>
      <c r="J126" s="3766"/>
      <c r="K126" s="3766"/>
      <c r="L126" s="3767"/>
      <c r="M126" s="3768"/>
      <c r="N126" s="3590"/>
      <c r="O126" s="3590"/>
      <c r="P126" s="3590"/>
      <c r="Q126" s="3590"/>
      <c r="R126" s="3769"/>
      <c r="S126" s="3769"/>
      <c r="T126" s="3769"/>
      <c r="U126" s="3769"/>
      <c r="V126" s="3769"/>
      <c r="W126" s="3769"/>
      <c r="X126" s="3769"/>
      <c r="Y126" s="3769"/>
      <c r="Z126" s="3769"/>
      <c r="AA126" s="3769"/>
      <c r="AB126" s="3769"/>
      <c r="AC126" s="3769"/>
    </row>
    <row r="127" spans="1:29" s="3678" customFormat="1" ht="16.5" hidden="1" thickTop="1" thickBot="1">
      <c r="A127" s="3764"/>
      <c r="B127" s="3754"/>
      <c r="C127" s="3770"/>
      <c r="D127" s="3745"/>
      <c r="E127" s="3745"/>
      <c r="F127" s="3745"/>
      <c r="G127" s="3770"/>
      <c r="H127" s="3772"/>
      <c r="I127" s="3772"/>
      <c r="J127" s="3772"/>
      <c r="K127" s="3772"/>
      <c r="L127" s="3772"/>
      <c r="M127" s="3773"/>
      <c r="N127" s="3590"/>
      <c r="O127" s="3590"/>
      <c r="P127" s="3590"/>
      <c r="Q127" s="3590"/>
      <c r="R127" s="3769"/>
      <c r="S127" s="3769"/>
      <c r="T127" s="3769"/>
      <c r="U127" s="3769"/>
      <c r="V127" s="3769"/>
      <c r="W127" s="3769"/>
      <c r="X127" s="3769"/>
      <c r="Y127" s="3769"/>
      <c r="Z127" s="3769"/>
      <c r="AA127" s="3769"/>
      <c r="AB127" s="3769"/>
      <c r="AC127" s="3769"/>
    </row>
    <row r="128" spans="1:29" ht="15" hidden="1" thickTop="1">
      <c r="A128" s="3679"/>
      <c r="B128" s="3749">
        <f>B45</f>
        <v>0</v>
      </c>
      <c r="C128" s="3765"/>
      <c r="D128" s="3765"/>
      <c r="E128" s="3765"/>
      <c r="F128" s="3765"/>
      <c r="G128" s="3797"/>
      <c r="H128" s="3797"/>
      <c r="I128" s="3797"/>
      <c r="J128" s="3797"/>
      <c r="K128" s="3798"/>
      <c r="L128" s="3799"/>
      <c r="M128" s="3800"/>
      <c r="N128" s="3599"/>
      <c r="O128" s="3599"/>
      <c r="P128" s="3557"/>
      <c r="Q128" s="3557"/>
      <c r="R128" s="3694"/>
      <c r="S128" s="3694"/>
      <c r="T128" s="3694"/>
      <c r="U128" s="3694"/>
      <c r="V128" s="3694"/>
      <c r="W128" s="3694"/>
      <c r="X128" s="3694"/>
      <c r="Y128" s="3694"/>
      <c r="Z128" s="3694"/>
      <c r="AA128" s="3694"/>
      <c r="AB128" s="3694"/>
      <c r="AC128" s="3694"/>
    </row>
    <row r="129" spans="1:29" ht="16.5" hidden="1" thickTop="1" thickBot="1">
      <c r="A129" s="3616"/>
      <c r="B129" s="3754"/>
      <c r="C129" s="3770"/>
      <c r="D129" s="3770"/>
      <c r="E129" s="3770"/>
      <c r="F129" s="3770"/>
      <c r="G129" s="3745"/>
      <c r="H129" s="3745"/>
      <c r="I129" s="3745"/>
      <c r="J129" s="3745"/>
      <c r="K129" s="3745"/>
      <c r="L129" s="3745"/>
      <c r="M129" s="3771"/>
      <c r="N129" s="3748"/>
      <c r="O129" s="3748"/>
      <c r="P129" s="3557"/>
      <c r="Q129" s="3557"/>
      <c r="R129" s="3694"/>
      <c r="S129" s="3694"/>
      <c r="T129" s="3694"/>
      <c r="U129" s="3694"/>
      <c r="V129" s="3694"/>
      <c r="W129" s="3694"/>
      <c r="X129" s="3694"/>
      <c r="Y129" s="3694"/>
      <c r="Z129" s="3694"/>
      <c r="AA129" s="3694"/>
      <c r="AB129" s="3694"/>
      <c r="AC129" s="3694"/>
    </row>
    <row r="130" spans="1:29" ht="15" hidden="1" thickTop="1">
      <c r="A130" s="3679"/>
      <c r="B130" s="3757">
        <f>B46</f>
        <v>0</v>
      </c>
      <c r="C130" s="3765"/>
      <c r="D130" s="3765"/>
      <c r="E130" s="3765"/>
      <c r="F130" s="3765"/>
      <c r="G130" s="3801"/>
      <c r="H130" s="3801"/>
      <c r="I130" s="3801"/>
      <c r="J130" s="3801"/>
      <c r="K130" s="3731"/>
      <c r="L130" s="3732"/>
      <c r="M130" s="3804"/>
      <c r="N130" s="3599"/>
      <c r="O130" s="3599"/>
      <c r="P130" s="3557"/>
      <c r="Q130" s="3557"/>
      <c r="R130" s="3694"/>
      <c r="S130" s="3694"/>
      <c r="T130" s="3694"/>
      <c r="U130" s="3694"/>
      <c r="V130" s="3694"/>
      <c r="W130" s="3694"/>
      <c r="X130" s="3694"/>
      <c r="Y130" s="3694"/>
      <c r="Z130" s="3694"/>
      <c r="AA130" s="3694"/>
      <c r="AB130" s="3694"/>
      <c r="AC130" s="3694"/>
    </row>
    <row r="131" spans="1:29" ht="16.5" hidden="1" thickTop="1" thickBot="1">
      <c r="A131" s="3650"/>
      <c r="B131" s="3779"/>
      <c r="C131" s="3780"/>
      <c r="D131" s="3780"/>
      <c r="E131" s="3780"/>
      <c r="F131" s="3780"/>
      <c r="G131" s="3805"/>
      <c r="H131" s="3805"/>
      <c r="I131" s="3805"/>
      <c r="J131" s="3805"/>
      <c r="K131" s="3805"/>
      <c r="L131" s="3805"/>
      <c r="M131" s="3806"/>
      <c r="N131" s="3748"/>
      <c r="O131" s="3748"/>
      <c r="P131" s="3557"/>
      <c r="Q131" s="3557"/>
      <c r="R131" s="3694"/>
      <c r="S131" s="3694"/>
      <c r="T131" s="3694"/>
      <c r="U131" s="3694"/>
      <c r="V131" s="3694"/>
      <c r="W131" s="3694"/>
      <c r="X131" s="3694"/>
      <c r="Y131" s="3694"/>
      <c r="Z131" s="3694"/>
      <c r="AA131" s="3694"/>
      <c r="AB131" s="3694"/>
      <c r="AC131" s="3694"/>
    </row>
    <row r="132" spans="1:29" ht="15" thickTop="1">
      <c r="A132" s="3821"/>
      <c r="B132" s="3821"/>
      <c r="C132" s="3821"/>
      <c r="D132" s="3821"/>
      <c r="E132" s="3821"/>
      <c r="F132" s="3821"/>
      <c r="G132" s="3821"/>
      <c r="H132" s="3821"/>
      <c r="I132" s="3821"/>
      <c r="J132" s="3821"/>
      <c r="K132" s="3821"/>
      <c r="L132" s="3821"/>
      <c r="M132" s="3821"/>
      <c r="N132" s="3821"/>
      <c r="O132" s="3821"/>
      <c r="P132" s="3821"/>
      <c r="Q132" s="3821"/>
      <c r="R132" s="3821"/>
      <c r="S132" s="3821"/>
      <c r="T132" s="3821"/>
      <c r="U132" s="3821"/>
      <c r="V132" s="3821"/>
      <c r="W132" s="3821"/>
      <c r="X132" s="3821"/>
      <c r="Y132" s="3821"/>
      <c r="Z132" s="3821"/>
      <c r="AA132" s="3821"/>
      <c r="AB132" s="3821"/>
      <c r="AC132" s="3821"/>
    </row>
    <row r="133" spans="1:29">
      <c r="A133" s="3821"/>
      <c r="B133" s="3821"/>
      <c r="C133" s="3821"/>
      <c r="D133" s="3821"/>
      <c r="E133" s="3821"/>
      <c r="F133" s="3821"/>
      <c r="G133" s="3821"/>
      <c r="H133" s="3821"/>
      <c r="I133" s="3821"/>
      <c r="J133" s="3821"/>
      <c r="K133" s="3821"/>
      <c r="L133" s="3821"/>
      <c r="M133" s="3821"/>
      <c r="N133" s="3821"/>
      <c r="O133" s="3821"/>
      <c r="P133" s="3821"/>
      <c r="Q133" s="3821"/>
      <c r="R133" s="3821"/>
      <c r="S133" s="3821"/>
      <c r="T133" s="3821"/>
      <c r="U133" s="3821"/>
      <c r="V133" s="3821"/>
      <c r="W133" s="3821"/>
      <c r="X133" s="3821"/>
      <c r="Y133" s="3821"/>
      <c r="Z133" s="3821"/>
      <c r="AA133" s="3821"/>
      <c r="AB133" s="3821"/>
      <c r="AC133" s="3821"/>
    </row>
    <row r="134" spans="1:29">
      <c r="A134" s="3821"/>
      <c r="B134" s="3821"/>
      <c r="C134" s="3821"/>
      <c r="D134" s="3821"/>
      <c r="E134" s="3821"/>
      <c r="F134" s="3821"/>
      <c r="G134" s="3821"/>
      <c r="H134" s="3821"/>
      <c r="I134" s="3821"/>
      <c r="J134" s="3821"/>
      <c r="K134" s="3821"/>
      <c r="L134" s="3821"/>
      <c r="M134" s="3821"/>
      <c r="N134" s="3821"/>
      <c r="O134" s="3821"/>
      <c r="P134" s="3821"/>
      <c r="Q134" s="3821"/>
      <c r="R134" s="3821"/>
      <c r="S134" s="3821"/>
      <c r="T134" s="3821"/>
      <c r="U134" s="3821"/>
      <c r="V134" s="3821"/>
      <c r="W134" s="3821"/>
      <c r="X134" s="3821"/>
      <c r="Y134" s="3821"/>
      <c r="Z134" s="3821"/>
      <c r="AA134" s="3821"/>
      <c r="AB134" s="3821"/>
      <c r="AC134" s="3821"/>
    </row>
    <row r="135" spans="1:29">
      <c r="A135" s="3821"/>
      <c r="B135" s="3821"/>
      <c r="C135" s="3821"/>
      <c r="D135" s="3821"/>
      <c r="E135" s="3821"/>
      <c r="F135" s="3821"/>
      <c r="G135" s="3821"/>
      <c r="H135" s="3821"/>
      <c r="I135" s="3821"/>
      <c r="J135" s="3821"/>
      <c r="K135" s="3821"/>
      <c r="L135" s="3821"/>
      <c r="M135" s="3821"/>
      <c r="N135" s="3821"/>
      <c r="O135" s="3821"/>
      <c r="P135" s="3821"/>
      <c r="Q135" s="3821"/>
      <c r="R135" s="3821"/>
      <c r="S135" s="3821"/>
      <c r="T135" s="3821"/>
      <c r="U135" s="3821"/>
      <c r="V135" s="3821"/>
      <c r="W135" s="3821"/>
      <c r="X135" s="3821"/>
      <c r="Y135" s="3821"/>
      <c r="Z135" s="3821"/>
      <c r="AA135" s="3821"/>
      <c r="AB135" s="3821"/>
      <c r="AC135" s="3821"/>
    </row>
    <row r="136" spans="1:29" ht="15" thickBot="1">
      <c r="A136" s="3821"/>
      <c r="B136" s="3822" t="s">
        <v>3283</v>
      </c>
      <c r="C136" s="3823"/>
      <c r="D136" s="3823"/>
      <c r="E136" s="3823"/>
      <c r="F136" s="3823"/>
      <c r="G136" s="3823"/>
      <c r="H136" s="3823"/>
      <c r="I136" s="3823"/>
      <c r="J136" s="3823"/>
      <c r="K136" s="3823"/>
      <c r="L136" s="3821"/>
      <c r="M136" s="3821"/>
      <c r="N136" s="3821"/>
      <c r="O136" s="3821"/>
      <c r="P136" s="3821"/>
      <c r="Q136" s="3821"/>
      <c r="R136" s="3821"/>
      <c r="S136" s="3821"/>
      <c r="T136" s="3821"/>
      <c r="U136" s="3821"/>
      <c r="V136" s="3821"/>
      <c r="W136" s="3821"/>
      <c r="X136" s="3821"/>
      <c r="Y136" s="3821"/>
      <c r="Z136" s="3821"/>
      <c r="AA136" s="3821"/>
      <c r="AB136" s="3821"/>
      <c r="AC136" s="3821"/>
    </row>
    <row r="137" spans="1:29">
      <c r="A137" s="3821"/>
      <c r="B137" s="3824" t="s">
        <v>3284</v>
      </c>
      <c r="C137" s="3825"/>
      <c r="D137" s="3825"/>
      <c r="E137" s="3825"/>
      <c r="F137" s="3825"/>
      <c r="G137" s="3826"/>
      <c r="H137" s="3827"/>
      <c r="I137" s="3828" t="s">
        <v>3285</v>
      </c>
      <c r="J137" s="3825"/>
      <c r="K137" s="3829"/>
      <c r="L137" s="3821"/>
      <c r="M137" s="3821"/>
      <c r="N137" s="3821"/>
      <c r="O137" s="3821"/>
      <c r="P137" s="3821"/>
      <c r="Q137" s="3821"/>
      <c r="R137" s="3821"/>
      <c r="S137" s="3821"/>
      <c r="T137" s="3821"/>
      <c r="U137" s="3821"/>
      <c r="V137" s="3821"/>
      <c r="W137" s="3821"/>
      <c r="X137" s="3821"/>
      <c r="Y137" s="3821"/>
      <c r="Z137" s="3821"/>
      <c r="AA137" s="3821"/>
      <c r="AB137" s="3821"/>
      <c r="AC137" s="3821"/>
    </row>
    <row r="138" spans="1:29">
      <c r="A138" s="3821"/>
      <c r="B138" s="3830"/>
      <c r="C138" s="3831" t="s">
        <v>3286</v>
      </c>
      <c r="D138" s="3831" t="s">
        <v>3287</v>
      </c>
      <c r="E138" s="3832" t="s">
        <v>3288</v>
      </c>
      <c r="F138" s="3833" t="s">
        <v>3289</v>
      </c>
      <c r="G138" s="3831" t="s">
        <v>3287</v>
      </c>
      <c r="H138" s="3834" t="s">
        <v>3288</v>
      </c>
      <c r="I138" s="3835"/>
      <c r="J138" s="3831" t="s">
        <v>3290</v>
      </c>
      <c r="K138" s="3834" t="s">
        <v>3291</v>
      </c>
      <c r="L138" s="3821"/>
      <c r="M138" s="3821"/>
      <c r="N138" s="3821"/>
      <c r="O138" s="3821"/>
      <c r="P138" s="3821"/>
      <c r="Q138" s="3821"/>
      <c r="R138" s="3821"/>
      <c r="S138" s="3821"/>
      <c r="T138" s="3821"/>
      <c r="U138" s="3821"/>
      <c r="V138" s="3821"/>
      <c r="W138" s="3821"/>
      <c r="X138" s="3821"/>
      <c r="Y138" s="3821"/>
      <c r="Z138" s="3821"/>
      <c r="AA138" s="3821"/>
      <c r="AB138" s="3821"/>
      <c r="AC138" s="3821"/>
    </row>
    <row r="139" spans="1:29" ht="15">
      <c r="A139" s="3821"/>
      <c r="B139" s="3836">
        <v>6</v>
      </c>
      <c r="C139" s="3837">
        <v>96</v>
      </c>
      <c r="D139" s="3838" t="s">
        <v>3292</v>
      </c>
      <c r="E139" s="3839">
        <v>100</v>
      </c>
      <c r="F139" s="3840">
        <v>102.5</v>
      </c>
      <c r="G139" s="3838" t="s">
        <v>3292</v>
      </c>
      <c r="H139" s="3841">
        <v>105</v>
      </c>
      <c r="I139" s="3842" t="s">
        <v>3293</v>
      </c>
      <c r="J139" s="3837">
        <v>20</v>
      </c>
      <c r="K139" s="3843">
        <f>C145/(J139-2)</f>
        <v>4.0555555555555553E-3</v>
      </c>
      <c r="L139" s="3821"/>
      <c r="M139" s="3821"/>
      <c r="N139" s="3821"/>
      <c r="O139" s="3821"/>
      <c r="P139" s="3821"/>
      <c r="Q139" s="3821"/>
      <c r="R139" s="3821"/>
      <c r="S139" s="3821"/>
      <c r="T139" s="3821"/>
      <c r="U139" s="3821"/>
      <c r="V139" s="3821"/>
      <c r="W139" s="3821"/>
      <c r="X139" s="3821"/>
      <c r="Y139" s="3821"/>
      <c r="Z139" s="3821"/>
      <c r="AA139" s="3821"/>
      <c r="AB139" s="3821"/>
      <c r="AC139" s="3821"/>
    </row>
    <row r="140" spans="1:29" ht="15">
      <c r="A140" s="3821"/>
      <c r="B140" s="3844">
        <v>5</v>
      </c>
      <c r="C140" s="3845">
        <v>100</v>
      </c>
      <c r="D140" s="3846"/>
      <c r="E140" s="3847"/>
      <c r="F140" s="3848">
        <v>102</v>
      </c>
      <c r="G140" s="3846"/>
      <c r="H140" s="3849"/>
      <c r="I140" s="3850" t="s">
        <v>3294</v>
      </c>
      <c r="J140" s="3851">
        <f>ROUNDUP((J139-1)/2,0)</f>
        <v>10</v>
      </c>
      <c r="K140" s="3852">
        <v>100</v>
      </c>
      <c r="L140" s="3821"/>
      <c r="M140" s="3821"/>
      <c r="N140" s="3821"/>
      <c r="O140" s="3821"/>
      <c r="P140" s="3821"/>
      <c r="Q140" s="3821"/>
      <c r="R140" s="3821"/>
      <c r="S140" s="3821"/>
      <c r="T140" s="3821"/>
      <c r="U140" s="3821"/>
      <c r="V140" s="3821"/>
      <c r="W140" s="3821"/>
      <c r="X140" s="3821"/>
      <c r="Y140" s="3821"/>
      <c r="Z140" s="3821"/>
      <c r="AA140" s="3821"/>
      <c r="AB140" s="3821"/>
      <c r="AC140" s="3821"/>
    </row>
    <row r="141" spans="1:29" ht="15">
      <c r="A141" s="3821"/>
      <c r="B141" s="3844">
        <v>4</v>
      </c>
      <c r="C141" s="3845">
        <v>102</v>
      </c>
      <c r="D141" s="3846"/>
      <c r="E141" s="3847"/>
      <c r="F141" s="3848">
        <v>101.5</v>
      </c>
      <c r="G141" s="3846"/>
      <c r="H141" s="3849"/>
      <c r="I141" s="3850" t="s">
        <v>3295</v>
      </c>
      <c r="J141" s="3851">
        <v>1</v>
      </c>
      <c r="K141" s="3852">
        <f>ROUND(100+(J141-J140)*K139*100,1)</f>
        <v>96.4</v>
      </c>
      <c r="L141" s="3821"/>
      <c r="M141" s="3821"/>
      <c r="N141" s="3821"/>
      <c r="O141" s="3821"/>
      <c r="P141" s="3821"/>
      <c r="Q141" s="3821"/>
      <c r="R141" s="3821"/>
      <c r="S141" s="3821"/>
      <c r="T141" s="3821"/>
      <c r="U141" s="3821"/>
      <c r="V141" s="3821"/>
      <c r="W141" s="3821"/>
      <c r="X141" s="3821"/>
      <c r="Y141" s="3821"/>
      <c r="Z141" s="3821"/>
      <c r="AA141" s="3821"/>
      <c r="AB141" s="3821"/>
      <c r="AC141" s="3821"/>
    </row>
    <row r="142" spans="1:29" ht="15">
      <c r="A142" s="3821"/>
      <c r="B142" s="3844">
        <v>3</v>
      </c>
      <c r="C142" s="3845">
        <v>103</v>
      </c>
      <c r="D142" s="3846"/>
      <c r="E142" s="3847"/>
      <c r="F142" s="3848">
        <v>101</v>
      </c>
      <c r="G142" s="3846"/>
      <c r="H142" s="3849"/>
      <c r="I142" s="3850" t="s">
        <v>3296</v>
      </c>
      <c r="J142" s="3851">
        <f>J139</f>
        <v>20</v>
      </c>
      <c r="K142" s="3849">
        <v>95</v>
      </c>
      <c r="L142" s="3821"/>
      <c r="M142" s="3821"/>
      <c r="N142" s="3821"/>
      <c r="O142" s="3821"/>
      <c r="P142" s="3821"/>
      <c r="Q142" s="3821"/>
      <c r="R142" s="3821"/>
      <c r="S142" s="3821"/>
      <c r="T142" s="3821"/>
      <c r="U142" s="3821"/>
      <c r="V142" s="3821"/>
      <c r="W142" s="3821"/>
      <c r="X142" s="3821"/>
      <c r="Y142" s="3821"/>
      <c r="Z142" s="3821"/>
      <c r="AA142" s="3821"/>
      <c r="AB142" s="3821"/>
      <c r="AC142" s="3821"/>
    </row>
    <row r="143" spans="1:29" ht="15">
      <c r="A143" s="3821"/>
      <c r="B143" s="3844">
        <v>2</v>
      </c>
      <c r="C143" s="3845">
        <v>100</v>
      </c>
      <c r="D143" s="3846"/>
      <c r="E143" s="3847"/>
      <c r="F143" s="3848">
        <v>100.5</v>
      </c>
      <c r="G143" s="3846"/>
      <c r="H143" s="3849"/>
      <c r="I143" s="3850" t="s">
        <v>3297</v>
      </c>
      <c r="J143" s="3845">
        <v>15</v>
      </c>
      <c r="K143" s="3852">
        <f>ROUND(100+(J143-J140)*K139*100,1)</f>
        <v>102</v>
      </c>
      <c r="L143" s="3821"/>
      <c r="M143" s="3821"/>
      <c r="N143" s="3821"/>
      <c r="O143" s="3821"/>
      <c r="P143" s="3821"/>
      <c r="Q143" s="3821"/>
      <c r="R143" s="3821"/>
      <c r="S143" s="3821"/>
      <c r="T143" s="3821"/>
      <c r="U143" s="3821"/>
      <c r="V143" s="3821"/>
      <c r="W143" s="3821"/>
      <c r="X143" s="3821"/>
      <c r="Y143" s="3821"/>
      <c r="Z143" s="3821"/>
      <c r="AA143" s="3821"/>
      <c r="AB143" s="3821"/>
      <c r="AC143" s="3821"/>
    </row>
    <row r="144" spans="1:29" ht="15">
      <c r="A144" s="3821"/>
      <c r="B144" s="3844">
        <v>1</v>
      </c>
      <c r="C144" s="3845">
        <v>98</v>
      </c>
      <c r="D144" s="3853" t="s">
        <v>3298</v>
      </c>
      <c r="E144" s="3847">
        <v>102</v>
      </c>
      <c r="F144" s="3854">
        <v>100</v>
      </c>
      <c r="G144" s="3853" t="s">
        <v>3298</v>
      </c>
      <c r="H144" s="3849">
        <v>105</v>
      </c>
      <c r="I144" s="3850" t="s">
        <v>3297</v>
      </c>
      <c r="J144" s="3845">
        <v>18</v>
      </c>
      <c r="K144" s="3852">
        <f>ROUND(100+(J144-J140)*K139*100,1)</f>
        <v>103.2</v>
      </c>
      <c r="L144" s="3821"/>
      <c r="M144" s="3821"/>
      <c r="N144" s="3821"/>
      <c r="O144" s="3821"/>
      <c r="P144" s="3821"/>
      <c r="Q144" s="3821"/>
      <c r="R144" s="3821"/>
      <c r="S144" s="3821"/>
      <c r="T144" s="3821"/>
      <c r="U144" s="3821"/>
      <c r="V144" s="3821"/>
      <c r="W144" s="3821"/>
      <c r="X144" s="3821"/>
      <c r="Y144" s="3821"/>
      <c r="Z144" s="3821"/>
      <c r="AA144" s="3821"/>
      <c r="AB144" s="3821"/>
      <c r="AC144" s="3821"/>
    </row>
    <row r="145" spans="1:29" ht="15.75" thickBot="1">
      <c r="A145" s="3821"/>
      <c r="B145" s="3855" t="s">
        <v>3299</v>
      </c>
      <c r="C145" s="3856">
        <f>ROUND(MAX(C139:C144)/MIN(C139:C144)-1,3)</f>
        <v>7.2999999999999995E-2</v>
      </c>
      <c r="D145" s="3857"/>
      <c r="E145" s="3857"/>
      <c r="F145" s="3858" t="s">
        <v>3300</v>
      </c>
      <c r="G145" s="3859"/>
      <c r="H145" s="3860"/>
      <c r="I145" s="3861" t="s">
        <v>3297</v>
      </c>
      <c r="J145" s="3862">
        <v>8</v>
      </c>
      <c r="K145" s="3863">
        <f>ROUND(100+(J145-J140)*K139*100,1)</f>
        <v>99.2</v>
      </c>
      <c r="L145" s="3821"/>
      <c r="M145" s="3821"/>
      <c r="N145" s="3821"/>
      <c r="O145" s="3821"/>
      <c r="P145" s="3821"/>
      <c r="Q145" s="3821"/>
      <c r="R145" s="3821"/>
      <c r="S145" s="3821"/>
      <c r="T145" s="3821"/>
      <c r="U145" s="3821"/>
      <c r="V145" s="3821"/>
      <c r="W145" s="3821"/>
      <c r="X145" s="3821"/>
      <c r="Y145" s="3821"/>
      <c r="Z145" s="3821"/>
      <c r="AA145" s="3821"/>
      <c r="AB145" s="3821"/>
      <c r="AC145" s="3821"/>
    </row>
    <row r="146" spans="1:29">
      <c r="A146" s="3821"/>
      <c r="B146" s="3821"/>
      <c r="C146" s="3821"/>
      <c r="D146" s="3821"/>
      <c r="E146" s="3821"/>
      <c r="F146" s="3821"/>
      <c r="G146" s="3821"/>
      <c r="H146" s="3821"/>
      <c r="I146" s="3821"/>
      <c r="J146" s="3821"/>
      <c r="K146" s="3821"/>
      <c r="L146" s="3821"/>
      <c r="M146" s="3821"/>
      <c r="N146" s="3821"/>
      <c r="O146" s="3821"/>
      <c r="P146" s="3821"/>
      <c r="Q146" s="3821"/>
      <c r="R146" s="3821"/>
      <c r="S146" s="3821"/>
      <c r="T146" s="3821"/>
      <c r="U146" s="3821"/>
      <c r="V146" s="3821"/>
      <c r="W146" s="3821"/>
      <c r="X146" s="3821"/>
      <c r="Y146" s="3821"/>
      <c r="Z146" s="3821"/>
      <c r="AA146" s="3821"/>
      <c r="AB146" s="3821"/>
      <c r="AC146" s="3821"/>
    </row>
    <row r="147" spans="1:29">
      <c r="A147" s="3821"/>
      <c r="B147" s="3864" t="s">
        <v>3301</v>
      </c>
      <c r="L147" s="3821"/>
      <c r="M147" s="3821"/>
      <c r="N147" s="3821"/>
      <c r="O147" s="3821"/>
      <c r="P147" s="3821"/>
      <c r="Q147" s="3821"/>
      <c r="R147" s="3821"/>
      <c r="S147" s="3821"/>
      <c r="T147" s="3821"/>
      <c r="U147" s="3821"/>
      <c r="V147" s="3821"/>
      <c r="W147" s="3821"/>
      <c r="X147" s="3821"/>
      <c r="Y147" s="3821"/>
      <c r="Z147" s="3821"/>
      <c r="AA147" s="3821"/>
      <c r="AB147" s="3821"/>
      <c r="AC147" s="3821"/>
    </row>
    <row r="148" spans="1:29">
      <c r="A148" s="3821"/>
      <c r="B148" s="3864" t="s">
        <v>3302</v>
      </c>
      <c r="L148" s="3821"/>
      <c r="M148" s="3821"/>
      <c r="N148" s="3821"/>
      <c r="O148" s="3821"/>
      <c r="P148" s="3821"/>
      <c r="Q148" s="3821"/>
      <c r="R148" s="3821"/>
      <c r="S148" s="3821"/>
      <c r="T148" s="3821"/>
      <c r="U148" s="3821"/>
      <c r="V148" s="3821"/>
      <c r="W148" s="3821"/>
      <c r="X148" s="3821"/>
      <c r="Y148" s="3821"/>
      <c r="Z148" s="3821"/>
      <c r="AA148" s="3821"/>
      <c r="AB148" s="3821"/>
      <c r="AC148" s="3821"/>
    </row>
    <row r="149" spans="1:29">
      <c r="A149" s="3821"/>
      <c r="B149" s="3821"/>
      <c r="C149" s="3821"/>
      <c r="D149" s="3821"/>
      <c r="E149" s="3821"/>
      <c r="F149" s="3821"/>
      <c r="G149" s="3821"/>
      <c r="H149" s="3821"/>
      <c r="I149" s="3821"/>
      <c r="J149" s="3821"/>
      <c r="K149" s="3821"/>
      <c r="L149" s="3821"/>
      <c r="M149" s="3821"/>
      <c r="N149" s="3821"/>
      <c r="O149" s="3821"/>
      <c r="P149" s="3821"/>
      <c r="Q149" s="3821"/>
      <c r="R149" s="3821"/>
      <c r="S149" s="3821"/>
      <c r="T149" s="3821"/>
      <c r="U149" s="3821"/>
      <c r="V149" s="3821"/>
      <c r="W149" s="3821"/>
      <c r="X149" s="3821"/>
      <c r="Y149" s="3821"/>
      <c r="Z149" s="3821"/>
      <c r="AA149" s="3821"/>
      <c r="AB149" s="3821"/>
      <c r="AC149" s="3821"/>
    </row>
    <row r="150" spans="1:29">
      <c r="A150" s="3821"/>
      <c r="B150" s="3821"/>
      <c r="C150" s="3821"/>
      <c r="D150" s="3821"/>
      <c r="E150" s="3821"/>
      <c r="F150" s="3821"/>
      <c r="G150" s="3821"/>
      <c r="H150" s="3821"/>
      <c r="I150" s="3821"/>
      <c r="J150" s="3821"/>
      <c r="K150" s="3821"/>
      <c r="L150" s="3821"/>
      <c r="M150" s="3821"/>
      <c r="N150" s="3821"/>
      <c r="O150" s="3821"/>
      <c r="P150" s="3821"/>
      <c r="Q150" s="3821"/>
      <c r="R150" s="3821"/>
      <c r="S150" s="3821"/>
      <c r="T150" s="3821"/>
      <c r="U150" s="3821"/>
      <c r="V150" s="3821"/>
      <c r="W150" s="3821"/>
      <c r="X150" s="3821"/>
      <c r="Y150" s="3821"/>
      <c r="Z150" s="3821"/>
      <c r="AA150" s="3821"/>
      <c r="AB150" s="3821"/>
      <c r="AC150" s="3821"/>
    </row>
    <row r="151" spans="1:29">
      <c r="A151" s="3821"/>
      <c r="B151" s="3821"/>
      <c r="C151" s="3821"/>
      <c r="D151" s="3821"/>
      <c r="E151" s="3821"/>
      <c r="F151" s="3821"/>
      <c r="G151" s="3821"/>
      <c r="H151" s="3821"/>
      <c r="I151" s="3821"/>
      <c r="J151" s="3821"/>
      <c r="K151" s="3821"/>
      <c r="L151" s="3821"/>
      <c r="M151" s="3821"/>
      <c r="N151" s="3821"/>
      <c r="O151" s="3821"/>
      <c r="P151" s="3821"/>
      <c r="Q151" s="3821"/>
      <c r="R151" s="3821"/>
      <c r="S151" s="3821"/>
      <c r="T151" s="3821"/>
      <c r="U151" s="3821"/>
      <c r="V151" s="3821"/>
      <c r="W151" s="3821"/>
      <c r="X151" s="3821"/>
      <c r="Y151" s="3821"/>
      <c r="Z151" s="3821"/>
      <c r="AA151" s="3821"/>
      <c r="AB151" s="3821"/>
      <c r="AC151" s="3821"/>
    </row>
    <row r="152" spans="1:29">
      <c r="A152" s="3821"/>
      <c r="B152" s="3821"/>
      <c r="C152" s="3821"/>
      <c r="D152" s="3821"/>
      <c r="E152" s="3821"/>
      <c r="F152" s="3821"/>
      <c r="G152" s="3821"/>
      <c r="H152" s="3821"/>
      <c r="I152" s="3821"/>
      <c r="J152" s="3821"/>
      <c r="K152" s="3821"/>
      <c r="L152" s="3821"/>
      <c r="M152" s="3821"/>
      <c r="N152" s="3821"/>
      <c r="O152" s="3821"/>
      <c r="P152" s="3821"/>
      <c r="Q152" s="3821"/>
      <c r="R152" s="3821"/>
      <c r="S152" s="3821"/>
      <c r="T152" s="3821"/>
      <c r="U152" s="3821"/>
      <c r="V152" s="3821"/>
      <c r="W152" s="3821"/>
      <c r="X152" s="3821"/>
      <c r="Y152" s="3821"/>
      <c r="Z152" s="3821"/>
      <c r="AA152" s="3821"/>
      <c r="AB152" s="3821"/>
      <c r="AC152" s="3821"/>
    </row>
    <row r="153" spans="1:29">
      <c r="A153" s="3821"/>
      <c r="B153" s="3821"/>
      <c r="C153" s="3821"/>
      <c r="D153" s="3821"/>
      <c r="E153" s="3821"/>
      <c r="F153" s="3821"/>
      <c r="G153" s="3821"/>
      <c r="H153" s="3821"/>
      <c r="I153" s="3821"/>
      <c r="J153" s="3821"/>
      <c r="K153" s="3821"/>
      <c r="L153" s="3821"/>
      <c r="M153" s="3821"/>
      <c r="N153" s="3821"/>
      <c r="O153" s="3821"/>
      <c r="P153" s="3821"/>
      <c r="Q153" s="3821"/>
      <c r="R153" s="3821"/>
      <c r="S153" s="3821"/>
      <c r="T153" s="3821"/>
      <c r="U153" s="3821"/>
      <c r="V153" s="3821"/>
      <c r="W153" s="3821"/>
      <c r="X153" s="3821"/>
      <c r="Y153" s="3821"/>
      <c r="Z153" s="3821"/>
      <c r="AA153" s="3821"/>
      <c r="AB153" s="3821"/>
      <c r="AC153" s="3821"/>
    </row>
    <row r="154" spans="1:29">
      <c r="A154" s="3821"/>
      <c r="B154" s="3821"/>
      <c r="C154" s="3821"/>
      <c r="D154" s="3821"/>
      <c r="E154" s="3821"/>
      <c r="F154" s="3821"/>
      <c r="G154" s="3821"/>
      <c r="H154" s="3821"/>
      <c r="I154" s="3821"/>
      <c r="J154" s="3821"/>
      <c r="K154" s="3821"/>
      <c r="L154" s="3821"/>
      <c r="M154" s="3821"/>
      <c r="N154" s="3821"/>
      <c r="O154" s="3821"/>
      <c r="P154" s="3821"/>
      <c r="Q154" s="3821"/>
      <c r="R154" s="3821"/>
      <c r="S154" s="3821"/>
      <c r="T154" s="3821"/>
      <c r="U154" s="3821"/>
      <c r="V154" s="3821"/>
      <c r="W154" s="3821"/>
      <c r="X154" s="3821"/>
      <c r="Y154" s="3821"/>
      <c r="Z154" s="3821"/>
      <c r="AA154" s="3821"/>
      <c r="AB154" s="3821"/>
      <c r="AC154" s="3821"/>
    </row>
    <row r="155" spans="1:29">
      <c r="A155" s="3821"/>
      <c r="B155" s="3821"/>
      <c r="C155" s="3821"/>
      <c r="D155" s="3821"/>
      <c r="E155" s="3821"/>
      <c r="F155" s="3821"/>
      <c r="G155" s="3821"/>
      <c r="H155" s="3821"/>
      <c r="I155" s="3821"/>
      <c r="J155" s="3821"/>
      <c r="K155" s="3821"/>
      <c r="L155" s="3821"/>
      <c r="M155" s="3821"/>
      <c r="N155" s="3821"/>
      <c r="O155" s="3821"/>
      <c r="P155" s="3821"/>
      <c r="Q155" s="3821"/>
      <c r="R155" s="3821"/>
      <c r="S155" s="3821"/>
      <c r="T155" s="3821"/>
      <c r="U155" s="3821"/>
      <c r="V155" s="3821"/>
      <c r="W155" s="3821"/>
      <c r="X155" s="3821"/>
      <c r="Y155" s="3821"/>
      <c r="Z155" s="3821"/>
      <c r="AA155" s="3821"/>
      <c r="AB155" s="3821"/>
      <c r="AC155" s="3821"/>
    </row>
    <row r="156" spans="1:29">
      <c r="A156" s="3821"/>
      <c r="B156" s="3821"/>
      <c r="C156" s="3821"/>
      <c r="D156" s="3821"/>
      <c r="E156" s="3821"/>
      <c r="F156" s="3821"/>
      <c r="G156" s="3821"/>
      <c r="H156" s="3821"/>
      <c r="I156" s="3821"/>
      <c r="J156" s="3821"/>
      <c r="K156" s="3821"/>
      <c r="L156" s="3821"/>
      <c r="M156" s="3821"/>
      <c r="N156" s="3821"/>
      <c r="O156" s="3821"/>
      <c r="P156" s="3821"/>
      <c r="Q156" s="3821"/>
      <c r="R156" s="3821"/>
      <c r="S156" s="3821"/>
      <c r="T156" s="3821"/>
      <c r="U156" s="3821"/>
      <c r="V156" s="3821"/>
      <c r="W156" s="3821"/>
      <c r="X156" s="3821"/>
      <c r="Y156" s="3821"/>
      <c r="Z156" s="3821"/>
      <c r="AA156" s="3821"/>
      <c r="AB156" s="3821"/>
      <c r="AC156" s="3821"/>
    </row>
    <row r="157" spans="1:29">
      <c r="A157" s="3821"/>
      <c r="B157" s="3821"/>
      <c r="C157" s="3821"/>
      <c r="D157" s="3821"/>
      <c r="E157" s="3821"/>
      <c r="F157" s="3821"/>
      <c r="G157" s="3821"/>
      <c r="H157" s="3821"/>
      <c r="I157" s="3821"/>
      <c r="J157" s="3821"/>
      <c r="K157" s="3821"/>
      <c r="L157" s="3821"/>
      <c r="M157" s="3821"/>
      <c r="N157" s="3821"/>
      <c r="O157" s="3821"/>
      <c r="P157" s="3821"/>
      <c r="Q157" s="3821"/>
      <c r="R157" s="3821"/>
      <c r="S157" s="3821"/>
      <c r="T157" s="3821"/>
      <c r="U157" s="3821"/>
      <c r="V157" s="3821"/>
      <c r="W157" s="3821"/>
      <c r="X157" s="3821"/>
      <c r="Y157" s="3821"/>
      <c r="Z157" s="3821"/>
      <c r="AA157" s="3821"/>
      <c r="AB157" s="3821"/>
      <c r="AC157" s="3821"/>
    </row>
    <row r="158" spans="1:29">
      <c r="A158" s="3821"/>
      <c r="B158" s="3821"/>
      <c r="C158" s="3821"/>
      <c r="D158" s="3821"/>
      <c r="E158" s="3821"/>
      <c r="F158" s="3821"/>
      <c r="G158" s="3821"/>
      <c r="H158" s="3821"/>
      <c r="I158" s="3821"/>
      <c r="J158" s="3821"/>
      <c r="K158" s="3821"/>
      <c r="L158" s="3821"/>
      <c r="M158" s="3821"/>
      <c r="N158" s="3821"/>
      <c r="O158" s="3821"/>
      <c r="P158" s="3821"/>
      <c r="Q158" s="3821"/>
      <c r="R158" s="3821"/>
      <c r="S158" s="3821"/>
      <c r="T158" s="3821"/>
      <c r="U158" s="3821"/>
      <c r="V158" s="3821"/>
      <c r="W158" s="3821"/>
      <c r="X158" s="3821"/>
      <c r="Y158" s="3821"/>
      <c r="Z158" s="3821"/>
      <c r="AA158" s="3821"/>
      <c r="AB158" s="3821"/>
      <c r="AC158" s="3821"/>
    </row>
    <row r="159" spans="1:29">
      <c r="A159" s="3821"/>
      <c r="B159" s="3821"/>
      <c r="C159" s="3821"/>
      <c r="D159" s="3821"/>
      <c r="E159" s="3821"/>
      <c r="F159" s="3821"/>
      <c r="G159" s="3821"/>
      <c r="H159" s="3821"/>
      <c r="I159" s="3821"/>
      <c r="J159" s="3821"/>
      <c r="K159" s="3821"/>
      <c r="L159" s="3821"/>
      <c r="M159" s="3821"/>
      <c r="N159" s="3821"/>
      <c r="O159" s="3821"/>
      <c r="P159" s="3821"/>
      <c r="Q159" s="3821"/>
      <c r="R159" s="3821"/>
      <c r="S159" s="3821"/>
      <c r="T159" s="3821"/>
      <c r="U159" s="3821"/>
      <c r="V159" s="3821"/>
      <c r="W159" s="3821"/>
      <c r="X159" s="3821"/>
      <c r="Y159" s="3821"/>
      <c r="Z159" s="3821"/>
      <c r="AA159" s="3821"/>
      <c r="AB159" s="3821"/>
      <c r="AC159" s="3821"/>
    </row>
    <row r="160" spans="1:29">
      <c r="A160" s="3821"/>
      <c r="B160" s="3821"/>
      <c r="C160" s="3821"/>
      <c r="D160" s="3821"/>
      <c r="E160" s="3821"/>
      <c r="F160" s="3821"/>
      <c r="G160" s="3821"/>
      <c r="H160" s="3821"/>
      <c r="I160" s="3821"/>
      <c r="J160" s="3821"/>
      <c r="K160" s="3821"/>
      <c r="L160" s="3821"/>
      <c r="M160" s="3821"/>
      <c r="N160" s="3821"/>
      <c r="O160" s="3821"/>
      <c r="P160" s="3821"/>
      <c r="Q160" s="3821"/>
      <c r="R160" s="3821"/>
      <c r="S160" s="3821"/>
      <c r="T160" s="3821"/>
      <c r="U160" s="3821"/>
      <c r="V160" s="3821"/>
      <c r="W160" s="3821"/>
      <c r="X160" s="3821"/>
      <c r="Y160" s="3821"/>
      <c r="Z160" s="3821"/>
      <c r="AA160" s="3821"/>
      <c r="AB160" s="3821"/>
      <c r="AC160" s="3821"/>
    </row>
    <row r="161" spans="1:29">
      <c r="A161" s="3821"/>
      <c r="B161" s="3821"/>
      <c r="C161" s="3821"/>
      <c r="D161" s="3821"/>
      <c r="E161" s="3821"/>
      <c r="F161" s="3821"/>
      <c r="G161" s="3821"/>
      <c r="H161" s="3821"/>
      <c r="I161" s="3821"/>
      <c r="J161" s="3821"/>
      <c r="K161" s="3821"/>
      <c r="L161" s="3821"/>
      <c r="M161" s="3821"/>
      <c r="N161" s="3821"/>
      <c r="O161" s="3821"/>
      <c r="P161" s="3821"/>
      <c r="Q161" s="3821"/>
      <c r="R161" s="3821"/>
      <c r="S161" s="3821"/>
      <c r="T161" s="3821"/>
      <c r="U161" s="3821"/>
      <c r="V161" s="3821"/>
      <c r="W161" s="3821"/>
      <c r="X161" s="3821"/>
      <c r="Y161" s="3821"/>
      <c r="Z161" s="3821"/>
      <c r="AA161" s="3821"/>
      <c r="AB161" s="3821"/>
      <c r="AC161" s="3821"/>
    </row>
    <row r="162" spans="1:29">
      <c r="A162" s="3821"/>
      <c r="B162" s="3821"/>
      <c r="C162" s="3821"/>
      <c r="D162" s="3821"/>
      <c r="E162" s="3821"/>
      <c r="F162" s="3821"/>
      <c r="G162" s="3821"/>
      <c r="H162" s="3821"/>
      <c r="I162" s="3821"/>
      <c r="J162" s="3821"/>
      <c r="K162" s="3821"/>
      <c r="L162" s="3821"/>
      <c r="M162" s="3821"/>
      <c r="N162" s="3821"/>
      <c r="O162" s="3821"/>
      <c r="P162" s="3821"/>
      <c r="Q162" s="3821"/>
      <c r="R162" s="3821"/>
      <c r="S162" s="3821"/>
      <c r="T162" s="3821"/>
      <c r="U162" s="3821"/>
      <c r="V162" s="3821"/>
      <c r="W162" s="3821"/>
      <c r="X162" s="3821"/>
      <c r="Y162" s="3821"/>
      <c r="Z162" s="3821"/>
      <c r="AA162" s="3821"/>
      <c r="AB162" s="3821"/>
      <c r="AC162" s="3821"/>
    </row>
    <row r="163" spans="1:29">
      <c r="A163" s="3821"/>
      <c r="B163" s="3821"/>
      <c r="C163" s="3821"/>
      <c r="D163" s="3821"/>
      <c r="E163" s="3821"/>
      <c r="F163" s="3821"/>
      <c r="G163" s="3821"/>
      <c r="H163" s="3821"/>
      <c r="I163" s="3821"/>
      <c r="J163" s="3821"/>
      <c r="K163" s="3821"/>
      <c r="L163" s="3821"/>
      <c r="M163" s="3821"/>
      <c r="N163" s="3821"/>
      <c r="O163" s="3821"/>
      <c r="P163" s="3821"/>
      <c r="Q163" s="3821"/>
      <c r="R163" s="3821"/>
      <c r="S163" s="3821"/>
      <c r="T163" s="3821"/>
      <c r="U163" s="3821"/>
      <c r="V163" s="3821"/>
      <c r="W163" s="3821"/>
      <c r="X163" s="3821"/>
      <c r="Y163" s="3821"/>
      <c r="Z163" s="3821"/>
      <c r="AA163" s="3821"/>
      <c r="AB163" s="3821"/>
      <c r="AC163" s="3821"/>
    </row>
    <row r="164" spans="1:29">
      <c r="A164" s="3821"/>
      <c r="B164" s="3821"/>
      <c r="C164" s="3821"/>
      <c r="D164" s="3821"/>
      <c r="E164" s="3821"/>
      <c r="F164" s="3821"/>
      <c r="G164" s="3821"/>
      <c r="H164" s="3821"/>
      <c r="I164" s="3821"/>
      <c r="J164" s="3821"/>
      <c r="K164" s="3821"/>
      <c r="L164" s="3821"/>
      <c r="M164" s="3821"/>
      <c r="N164" s="3821"/>
      <c r="O164" s="3821"/>
      <c r="P164" s="3821"/>
      <c r="Q164" s="3821"/>
      <c r="R164" s="3821"/>
      <c r="S164" s="3821"/>
      <c r="T164" s="3821"/>
      <c r="U164" s="3821"/>
      <c r="V164" s="3821"/>
      <c r="W164" s="3821"/>
      <c r="X164" s="3821"/>
      <c r="Y164" s="3821"/>
      <c r="Z164" s="3821"/>
      <c r="AA164" s="3821"/>
      <c r="AB164" s="3821"/>
      <c r="AC164" s="3821"/>
    </row>
    <row r="165" spans="1:29">
      <c r="A165" s="3821"/>
      <c r="B165" s="3821"/>
      <c r="C165" s="3821"/>
      <c r="D165" s="3821"/>
      <c r="E165" s="3821"/>
      <c r="F165" s="3821"/>
      <c r="G165" s="3821"/>
      <c r="H165" s="3821"/>
      <c r="I165" s="3821"/>
      <c r="J165" s="3821"/>
      <c r="K165" s="3821"/>
      <c r="L165" s="3821"/>
      <c r="M165" s="3821"/>
      <c r="N165" s="3821"/>
      <c r="O165" s="3821"/>
      <c r="P165" s="3821"/>
      <c r="Q165" s="3821"/>
      <c r="R165" s="3821"/>
      <c r="S165" s="3821"/>
      <c r="T165" s="3821"/>
      <c r="U165" s="3821"/>
      <c r="V165" s="3821"/>
      <c r="W165" s="3821"/>
      <c r="X165" s="3821"/>
      <c r="Y165" s="3821"/>
      <c r="Z165" s="3821"/>
      <c r="AA165" s="3821"/>
      <c r="AB165" s="3821"/>
      <c r="AC165" s="3821"/>
    </row>
    <row r="166" spans="1:29">
      <c r="A166" s="3821"/>
      <c r="B166" s="3821"/>
      <c r="C166" s="3821"/>
      <c r="D166" s="3821"/>
      <c r="E166" s="3821"/>
      <c r="F166" s="3821"/>
      <c r="G166" s="3821"/>
      <c r="H166" s="3821"/>
      <c r="I166" s="3821"/>
      <c r="J166" s="3821"/>
      <c r="K166" s="3821"/>
      <c r="L166" s="3821"/>
      <c r="M166" s="3821"/>
      <c r="N166" s="3821"/>
      <c r="O166" s="3821"/>
      <c r="P166" s="3821"/>
      <c r="Q166" s="3821"/>
      <c r="R166" s="3821"/>
      <c r="S166" s="3821"/>
      <c r="T166" s="3821"/>
      <c r="U166" s="3821"/>
      <c r="V166" s="3821"/>
      <c r="W166" s="3821"/>
      <c r="X166" s="3821"/>
      <c r="Y166" s="3821"/>
      <c r="Z166" s="3821"/>
      <c r="AA166" s="3821"/>
      <c r="AB166" s="3821"/>
      <c r="AC166" s="3821"/>
    </row>
    <row r="167" spans="1:29">
      <c r="A167" s="3821"/>
      <c r="B167" s="3821"/>
      <c r="C167" s="3821"/>
      <c r="D167" s="3821"/>
      <c r="E167" s="3821"/>
      <c r="F167" s="3821"/>
      <c r="G167" s="3821"/>
      <c r="H167" s="3821"/>
      <c r="I167" s="3821"/>
      <c r="J167" s="3821"/>
      <c r="K167" s="3821"/>
      <c r="L167" s="3821"/>
      <c r="M167" s="3821"/>
      <c r="N167" s="3821"/>
      <c r="O167" s="3821"/>
      <c r="P167" s="3821"/>
      <c r="Q167" s="3821"/>
      <c r="R167" s="3821"/>
      <c r="S167" s="3821"/>
      <c r="T167" s="3821"/>
      <c r="U167" s="3821"/>
      <c r="V167" s="3821"/>
      <c r="W167" s="3821"/>
      <c r="X167" s="3821"/>
      <c r="Y167" s="3821"/>
      <c r="Z167" s="3821"/>
      <c r="AA167" s="3821"/>
      <c r="AB167" s="3821"/>
      <c r="AC167" s="3821"/>
    </row>
    <row r="168" spans="1:29">
      <c r="A168" s="3821"/>
      <c r="B168" s="3821"/>
      <c r="C168" s="3821"/>
      <c r="D168" s="3821"/>
      <c r="E168" s="3821"/>
      <c r="F168" s="3821"/>
      <c r="G168" s="3821"/>
      <c r="H168" s="3821"/>
      <c r="I168" s="3821"/>
      <c r="J168" s="3821"/>
      <c r="K168" s="3821"/>
      <c r="L168" s="3821"/>
      <c r="M168" s="3821"/>
      <c r="N168" s="3821"/>
      <c r="O168" s="3821"/>
      <c r="P168" s="3821"/>
      <c r="Q168" s="3821"/>
      <c r="R168" s="3821"/>
      <c r="S168" s="3821"/>
      <c r="T168" s="3821"/>
      <c r="U168" s="3821"/>
      <c r="V168" s="3821"/>
      <c r="W168" s="3821"/>
      <c r="X168" s="3821"/>
      <c r="Y168" s="3821"/>
      <c r="Z168" s="3821"/>
      <c r="AA168" s="3821"/>
      <c r="AB168" s="3821"/>
      <c r="AC168" s="3821"/>
    </row>
    <row r="169" spans="1:29">
      <c r="A169" s="3821"/>
      <c r="B169" s="3821"/>
      <c r="C169" s="3821"/>
      <c r="D169" s="3821"/>
      <c r="E169" s="3821"/>
      <c r="F169" s="3821"/>
      <c r="G169" s="3821"/>
      <c r="H169" s="3821"/>
      <c r="I169" s="3821"/>
      <c r="J169" s="3821"/>
      <c r="K169" s="3821"/>
      <c r="L169" s="3821"/>
      <c r="M169" s="3821"/>
      <c r="N169" s="3821"/>
      <c r="O169" s="3821"/>
      <c r="P169" s="3821"/>
      <c r="Q169" s="3821"/>
      <c r="R169" s="3821"/>
      <c r="S169" s="3821"/>
      <c r="T169" s="3821"/>
      <c r="U169" s="3821"/>
      <c r="V169" s="3821"/>
      <c r="W169" s="3821"/>
      <c r="X169" s="3821"/>
      <c r="Y169" s="3821"/>
      <c r="Z169" s="3821"/>
      <c r="AA169" s="3821"/>
      <c r="AB169" s="3821"/>
      <c r="AC169" s="3821"/>
    </row>
    <row r="170" spans="1:29">
      <c r="A170" s="3821"/>
      <c r="B170" s="3821"/>
      <c r="C170" s="3821"/>
      <c r="D170" s="3821"/>
      <c r="E170" s="3821"/>
      <c r="F170" s="3821"/>
      <c r="G170" s="3821"/>
      <c r="H170" s="3821"/>
      <c r="I170" s="3821"/>
      <c r="J170" s="3821"/>
      <c r="K170" s="3821"/>
      <c r="L170" s="3821"/>
      <c r="M170" s="3821"/>
      <c r="N170" s="3821"/>
      <c r="O170" s="3821"/>
      <c r="P170" s="3821"/>
      <c r="Q170" s="3821"/>
      <c r="R170" s="3821"/>
      <c r="S170" s="3821"/>
      <c r="T170" s="3821"/>
      <c r="U170" s="3821"/>
      <c r="V170" s="3821"/>
      <c r="W170" s="3821"/>
      <c r="X170" s="3821"/>
      <c r="Y170" s="3821"/>
      <c r="Z170" s="3821"/>
      <c r="AA170" s="3821"/>
      <c r="AB170" s="3821"/>
      <c r="AC170" s="3821"/>
    </row>
    <row r="171" spans="1:29">
      <c r="A171" s="3821"/>
      <c r="B171" s="3821"/>
      <c r="C171" s="3821"/>
      <c r="D171" s="3821"/>
      <c r="E171" s="3821"/>
      <c r="F171" s="3821"/>
      <c r="G171" s="3821"/>
      <c r="H171" s="3821"/>
      <c r="I171" s="3821"/>
      <c r="J171" s="3821"/>
      <c r="K171" s="3821"/>
      <c r="L171" s="3821"/>
      <c r="M171" s="3821"/>
      <c r="N171" s="3821"/>
      <c r="O171" s="3821"/>
      <c r="P171" s="3821"/>
      <c r="Q171" s="3821"/>
      <c r="R171" s="3821"/>
      <c r="S171" s="3821"/>
      <c r="T171" s="3821"/>
      <c r="U171" s="3821"/>
      <c r="V171" s="3821"/>
      <c r="W171" s="3821"/>
      <c r="X171" s="3821"/>
      <c r="Y171" s="3821"/>
      <c r="Z171" s="3821"/>
      <c r="AA171" s="3821"/>
      <c r="AB171" s="3821"/>
      <c r="AC171" s="3821"/>
    </row>
    <row r="172" spans="1:29">
      <c r="A172" s="3821"/>
      <c r="B172" s="3821"/>
      <c r="C172" s="3821"/>
      <c r="D172" s="3821"/>
      <c r="E172" s="3821"/>
      <c r="F172" s="3821"/>
      <c r="G172" s="3821"/>
      <c r="H172" s="3821"/>
      <c r="I172" s="3821"/>
      <c r="J172" s="3821"/>
      <c r="K172" s="3821"/>
      <c r="L172" s="3821"/>
      <c r="M172" s="3821"/>
      <c r="N172" s="3821"/>
      <c r="O172" s="3821"/>
      <c r="P172" s="3821"/>
      <c r="Q172" s="3821"/>
      <c r="R172" s="3821"/>
      <c r="S172" s="3821"/>
      <c r="T172" s="3821"/>
      <c r="U172" s="3821"/>
      <c r="V172" s="3821"/>
      <c r="W172" s="3821"/>
      <c r="X172" s="3821"/>
      <c r="Y172" s="3821"/>
      <c r="Z172" s="3821"/>
      <c r="AA172" s="3821"/>
      <c r="AB172" s="3821"/>
      <c r="AC172" s="3821"/>
    </row>
    <row r="173" spans="1:29">
      <c r="A173" s="3821"/>
      <c r="B173" s="3821"/>
      <c r="C173" s="3821"/>
      <c r="D173" s="3821"/>
      <c r="E173" s="3821"/>
      <c r="F173" s="3821"/>
      <c r="G173" s="3821"/>
      <c r="H173" s="3821"/>
      <c r="I173" s="3821"/>
      <c r="J173" s="3821"/>
      <c r="K173" s="3821"/>
      <c r="L173" s="3821"/>
      <c r="M173" s="3821"/>
      <c r="N173" s="3821"/>
      <c r="O173" s="3821"/>
      <c r="P173" s="3821"/>
      <c r="Q173" s="3821"/>
      <c r="R173" s="3821"/>
      <c r="S173" s="3821"/>
      <c r="T173" s="3821"/>
      <c r="U173" s="3821"/>
      <c r="V173" s="3821"/>
      <c r="W173" s="3821"/>
      <c r="X173" s="3821"/>
      <c r="Y173" s="3821"/>
      <c r="Z173" s="3821"/>
      <c r="AA173" s="3821"/>
      <c r="AB173" s="3821"/>
      <c r="AC173" s="3821"/>
    </row>
    <row r="174" spans="1:29">
      <c r="A174" s="3821"/>
      <c r="B174" s="3821"/>
      <c r="C174" s="3821"/>
      <c r="D174" s="3821"/>
      <c r="E174" s="3821"/>
      <c r="F174" s="3821"/>
      <c r="G174" s="3821"/>
      <c r="H174" s="3821"/>
      <c r="I174" s="3821"/>
      <c r="J174" s="3821"/>
      <c r="K174" s="3821"/>
      <c r="L174" s="3821"/>
      <c r="M174" s="3821"/>
      <c r="N174" s="3821"/>
      <c r="O174" s="3821"/>
      <c r="P174" s="3821"/>
      <c r="Q174" s="3821"/>
      <c r="R174" s="3821"/>
      <c r="S174" s="3821"/>
      <c r="T174" s="3821"/>
      <c r="U174" s="3821"/>
      <c r="V174" s="3821"/>
      <c r="W174" s="3821"/>
      <c r="X174" s="3821"/>
      <c r="Y174" s="3821"/>
      <c r="Z174" s="3821"/>
      <c r="AA174" s="3821"/>
      <c r="AB174" s="3821"/>
      <c r="AC174" s="3821"/>
    </row>
    <row r="175" spans="1:29">
      <c r="A175" s="3821"/>
      <c r="B175" s="3821"/>
      <c r="C175" s="3821"/>
      <c r="D175" s="3821"/>
      <c r="E175" s="3821"/>
      <c r="F175" s="3821"/>
      <c r="G175" s="3821"/>
      <c r="H175" s="3821"/>
      <c r="I175" s="3821"/>
      <c r="J175" s="3821"/>
      <c r="K175" s="3821"/>
      <c r="L175" s="3821"/>
      <c r="M175" s="3821"/>
      <c r="N175" s="3821"/>
      <c r="O175" s="3821"/>
      <c r="P175" s="3821"/>
      <c r="Q175" s="3821"/>
      <c r="R175" s="3821"/>
      <c r="S175" s="3821"/>
      <c r="T175" s="3821"/>
      <c r="U175" s="3821"/>
      <c r="V175" s="3821"/>
      <c r="W175" s="3821"/>
      <c r="X175" s="3821"/>
      <c r="Y175" s="3821"/>
      <c r="Z175" s="3821"/>
      <c r="AA175" s="3821"/>
      <c r="AB175" s="3821"/>
      <c r="AC175" s="3821"/>
    </row>
    <row r="176" spans="1:29">
      <c r="A176" s="3821"/>
      <c r="B176" s="3821"/>
      <c r="C176" s="3821"/>
      <c r="D176" s="3821"/>
      <c r="E176" s="3821"/>
      <c r="F176" s="3821"/>
      <c r="G176" s="3821"/>
      <c r="H176" s="3821"/>
      <c r="I176" s="3821"/>
      <c r="J176" s="3821"/>
      <c r="K176" s="3821"/>
      <c r="L176" s="3821"/>
      <c r="M176" s="3821"/>
      <c r="N176" s="3821"/>
      <c r="O176" s="3821"/>
      <c r="P176" s="3821"/>
      <c r="Q176" s="3821"/>
      <c r="R176" s="3821"/>
      <c r="S176" s="3821"/>
      <c r="T176" s="3821"/>
      <c r="U176" s="3821"/>
      <c r="V176" s="3821"/>
      <c r="W176" s="3821"/>
      <c r="X176" s="3821"/>
      <c r="Y176" s="3821"/>
      <c r="Z176" s="3821"/>
      <c r="AA176" s="3821"/>
      <c r="AB176" s="3821"/>
      <c r="AC176" s="3821"/>
    </row>
    <row r="177" spans="1:29">
      <c r="A177" s="3821"/>
      <c r="B177" s="3821"/>
      <c r="C177" s="3821"/>
      <c r="D177" s="3821"/>
      <c r="E177" s="3821"/>
      <c r="F177" s="3821"/>
      <c r="G177" s="3821"/>
      <c r="H177" s="3821"/>
      <c r="I177" s="3821"/>
      <c r="J177" s="3821"/>
      <c r="K177" s="3821"/>
      <c r="L177" s="3821"/>
      <c r="M177" s="3821"/>
      <c r="N177" s="3821"/>
      <c r="O177" s="3821"/>
      <c r="P177" s="3821"/>
      <c r="Q177" s="3821"/>
      <c r="R177" s="3821"/>
      <c r="S177" s="3821"/>
      <c r="T177" s="3821"/>
      <c r="U177" s="3821"/>
      <c r="V177" s="3821"/>
      <c r="W177" s="3821"/>
      <c r="X177" s="3821"/>
      <c r="Y177" s="3821"/>
      <c r="Z177" s="3821"/>
      <c r="AA177" s="3821"/>
      <c r="AB177" s="3821"/>
      <c r="AC177" s="3821"/>
    </row>
    <row r="178" spans="1:29">
      <c r="A178" s="3821"/>
      <c r="B178" s="3821"/>
      <c r="C178" s="3821"/>
      <c r="D178" s="3821"/>
      <c r="E178" s="3821"/>
      <c r="F178" s="3821"/>
      <c r="G178" s="3821"/>
      <c r="H178" s="3821"/>
      <c r="I178" s="3821"/>
      <c r="J178" s="3821"/>
      <c r="K178" s="3821"/>
      <c r="L178" s="3821"/>
      <c r="M178" s="3821"/>
      <c r="N178" s="3821"/>
      <c r="O178" s="3821"/>
      <c r="P178" s="3821"/>
      <c r="Q178" s="3821"/>
      <c r="R178" s="3821"/>
      <c r="S178" s="3821"/>
      <c r="T178" s="3821"/>
      <c r="U178" s="3821"/>
      <c r="V178" s="3821"/>
      <c r="W178" s="3821"/>
      <c r="X178" s="3821"/>
      <c r="Y178" s="3821"/>
      <c r="Z178" s="3821"/>
      <c r="AA178" s="3821"/>
      <c r="AB178" s="3821"/>
      <c r="AC178" s="3821"/>
    </row>
    <row r="179" spans="1:29">
      <c r="A179" s="3821"/>
      <c r="B179" s="3821"/>
      <c r="C179" s="3821"/>
      <c r="D179" s="3821"/>
      <c r="E179" s="3821"/>
      <c r="F179" s="3821"/>
      <c r="G179" s="3821"/>
      <c r="H179" s="3821"/>
      <c r="I179" s="3821"/>
      <c r="J179" s="3821"/>
      <c r="K179" s="3821"/>
      <c r="L179" s="3821"/>
      <c r="M179" s="3821"/>
      <c r="N179" s="3821"/>
      <c r="O179" s="3821"/>
      <c r="P179" s="3821"/>
      <c r="Q179" s="3821"/>
      <c r="R179" s="3821"/>
      <c r="S179" s="3821"/>
      <c r="T179" s="3821"/>
      <c r="U179" s="3821"/>
      <c r="V179" s="3821"/>
      <c r="W179" s="3821"/>
      <c r="X179" s="3821"/>
      <c r="Y179" s="3821"/>
      <c r="Z179" s="3821"/>
      <c r="AA179" s="3821"/>
      <c r="AB179" s="3821"/>
      <c r="AC179" s="3821"/>
    </row>
    <row r="180" spans="1:29">
      <c r="A180" s="3821"/>
      <c r="B180" s="3821"/>
      <c r="C180" s="3821"/>
      <c r="D180" s="3821"/>
      <c r="E180" s="3821"/>
      <c r="F180" s="3821"/>
      <c r="G180" s="3821"/>
      <c r="H180" s="3821"/>
      <c r="I180" s="3821"/>
      <c r="J180" s="3821"/>
      <c r="K180" s="3821"/>
      <c r="L180" s="3821"/>
      <c r="M180" s="3821"/>
      <c r="N180" s="3821"/>
      <c r="O180" s="3821"/>
      <c r="P180" s="3821"/>
      <c r="Q180" s="3821"/>
      <c r="R180" s="3821"/>
      <c r="S180" s="3821"/>
      <c r="T180" s="3821"/>
      <c r="U180" s="3821"/>
      <c r="V180" s="3821"/>
      <c r="W180" s="3821"/>
      <c r="X180" s="3821"/>
      <c r="Y180" s="3821"/>
      <c r="Z180" s="3821"/>
      <c r="AA180" s="3821"/>
      <c r="AB180" s="3821"/>
      <c r="AC180" s="3821"/>
    </row>
    <row r="181" spans="1:29">
      <c r="A181" s="3821"/>
      <c r="B181" s="3821"/>
      <c r="C181" s="3821"/>
      <c r="D181" s="3821"/>
      <c r="E181" s="3821"/>
      <c r="F181" s="3821"/>
      <c r="G181" s="3821"/>
      <c r="H181" s="3821"/>
      <c r="I181" s="3821"/>
      <c r="J181" s="3821"/>
      <c r="K181" s="3821"/>
      <c r="L181" s="3821"/>
      <c r="M181" s="3821"/>
      <c r="N181" s="3821"/>
      <c r="O181" s="3821"/>
      <c r="P181" s="3821"/>
      <c r="Q181" s="3821"/>
      <c r="R181" s="3821"/>
      <c r="S181" s="3821"/>
      <c r="T181" s="3821"/>
      <c r="U181" s="3821"/>
      <c r="V181" s="3821"/>
      <c r="W181" s="3821"/>
      <c r="X181" s="3821"/>
      <c r="Y181" s="3821"/>
      <c r="Z181" s="3821"/>
      <c r="AA181" s="3821"/>
      <c r="AB181" s="3821"/>
      <c r="AC181" s="3821"/>
    </row>
    <row r="182" spans="1:29">
      <c r="A182" s="3821"/>
      <c r="B182" s="3821"/>
      <c r="C182" s="3821"/>
      <c r="D182" s="3821"/>
      <c r="E182" s="3821"/>
      <c r="F182" s="3821"/>
      <c r="G182" s="3821"/>
      <c r="H182" s="3821"/>
      <c r="I182" s="3821"/>
      <c r="J182" s="3821"/>
      <c r="K182" s="3821"/>
      <c r="L182" s="3821"/>
      <c r="M182" s="3821"/>
      <c r="N182" s="3821"/>
      <c r="O182" s="3821"/>
      <c r="P182" s="3821"/>
      <c r="Q182" s="3821"/>
      <c r="R182" s="3821"/>
      <c r="S182" s="3821"/>
      <c r="T182" s="3821"/>
      <c r="U182" s="3821"/>
      <c r="V182" s="3821"/>
      <c r="W182" s="3821"/>
      <c r="X182" s="3821"/>
      <c r="Y182" s="3821"/>
      <c r="Z182" s="3821"/>
      <c r="AA182" s="3821"/>
      <c r="AB182" s="3821"/>
      <c r="AC182" s="3821"/>
    </row>
    <row r="183" spans="1:29">
      <c r="A183" s="3821"/>
      <c r="B183" s="3821"/>
      <c r="C183" s="3821"/>
      <c r="D183" s="3821"/>
      <c r="E183" s="3821"/>
      <c r="F183" s="3821"/>
      <c r="G183" s="3821"/>
      <c r="H183" s="3821"/>
      <c r="I183" s="3821"/>
      <c r="J183" s="3821"/>
      <c r="K183" s="3821"/>
      <c r="L183" s="3821"/>
      <c r="M183" s="3821"/>
      <c r="N183" s="3821"/>
      <c r="O183" s="3821"/>
      <c r="P183" s="3821"/>
      <c r="Q183" s="3821"/>
      <c r="R183" s="3821"/>
      <c r="S183" s="3821"/>
      <c r="T183" s="3821"/>
      <c r="U183" s="3821"/>
      <c r="V183" s="3821"/>
      <c r="W183" s="3821"/>
      <c r="X183" s="3821"/>
      <c r="Y183" s="3821"/>
      <c r="Z183" s="3821"/>
      <c r="AA183" s="3821"/>
      <c r="AB183" s="3821"/>
      <c r="AC183" s="3821"/>
    </row>
    <row r="184" spans="1:29">
      <c r="A184" s="3821"/>
      <c r="B184" s="3821"/>
      <c r="C184" s="3821"/>
      <c r="D184" s="3821"/>
      <c r="E184" s="3821"/>
      <c r="F184" s="3821"/>
      <c r="G184" s="3821"/>
      <c r="H184" s="3821"/>
      <c r="I184" s="3821"/>
      <c r="J184" s="3821"/>
      <c r="K184" s="3821"/>
      <c r="L184" s="3821"/>
      <c r="M184" s="3821"/>
      <c r="N184" s="3821"/>
      <c r="O184" s="3821"/>
      <c r="P184" s="3821"/>
      <c r="Q184" s="3821"/>
      <c r="R184" s="3821"/>
      <c r="S184" s="3821"/>
      <c r="T184" s="3821"/>
      <c r="U184" s="3821"/>
      <c r="V184" s="3821"/>
      <c r="W184" s="3821"/>
      <c r="X184" s="3821"/>
      <c r="Y184" s="3821"/>
      <c r="Z184" s="3821"/>
      <c r="AA184" s="3821"/>
      <c r="AB184" s="3821"/>
      <c r="AC184" s="3821"/>
    </row>
    <row r="185" spans="1:29">
      <c r="A185" s="3821"/>
      <c r="B185" s="3821"/>
      <c r="C185" s="3821"/>
      <c r="D185" s="3821"/>
      <c r="E185" s="3821"/>
      <c r="F185" s="3821"/>
      <c r="G185" s="3821"/>
      <c r="H185" s="3821"/>
      <c r="I185" s="3821"/>
      <c r="J185" s="3821"/>
      <c r="K185" s="3821"/>
      <c r="L185" s="3821"/>
      <c r="M185" s="3821"/>
      <c r="N185" s="3821"/>
      <c r="O185" s="3821"/>
      <c r="P185" s="3821"/>
      <c r="Q185" s="3821"/>
      <c r="R185" s="3821"/>
      <c r="S185" s="3821"/>
      <c r="T185" s="3821"/>
      <c r="U185" s="3821"/>
      <c r="V185" s="3821"/>
      <c r="W185" s="3821"/>
      <c r="X185" s="3821"/>
      <c r="Y185" s="3821"/>
      <c r="Z185" s="3821"/>
      <c r="AA185" s="3821"/>
      <c r="AB185" s="3821"/>
      <c r="AC185" s="3821"/>
    </row>
    <row r="186" spans="1:29">
      <c r="A186" s="3821"/>
      <c r="B186" s="3821"/>
      <c r="C186" s="3821"/>
      <c r="D186" s="3821"/>
      <c r="E186" s="3821"/>
      <c r="F186" s="3821"/>
      <c r="G186" s="3821"/>
      <c r="H186" s="3821"/>
      <c r="I186" s="3821"/>
      <c r="J186" s="3821"/>
      <c r="K186" s="3821"/>
      <c r="L186" s="3821"/>
      <c r="M186" s="3821"/>
      <c r="N186" s="3821"/>
      <c r="O186" s="3821"/>
      <c r="P186" s="3821"/>
      <c r="Q186" s="3821"/>
      <c r="R186" s="3821"/>
      <c r="S186" s="3821"/>
      <c r="T186" s="3821"/>
      <c r="U186" s="3821"/>
      <c r="V186" s="3821"/>
      <c r="W186" s="3821"/>
      <c r="X186" s="3821"/>
      <c r="Y186" s="3821"/>
      <c r="Z186" s="3821"/>
      <c r="AA186" s="3821"/>
      <c r="AB186" s="3821"/>
      <c r="AC186" s="3821"/>
    </row>
    <row r="187" spans="1:29">
      <c r="A187" s="3821"/>
      <c r="B187" s="3821"/>
      <c r="C187" s="3821"/>
      <c r="D187" s="3821"/>
      <c r="E187" s="3821"/>
      <c r="F187" s="3821"/>
      <c r="G187" s="3821"/>
      <c r="H187" s="3821"/>
      <c r="I187" s="3821"/>
      <c r="J187" s="3821"/>
      <c r="K187" s="3821"/>
      <c r="L187" s="3821"/>
      <c r="M187" s="3821"/>
      <c r="N187" s="3821"/>
      <c r="O187" s="3821"/>
      <c r="P187" s="3821"/>
      <c r="Q187" s="3821"/>
      <c r="R187" s="3821"/>
      <c r="S187" s="3821"/>
      <c r="T187" s="3821"/>
      <c r="U187" s="3821"/>
      <c r="V187" s="3821"/>
      <c r="W187" s="3821"/>
      <c r="X187" s="3821"/>
      <c r="Y187" s="3821"/>
      <c r="Z187" s="3821"/>
      <c r="AA187" s="3821"/>
      <c r="AB187" s="3821"/>
      <c r="AC187" s="3821"/>
    </row>
    <row r="188" spans="1:29">
      <c r="A188" s="3821"/>
      <c r="B188" s="3821"/>
      <c r="C188" s="3821"/>
      <c r="D188" s="3821"/>
      <c r="E188" s="3821"/>
      <c r="F188" s="3821"/>
      <c r="G188" s="3821"/>
      <c r="H188" s="3821"/>
      <c r="I188" s="3821"/>
      <c r="J188" s="3821"/>
      <c r="K188" s="3821"/>
      <c r="L188" s="3821"/>
      <c r="M188" s="3821"/>
      <c r="N188" s="3821"/>
      <c r="O188" s="3821"/>
      <c r="P188" s="3821"/>
      <c r="Q188" s="3821"/>
      <c r="R188" s="3821"/>
      <c r="S188" s="3821"/>
      <c r="T188" s="3821"/>
      <c r="U188" s="3821"/>
      <c r="V188" s="3821"/>
      <c r="W188" s="3821"/>
      <c r="X188" s="3821"/>
      <c r="Y188" s="3821"/>
      <c r="Z188" s="3821"/>
      <c r="AA188" s="3821"/>
      <c r="AB188" s="3821"/>
      <c r="AC188" s="3821"/>
    </row>
    <row r="189" spans="1:29">
      <c r="A189" s="3821"/>
      <c r="B189" s="3821"/>
      <c r="C189" s="3821"/>
      <c r="D189" s="3821"/>
      <c r="E189" s="3821"/>
      <c r="F189" s="3821"/>
      <c r="G189" s="3821"/>
      <c r="H189" s="3821"/>
      <c r="I189" s="3821"/>
      <c r="J189" s="3821"/>
      <c r="K189" s="3821"/>
      <c r="L189" s="3821"/>
      <c r="M189" s="3821"/>
      <c r="N189" s="3821"/>
      <c r="O189" s="3821"/>
      <c r="P189" s="3821"/>
      <c r="Q189" s="3821"/>
      <c r="R189" s="3821"/>
      <c r="S189" s="3821"/>
      <c r="T189" s="3821"/>
      <c r="U189" s="3821"/>
      <c r="V189" s="3821"/>
      <c r="W189" s="3821"/>
      <c r="X189" s="3821"/>
      <c r="Y189" s="3821"/>
      <c r="Z189" s="3821"/>
      <c r="AA189" s="3821"/>
      <c r="AB189" s="3821"/>
      <c r="AC189" s="3821"/>
    </row>
    <row r="190" spans="1:29">
      <c r="A190" s="3821"/>
      <c r="B190" s="3821"/>
      <c r="C190" s="3821"/>
      <c r="D190" s="3821"/>
      <c r="E190" s="3821"/>
      <c r="F190" s="3821"/>
      <c r="G190" s="3821"/>
      <c r="H190" s="3821"/>
      <c r="I190" s="3821"/>
      <c r="J190" s="3821"/>
      <c r="K190" s="3821"/>
      <c r="L190" s="3821"/>
      <c r="M190" s="3821"/>
      <c r="N190" s="3821"/>
      <c r="O190" s="3821"/>
      <c r="P190" s="3821"/>
      <c r="Q190" s="3821"/>
      <c r="R190" s="3821"/>
      <c r="S190" s="3821"/>
      <c r="T190" s="3821"/>
      <c r="U190" s="3821"/>
      <c r="V190" s="3821"/>
      <c r="W190" s="3821"/>
      <c r="X190" s="3821"/>
      <c r="Y190" s="3821"/>
      <c r="Z190" s="3821"/>
      <c r="AA190" s="3821"/>
      <c r="AB190" s="3821"/>
      <c r="AC190" s="3821"/>
    </row>
    <row r="191" spans="1:29">
      <c r="A191" s="3821"/>
      <c r="B191" s="3821"/>
      <c r="C191" s="3821"/>
      <c r="D191" s="3821"/>
      <c r="E191" s="3821"/>
      <c r="F191" s="3821"/>
      <c r="G191" s="3821"/>
      <c r="H191" s="3821"/>
      <c r="I191" s="3821"/>
      <c r="J191" s="3821"/>
      <c r="K191" s="3821"/>
      <c r="L191" s="3821"/>
      <c r="M191" s="3821"/>
      <c r="N191" s="3821"/>
      <c r="O191" s="3821"/>
      <c r="P191" s="3821"/>
      <c r="Q191" s="3821"/>
      <c r="R191" s="3821"/>
      <c r="S191" s="3821"/>
      <c r="T191" s="3821"/>
      <c r="U191" s="3821"/>
      <c r="V191" s="3821"/>
      <c r="W191" s="3821"/>
      <c r="X191" s="3821"/>
      <c r="Y191" s="3821"/>
      <c r="Z191" s="3821"/>
      <c r="AA191" s="3821"/>
      <c r="AB191" s="3821"/>
      <c r="AC191" s="3821"/>
    </row>
    <row r="192" spans="1:29">
      <c r="A192" s="3821"/>
      <c r="B192" s="3821"/>
      <c r="C192" s="3821"/>
      <c r="D192" s="3821"/>
      <c r="E192" s="3821"/>
      <c r="F192" s="3821"/>
      <c r="G192" s="3821"/>
      <c r="H192" s="3821"/>
      <c r="I192" s="3821"/>
      <c r="J192" s="3821"/>
      <c r="K192" s="3821"/>
      <c r="L192" s="3821"/>
      <c r="M192" s="3821"/>
      <c r="N192" s="3821"/>
      <c r="O192" s="3821"/>
      <c r="P192" s="3821"/>
      <c r="Q192" s="3821"/>
      <c r="R192" s="3821"/>
      <c r="S192" s="3821"/>
      <c r="T192" s="3821"/>
      <c r="U192" s="3821"/>
      <c r="V192" s="3821"/>
      <c r="W192" s="3821"/>
      <c r="X192" s="3821"/>
      <c r="Y192" s="3821"/>
      <c r="Z192" s="3821"/>
      <c r="AA192" s="3821"/>
      <c r="AB192" s="3821"/>
      <c r="AC192" s="3821"/>
    </row>
    <row r="193" spans="1:29">
      <c r="A193" s="3821"/>
      <c r="B193" s="3821"/>
      <c r="C193" s="3821"/>
      <c r="D193" s="3821"/>
      <c r="E193" s="3821"/>
      <c r="F193" s="3821"/>
      <c r="G193" s="3821"/>
      <c r="H193" s="3821"/>
      <c r="I193" s="3821"/>
      <c r="J193" s="3821"/>
      <c r="K193" s="3821"/>
      <c r="L193" s="3821"/>
      <c r="M193" s="3821"/>
      <c r="N193" s="3821"/>
      <c r="O193" s="3821"/>
      <c r="P193" s="3821"/>
      <c r="Q193" s="3821"/>
      <c r="R193" s="3821"/>
      <c r="S193" s="3821"/>
      <c r="T193" s="3821"/>
      <c r="U193" s="3821"/>
      <c r="V193" s="3821"/>
      <c r="W193" s="3821"/>
      <c r="X193" s="3821"/>
      <c r="Y193" s="3821"/>
      <c r="Z193" s="3821"/>
      <c r="AA193" s="3821"/>
      <c r="AB193" s="3821"/>
      <c r="AC193" s="3821"/>
    </row>
    <row r="194" spans="1:29">
      <c r="A194" s="3821"/>
      <c r="B194" s="3821"/>
      <c r="C194" s="3821"/>
      <c r="D194" s="3821"/>
      <c r="E194" s="3821"/>
      <c r="F194" s="3821"/>
      <c r="G194" s="3821"/>
      <c r="H194" s="3821"/>
      <c r="I194" s="3821"/>
      <c r="J194" s="3821"/>
      <c r="K194" s="3821"/>
      <c r="L194" s="3821"/>
      <c r="M194" s="3821"/>
      <c r="N194" s="3821"/>
      <c r="O194" s="3821"/>
      <c r="P194" s="3821"/>
      <c r="Q194" s="3821"/>
      <c r="R194" s="3821"/>
      <c r="S194" s="3821"/>
      <c r="T194" s="3821"/>
      <c r="U194" s="3821"/>
      <c r="V194" s="3821"/>
      <c r="W194" s="3821"/>
      <c r="X194" s="3821"/>
      <c r="Y194" s="3821"/>
      <c r="Z194" s="3821"/>
      <c r="AA194" s="3821"/>
      <c r="AB194" s="3821"/>
      <c r="AC194" s="3821"/>
    </row>
    <row r="195" spans="1:29">
      <c r="A195" s="3821"/>
      <c r="B195" s="3821"/>
      <c r="C195" s="3821"/>
      <c r="D195" s="3821"/>
      <c r="E195" s="3821"/>
      <c r="F195" s="3821"/>
      <c r="G195" s="3821"/>
      <c r="H195" s="3821"/>
      <c r="I195" s="3821"/>
      <c r="J195" s="3821"/>
      <c r="K195" s="3821"/>
      <c r="L195" s="3821"/>
      <c r="M195" s="3821"/>
      <c r="N195" s="3821"/>
      <c r="O195" s="3821"/>
      <c r="P195" s="3821"/>
      <c r="Q195" s="3821"/>
      <c r="R195" s="3821"/>
      <c r="S195" s="3821"/>
      <c r="T195" s="3821"/>
      <c r="U195" s="3821"/>
      <c r="V195" s="3821"/>
      <c r="W195" s="3821"/>
      <c r="X195" s="3821"/>
      <c r="Y195" s="3821"/>
      <c r="Z195" s="3821"/>
      <c r="AA195" s="3821"/>
      <c r="AB195" s="3821"/>
      <c r="AC195" s="3821"/>
    </row>
    <row r="196" spans="1:29">
      <c r="A196" s="3821"/>
      <c r="B196" s="3821"/>
      <c r="C196" s="3821"/>
      <c r="D196" s="3821"/>
      <c r="E196" s="3821"/>
      <c r="F196" s="3821"/>
      <c r="G196" s="3821"/>
      <c r="H196" s="3821"/>
      <c r="I196" s="3821"/>
      <c r="J196" s="3821"/>
      <c r="K196" s="3821"/>
      <c r="L196" s="3821"/>
      <c r="M196" s="3821"/>
      <c r="N196" s="3821"/>
      <c r="O196" s="3821"/>
      <c r="P196" s="3821"/>
      <c r="Q196" s="3821"/>
      <c r="R196" s="3821"/>
      <c r="S196" s="3821"/>
      <c r="T196" s="3821"/>
      <c r="U196" s="3821"/>
      <c r="V196" s="3821"/>
      <c r="W196" s="3821"/>
      <c r="X196" s="3821"/>
      <c r="Y196" s="3821"/>
      <c r="Z196" s="3821"/>
      <c r="AA196" s="3821"/>
      <c r="AB196" s="3821"/>
      <c r="AC196" s="3821"/>
    </row>
    <row r="197" spans="1:29">
      <c r="A197" s="3821"/>
      <c r="B197" s="3821"/>
      <c r="C197" s="3821"/>
      <c r="D197" s="3821"/>
      <c r="E197" s="3821"/>
      <c r="F197" s="3821"/>
      <c r="G197" s="3821"/>
      <c r="H197" s="3821"/>
      <c r="I197" s="3821"/>
      <c r="J197" s="3821"/>
      <c r="K197" s="3821"/>
      <c r="L197" s="3821"/>
      <c r="M197" s="3821"/>
      <c r="N197" s="3821"/>
      <c r="O197" s="3821"/>
      <c r="P197" s="3821"/>
      <c r="Q197" s="3821"/>
      <c r="R197" s="3821"/>
      <c r="S197" s="3821"/>
      <c r="T197" s="3821"/>
      <c r="U197" s="3821"/>
      <c r="V197" s="3821"/>
      <c r="W197" s="3821"/>
      <c r="X197" s="3821"/>
      <c r="Y197" s="3821"/>
      <c r="Z197" s="3821"/>
      <c r="AA197" s="3821"/>
      <c r="AB197" s="3821"/>
      <c r="AC197" s="3821"/>
    </row>
    <row r="198" spans="1:29">
      <c r="A198" s="3821"/>
      <c r="B198" s="3821"/>
      <c r="C198" s="3821"/>
      <c r="D198" s="3821"/>
      <c r="E198" s="3821"/>
      <c r="F198" s="3821"/>
      <c r="G198" s="3821"/>
      <c r="H198" s="3821"/>
      <c r="I198" s="3821"/>
      <c r="J198" s="3821"/>
      <c r="K198" s="3821"/>
      <c r="L198" s="3821"/>
      <c r="M198" s="3821"/>
      <c r="N198" s="3821"/>
      <c r="O198" s="3821"/>
      <c r="P198" s="3821"/>
      <c r="Q198" s="3821"/>
      <c r="R198" s="3821"/>
      <c r="S198" s="3821"/>
      <c r="T198" s="3821"/>
      <c r="U198" s="3821"/>
      <c r="V198" s="3821"/>
      <c r="W198" s="3821"/>
      <c r="X198" s="3821"/>
      <c r="Y198" s="3821"/>
      <c r="Z198" s="3821"/>
      <c r="AA198" s="3821"/>
      <c r="AB198" s="3821"/>
      <c r="AC198" s="3821"/>
    </row>
    <row r="199" spans="1:29">
      <c r="A199" s="3821"/>
      <c r="B199" s="3821"/>
      <c r="C199" s="3821"/>
      <c r="D199" s="3821"/>
      <c r="E199" s="3821"/>
      <c r="F199" s="3821"/>
      <c r="G199" s="3821"/>
      <c r="H199" s="3821"/>
      <c r="I199" s="3821"/>
      <c r="J199" s="3821"/>
      <c r="K199" s="3821"/>
      <c r="L199" s="3821"/>
      <c r="M199" s="3821"/>
      <c r="N199" s="3821"/>
      <c r="O199" s="3821"/>
      <c r="P199" s="3821"/>
      <c r="Q199" s="3821"/>
      <c r="R199" s="3821"/>
      <c r="S199" s="3821"/>
      <c r="T199" s="3821"/>
      <c r="U199" s="3821"/>
      <c r="V199" s="3821"/>
      <c r="W199" s="3821"/>
      <c r="X199" s="3821"/>
      <c r="Y199" s="3821"/>
      <c r="Z199" s="3821"/>
      <c r="AA199" s="3821"/>
      <c r="AB199" s="3821"/>
      <c r="AC199" s="3821"/>
    </row>
    <row r="200" spans="1:29">
      <c r="A200" s="3821"/>
      <c r="B200" s="3821"/>
      <c r="C200" s="3821"/>
      <c r="D200" s="3821"/>
      <c r="E200" s="3821"/>
      <c r="F200" s="3821"/>
      <c r="G200" s="3821"/>
      <c r="H200" s="3821"/>
      <c r="I200" s="3821"/>
      <c r="J200" s="3821"/>
      <c r="K200" s="3821"/>
      <c r="L200" s="3821"/>
      <c r="M200" s="3821"/>
      <c r="N200" s="3821"/>
      <c r="O200" s="3821"/>
      <c r="P200" s="3821"/>
      <c r="Q200" s="3821"/>
      <c r="R200" s="3821"/>
      <c r="S200" s="3821"/>
      <c r="T200" s="3821"/>
      <c r="U200" s="3821"/>
      <c r="V200" s="3821"/>
      <c r="W200" s="3821"/>
      <c r="X200" s="3821"/>
      <c r="Y200" s="3821"/>
      <c r="Z200" s="3821"/>
      <c r="AA200" s="3821"/>
      <c r="AB200" s="3821"/>
      <c r="AC200" s="3821"/>
    </row>
    <row r="201" spans="1:29">
      <c r="A201" s="3821"/>
      <c r="B201" s="3821"/>
      <c r="C201" s="3821"/>
      <c r="D201" s="3821"/>
      <c r="E201" s="3821"/>
      <c r="F201" s="3821"/>
      <c r="G201" s="3821"/>
      <c r="H201" s="3821"/>
      <c r="I201" s="3821"/>
      <c r="J201" s="3821"/>
      <c r="K201" s="3821"/>
      <c r="L201" s="3821"/>
      <c r="M201" s="3821"/>
      <c r="N201" s="3821"/>
      <c r="O201" s="3821"/>
      <c r="P201" s="3821"/>
      <c r="Q201" s="3821"/>
      <c r="R201" s="3821"/>
      <c r="S201" s="3821"/>
      <c r="T201" s="3821"/>
      <c r="U201" s="3821"/>
      <c r="V201" s="3821"/>
      <c r="W201" s="3821"/>
      <c r="X201" s="3821"/>
      <c r="Y201" s="3821"/>
      <c r="Z201" s="3821"/>
      <c r="AA201" s="3821"/>
      <c r="AB201" s="3821"/>
      <c r="AC201" s="3821"/>
    </row>
    <row r="202" spans="1:29">
      <c r="A202" s="3821"/>
      <c r="B202" s="3821"/>
      <c r="C202" s="3821"/>
      <c r="D202" s="3821"/>
      <c r="E202" s="3821"/>
      <c r="F202" s="3821"/>
      <c r="G202" s="3821"/>
      <c r="H202" s="3821"/>
      <c r="I202" s="3821"/>
      <c r="J202" s="3821"/>
      <c r="K202" s="3821"/>
      <c r="L202" s="3821"/>
      <c r="M202" s="3821"/>
      <c r="N202" s="3821"/>
      <c r="O202" s="3821"/>
      <c r="P202" s="3821"/>
      <c r="Q202" s="3821"/>
      <c r="R202" s="3821"/>
      <c r="S202" s="3821"/>
      <c r="T202" s="3821"/>
      <c r="U202" s="3821"/>
      <c r="V202" s="3821"/>
      <c r="W202" s="3821"/>
      <c r="X202" s="3821"/>
      <c r="Y202" s="3821"/>
      <c r="Z202" s="3821"/>
      <c r="AA202" s="3821"/>
      <c r="AB202" s="3821"/>
      <c r="AC202" s="3821"/>
    </row>
    <row r="203" spans="1:29">
      <c r="A203" s="3821"/>
      <c r="B203" s="3821"/>
      <c r="C203" s="3821"/>
      <c r="D203" s="3821"/>
      <c r="E203" s="3821"/>
      <c r="F203" s="3821"/>
      <c r="G203" s="3821"/>
      <c r="H203" s="3821"/>
      <c r="I203" s="3821"/>
      <c r="J203" s="3821"/>
      <c r="K203" s="3821"/>
      <c r="L203" s="3821"/>
      <c r="M203" s="3821"/>
      <c r="N203" s="3821"/>
      <c r="O203" s="3821"/>
      <c r="P203" s="3821"/>
      <c r="Q203" s="3821"/>
      <c r="R203" s="3821"/>
      <c r="S203" s="3821"/>
      <c r="T203" s="3821"/>
      <c r="U203" s="3821"/>
      <c r="V203" s="3821"/>
      <c r="W203" s="3821"/>
      <c r="X203" s="3821"/>
      <c r="Y203" s="3821"/>
      <c r="Z203" s="3821"/>
      <c r="AA203" s="3821"/>
      <c r="AB203" s="3821"/>
      <c r="AC203" s="3821"/>
    </row>
    <row r="204" spans="1:29">
      <c r="A204" s="3821"/>
      <c r="B204" s="3821"/>
      <c r="C204" s="3821"/>
      <c r="D204" s="3821"/>
      <c r="E204" s="3821"/>
      <c r="F204" s="3821"/>
      <c r="G204" s="3821"/>
      <c r="H204" s="3821"/>
      <c r="I204" s="3821"/>
      <c r="J204" s="3821"/>
      <c r="K204" s="3821"/>
      <c r="L204" s="3821"/>
      <c r="M204" s="3821"/>
      <c r="N204" s="3821"/>
      <c r="O204" s="3821"/>
      <c r="P204" s="3821"/>
      <c r="Q204" s="3821"/>
      <c r="R204" s="3821"/>
      <c r="S204" s="3821"/>
      <c r="T204" s="3821"/>
      <c r="U204" s="3821"/>
      <c r="V204" s="3821"/>
      <c r="W204" s="3821"/>
      <c r="X204" s="3821"/>
      <c r="Y204" s="3821"/>
      <c r="Z204" s="3821"/>
      <c r="AA204" s="3821"/>
      <c r="AB204" s="3821"/>
      <c r="AC204" s="3821"/>
    </row>
    <row r="205" spans="1:29">
      <c r="A205" s="3821"/>
      <c r="B205" s="3821"/>
      <c r="C205" s="3821"/>
      <c r="D205" s="3821"/>
      <c r="E205" s="3821"/>
      <c r="F205" s="3821"/>
      <c r="G205" s="3821"/>
      <c r="H205" s="3821"/>
      <c r="I205" s="3821"/>
      <c r="J205" s="3821"/>
      <c r="K205" s="3821"/>
      <c r="L205" s="3821"/>
      <c r="M205" s="3821"/>
      <c r="N205" s="3821"/>
      <c r="O205" s="3821"/>
      <c r="P205" s="3821"/>
      <c r="Q205" s="3821"/>
      <c r="R205" s="3821"/>
      <c r="S205" s="3821"/>
      <c r="T205" s="3821"/>
      <c r="U205" s="3821"/>
      <c r="V205" s="3821"/>
      <c r="W205" s="3821"/>
      <c r="X205" s="3821"/>
      <c r="Y205" s="3821"/>
      <c r="Z205" s="3821"/>
      <c r="AA205" s="3821"/>
      <c r="AB205" s="3821"/>
      <c r="AC205" s="3821"/>
    </row>
    <row r="206" spans="1:29">
      <c r="A206" s="3821"/>
      <c r="B206" s="3821"/>
      <c r="C206" s="3821"/>
      <c r="D206" s="3821"/>
      <c r="E206" s="3821"/>
      <c r="F206" s="3821"/>
      <c r="G206" s="3821"/>
      <c r="H206" s="3821"/>
      <c r="I206" s="3821"/>
      <c r="J206" s="3821"/>
      <c r="K206" s="3821"/>
      <c r="L206" s="3821"/>
      <c r="M206" s="3821"/>
      <c r="N206" s="3821"/>
      <c r="O206" s="3821"/>
      <c r="P206" s="3821"/>
      <c r="Q206" s="3821"/>
      <c r="R206" s="3821"/>
      <c r="S206" s="3821"/>
      <c r="T206" s="3821"/>
      <c r="U206" s="3821"/>
      <c r="V206" s="3821"/>
      <c r="W206" s="3821"/>
      <c r="X206" s="3821"/>
      <c r="Y206" s="3821"/>
      <c r="Z206" s="3821"/>
      <c r="AA206" s="3821"/>
      <c r="AB206" s="3821"/>
      <c r="AC206" s="3821"/>
    </row>
    <row r="207" spans="1:29">
      <c r="A207" s="3821"/>
      <c r="B207" s="3821"/>
      <c r="C207" s="3821"/>
      <c r="D207" s="3821"/>
      <c r="E207" s="3821"/>
      <c r="F207" s="3821"/>
      <c r="G207" s="3821"/>
      <c r="H207" s="3821"/>
      <c r="I207" s="3821"/>
      <c r="J207" s="3821"/>
      <c r="K207" s="3821"/>
      <c r="L207" s="3821"/>
      <c r="M207" s="3821"/>
      <c r="N207" s="3821"/>
      <c r="O207" s="3821"/>
      <c r="P207" s="3821"/>
      <c r="Q207" s="3821"/>
      <c r="R207" s="3821"/>
      <c r="S207" s="3821"/>
      <c r="T207" s="3821"/>
      <c r="U207" s="3821"/>
      <c r="V207" s="3821"/>
      <c r="W207" s="3821"/>
      <c r="X207" s="3821"/>
      <c r="Y207" s="3821"/>
      <c r="Z207" s="3821"/>
      <c r="AA207" s="3821"/>
      <c r="AB207" s="3821"/>
      <c r="AC207" s="3821"/>
    </row>
    <row r="208" spans="1:29">
      <c r="A208" s="3821"/>
      <c r="B208" s="3821"/>
      <c r="C208" s="3821"/>
      <c r="D208" s="3821"/>
      <c r="E208" s="3821"/>
      <c r="F208" s="3821"/>
      <c r="G208" s="3821"/>
      <c r="H208" s="3821"/>
      <c r="I208" s="3821"/>
      <c r="J208" s="3821"/>
      <c r="K208" s="3821"/>
      <c r="L208" s="3821"/>
      <c r="M208" s="3821"/>
      <c r="N208" s="3821"/>
      <c r="O208" s="3821"/>
      <c r="P208" s="3821"/>
      <c r="Q208" s="3821"/>
      <c r="R208" s="3821"/>
      <c r="S208" s="3821"/>
      <c r="T208" s="3821"/>
      <c r="U208" s="3821"/>
      <c r="V208" s="3821"/>
      <c r="W208" s="3821"/>
      <c r="X208" s="3821"/>
      <c r="Y208" s="3821"/>
      <c r="Z208" s="3821"/>
      <c r="AA208" s="3821"/>
      <c r="AB208" s="3821"/>
      <c r="AC208" s="3821"/>
    </row>
    <row r="209" spans="1:29">
      <c r="A209" s="3821"/>
      <c r="B209" s="3821"/>
      <c r="C209" s="3821"/>
      <c r="D209" s="3821"/>
      <c r="E209" s="3821"/>
      <c r="F209" s="3821"/>
      <c r="G209" s="3821"/>
      <c r="H209" s="3821"/>
      <c r="I209" s="3821"/>
      <c r="J209" s="3821"/>
      <c r="K209" s="3821"/>
      <c r="L209" s="3821"/>
      <c r="M209" s="3821"/>
      <c r="N209" s="3821"/>
      <c r="O209" s="3821"/>
      <c r="P209" s="3821"/>
      <c r="Q209" s="3821"/>
      <c r="R209" s="3821"/>
      <c r="S209" s="3821"/>
      <c r="T209" s="3821"/>
      <c r="U209" s="3821"/>
      <c r="V209" s="3821"/>
      <c r="W209" s="3821"/>
      <c r="X209" s="3821"/>
      <c r="Y209" s="3821"/>
      <c r="Z209" s="3821"/>
      <c r="AA209" s="3821"/>
      <c r="AB209" s="3821"/>
      <c r="AC209" s="3821"/>
    </row>
    <row r="210" spans="1:29">
      <c r="A210" s="3821"/>
      <c r="B210" s="3821"/>
      <c r="C210" s="3821"/>
      <c r="D210" s="3821"/>
      <c r="E210" s="3821"/>
      <c r="F210" s="3821"/>
      <c r="G210" s="3821"/>
      <c r="H210" s="3821"/>
      <c r="I210" s="3821"/>
      <c r="J210" s="3821"/>
      <c r="K210" s="3821"/>
      <c r="L210" s="3821"/>
      <c r="M210" s="3821"/>
      <c r="N210" s="3821"/>
      <c r="O210" s="3821"/>
      <c r="P210" s="3821"/>
      <c r="Q210" s="3821"/>
      <c r="R210" s="3821"/>
      <c r="S210" s="3821"/>
      <c r="T210" s="3821"/>
      <c r="U210" s="3821"/>
      <c r="V210" s="3821"/>
      <c r="W210" s="3821"/>
      <c r="X210" s="3821"/>
      <c r="Y210" s="3821"/>
      <c r="Z210" s="3821"/>
      <c r="AA210" s="3821"/>
      <c r="AB210" s="3821"/>
      <c r="AC210" s="3821"/>
    </row>
    <row r="211" spans="1:29">
      <c r="A211" s="3821"/>
      <c r="B211" s="3821"/>
      <c r="C211" s="3821"/>
      <c r="D211" s="3821"/>
      <c r="E211" s="3821"/>
      <c r="F211" s="3821"/>
      <c r="G211" s="3821"/>
      <c r="H211" s="3821"/>
      <c r="I211" s="3821"/>
      <c r="J211" s="3821"/>
      <c r="K211" s="3821"/>
      <c r="L211" s="3821"/>
      <c r="M211" s="3821"/>
      <c r="N211" s="3821"/>
      <c r="O211" s="3821"/>
      <c r="P211" s="3821"/>
      <c r="Q211" s="3821"/>
      <c r="R211" s="3821"/>
      <c r="S211" s="3821"/>
      <c r="T211" s="3821"/>
      <c r="U211" s="3821"/>
      <c r="V211" s="3821"/>
      <c r="W211" s="3821"/>
      <c r="X211" s="3821"/>
      <c r="Y211" s="3821"/>
      <c r="Z211" s="3821"/>
      <c r="AA211" s="3821"/>
      <c r="AB211" s="3821"/>
      <c r="AC211" s="3821"/>
    </row>
    <row r="212" spans="1:29">
      <c r="A212" s="3821"/>
      <c r="B212" s="3821"/>
      <c r="C212" s="3821"/>
      <c r="D212" s="3821"/>
      <c r="E212" s="3821"/>
      <c r="F212" s="3821"/>
      <c r="G212" s="3821"/>
      <c r="H212" s="3821"/>
      <c r="I212" s="3821"/>
      <c r="J212" s="3821"/>
      <c r="K212" s="3821"/>
      <c r="L212" s="3821"/>
      <c r="M212" s="3821"/>
      <c r="N212" s="3821"/>
      <c r="O212" s="3821"/>
      <c r="P212" s="3821"/>
      <c r="Q212" s="3821"/>
      <c r="R212" s="3821"/>
      <c r="S212" s="3821"/>
      <c r="T212" s="3821"/>
      <c r="U212" s="3821"/>
      <c r="V212" s="3821"/>
      <c r="W212" s="3821"/>
      <c r="X212" s="3821"/>
      <c r="Y212" s="3821"/>
      <c r="Z212" s="3821"/>
      <c r="AA212" s="3821"/>
      <c r="AB212" s="3821"/>
      <c r="AC212" s="3821"/>
    </row>
    <row r="213" spans="1:29">
      <c r="A213" s="3821"/>
      <c r="B213" s="3821"/>
      <c r="C213" s="3821"/>
      <c r="D213" s="3821"/>
      <c r="E213" s="3821"/>
      <c r="F213" s="3821"/>
      <c r="G213" s="3821"/>
      <c r="H213" s="3821"/>
      <c r="I213" s="3821"/>
      <c r="J213" s="3821"/>
      <c r="K213" s="3821"/>
      <c r="L213" s="3821"/>
      <c r="M213" s="3821"/>
      <c r="N213" s="3821"/>
      <c r="O213" s="3821"/>
      <c r="P213" s="3821"/>
      <c r="Q213" s="3821"/>
      <c r="R213" s="3821"/>
      <c r="S213" s="3821"/>
      <c r="T213" s="3821"/>
      <c r="U213" s="3821"/>
      <c r="V213" s="3821"/>
      <c r="W213" s="3821"/>
      <c r="X213" s="3821"/>
      <c r="Y213" s="3821"/>
      <c r="Z213" s="3821"/>
      <c r="AA213" s="3821"/>
      <c r="AB213" s="3821"/>
      <c r="AC213" s="3821"/>
    </row>
    <row r="214" spans="1:29">
      <c r="A214" s="3821"/>
      <c r="B214" s="3821"/>
      <c r="C214" s="3821"/>
      <c r="D214" s="3821"/>
      <c r="E214" s="3821"/>
      <c r="F214" s="3821"/>
      <c r="G214" s="3821"/>
      <c r="H214" s="3821"/>
      <c r="I214" s="3821"/>
      <c r="J214" s="3821"/>
      <c r="K214" s="3821"/>
      <c r="L214" s="3821"/>
      <c r="M214" s="3821"/>
      <c r="N214" s="3821"/>
      <c r="O214" s="3821"/>
      <c r="P214" s="3821"/>
      <c r="Q214" s="3821"/>
      <c r="R214" s="3821"/>
      <c r="S214" s="3821"/>
      <c r="T214" s="3821"/>
      <c r="U214" s="3821"/>
      <c r="V214" s="3821"/>
      <c r="W214" s="3821"/>
      <c r="X214" s="3821"/>
      <c r="Y214" s="3821"/>
      <c r="Z214" s="3821"/>
      <c r="AA214" s="3821"/>
      <c r="AB214" s="3821"/>
      <c r="AC214" s="3821"/>
    </row>
    <row r="215" spans="1:29">
      <c r="A215" s="3821"/>
      <c r="B215" s="3821"/>
      <c r="C215" s="3821"/>
      <c r="D215" s="3821"/>
      <c r="E215" s="3821"/>
      <c r="F215" s="3821"/>
      <c r="G215" s="3821"/>
      <c r="H215" s="3821"/>
      <c r="I215" s="3821"/>
      <c r="J215" s="3821"/>
      <c r="K215" s="3821"/>
      <c r="L215" s="3821"/>
      <c r="M215" s="3821"/>
      <c r="N215" s="3821"/>
      <c r="O215" s="3821"/>
      <c r="P215" s="3821"/>
      <c r="Q215" s="3821"/>
      <c r="R215" s="3821"/>
      <c r="S215" s="3821"/>
      <c r="T215" s="3821"/>
      <c r="U215" s="3821"/>
      <c r="V215" s="3821"/>
      <c r="W215" s="3821"/>
      <c r="X215" s="3821"/>
      <c r="Y215" s="3821"/>
      <c r="Z215" s="3821"/>
      <c r="AA215" s="3821"/>
      <c r="AB215" s="3821"/>
      <c r="AC215" s="3821"/>
    </row>
    <row r="216" spans="1:29">
      <c r="A216" s="3821"/>
      <c r="B216" s="3821"/>
      <c r="C216" s="3821"/>
      <c r="D216" s="3821"/>
      <c r="E216" s="3821"/>
      <c r="F216" s="3821"/>
      <c r="G216" s="3821"/>
      <c r="H216" s="3821"/>
      <c r="I216" s="3821"/>
      <c r="J216" s="3821"/>
      <c r="K216" s="3821"/>
      <c r="L216" s="3821"/>
      <c r="M216" s="3821"/>
      <c r="N216" s="3821"/>
      <c r="O216" s="3821"/>
      <c r="P216" s="3821"/>
      <c r="Q216" s="3821"/>
      <c r="R216" s="3821"/>
      <c r="S216" s="3821"/>
      <c r="T216" s="3821"/>
      <c r="U216" s="3821"/>
      <c r="V216" s="3821"/>
      <c r="W216" s="3821"/>
      <c r="X216" s="3821"/>
      <c r="Y216" s="3821"/>
      <c r="Z216" s="3821"/>
      <c r="AA216" s="3821"/>
      <c r="AB216" s="3821"/>
      <c r="AC216" s="3821"/>
    </row>
    <row r="217" spans="1:29">
      <c r="A217" s="3821"/>
      <c r="B217" s="3821"/>
      <c r="C217" s="3821"/>
      <c r="D217" s="3821"/>
      <c r="E217" s="3821"/>
      <c r="F217" s="3821"/>
      <c r="G217" s="3821"/>
      <c r="H217" s="3821"/>
      <c r="I217" s="3821"/>
      <c r="J217" s="3821"/>
      <c r="K217" s="3821"/>
      <c r="L217" s="3821"/>
      <c r="M217" s="3821"/>
      <c r="N217" s="3821"/>
      <c r="O217" s="3821"/>
      <c r="P217" s="3821"/>
      <c r="Q217" s="3821"/>
      <c r="R217" s="3821"/>
      <c r="S217" s="3821"/>
      <c r="T217" s="3821"/>
      <c r="U217" s="3821"/>
      <c r="V217" s="3821"/>
      <c r="W217" s="3821"/>
      <c r="X217" s="3821"/>
      <c r="Y217" s="3821"/>
      <c r="Z217" s="3821"/>
      <c r="AA217" s="3821"/>
      <c r="AB217" s="3821"/>
      <c r="AC217" s="3821"/>
    </row>
    <row r="218" spans="1:29">
      <c r="A218" s="3821"/>
      <c r="B218" s="3821"/>
      <c r="C218" s="3821"/>
      <c r="D218" s="3821"/>
      <c r="E218" s="3821"/>
      <c r="F218" s="3821"/>
      <c r="G218" s="3821"/>
      <c r="H218" s="3821"/>
      <c r="I218" s="3821"/>
      <c r="J218" s="3821"/>
      <c r="K218" s="3821"/>
      <c r="L218" s="3821"/>
      <c r="M218" s="3821"/>
      <c r="N218" s="3821"/>
      <c r="O218" s="3821"/>
      <c r="P218" s="3821"/>
      <c r="Q218" s="3821"/>
      <c r="R218" s="3821"/>
      <c r="S218" s="3821"/>
      <c r="T218" s="3821"/>
      <c r="U218" s="3821"/>
      <c r="V218" s="3821"/>
      <c r="W218" s="3821"/>
      <c r="X218" s="3821"/>
      <c r="Y218" s="3821"/>
      <c r="Z218" s="3821"/>
      <c r="AA218" s="3821"/>
      <c r="AB218" s="3821"/>
      <c r="AC218" s="3821"/>
    </row>
    <row r="219" spans="1:29">
      <c r="A219" s="3821"/>
      <c r="B219" s="3821"/>
      <c r="C219" s="3821"/>
      <c r="D219" s="3821"/>
      <c r="E219" s="3821"/>
      <c r="F219" s="3821"/>
      <c r="G219" s="3821"/>
      <c r="H219" s="3821"/>
      <c r="I219" s="3821"/>
      <c r="J219" s="3821"/>
      <c r="K219" s="3821"/>
      <c r="L219" s="3821"/>
      <c r="M219" s="3821"/>
      <c r="N219" s="3821"/>
      <c r="O219" s="3821"/>
      <c r="P219" s="3821"/>
      <c r="Q219" s="3821"/>
      <c r="R219" s="3821"/>
      <c r="S219" s="3821"/>
      <c r="T219" s="3821"/>
      <c r="U219" s="3821"/>
      <c r="V219" s="3821"/>
      <c r="W219" s="3821"/>
      <c r="X219" s="3821"/>
      <c r="Y219" s="3821"/>
      <c r="Z219" s="3821"/>
      <c r="AA219" s="3821"/>
      <c r="AB219" s="3821"/>
      <c r="AC219" s="3821"/>
    </row>
    <row r="220" spans="1:29">
      <c r="A220" s="3821"/>
      <c r="B220" s="3821"/>
      <c r="C220" s="3821"/>
      <c r="D220" s="3821"/>
      <c r="E220" s="3821"/>
      <c r="F220" s="3821"/>
      <c r="G220" s="3821"/>
      <c r="H220" s="3821"/>
      <c r="I220" s="3821"/>
      <c r="J220" s="3821"/>
      <c r="K220" s="3821"/>
      <c r="L220" s="3821"/>
      <c r="M220" s="3821"/>
      <c r="N220" s="3821"/>
      <c r="O220" s="3821"/>
      <c r="P220" s="3821"/>
      <c r="Q220" s="3821"/>
      <c r="R220" s="3821"/>
      <c r="S220" s="3821"/>
      <c r="T220" s="3821"/>
      <c r="U220" s="3821"/>
      <c r="V220" s="3821"/>
      <c r="W220" s="3821"/>
      <c r="X220" s="3821"/>
      <c r="Y220" s="3821"/>
      <c r="Z220" s="3821"/>
      <c r="AA220" s="3821"/>
      <c r="AB220" s="3821"/>
      <c r="AC220" s="3821"/>
    </row>
    <row r="221" spans="1:29">
      <c r="A221" s="3821"/>
      <c r="B221" s="3821"/>
      <c r="C221" s="3821"/>
      <c r="D221" s="3821"/>
      <c r="E221" s="3821"/>
      <c r="F221" s="3821"/>
      <c r="G221" s="3821"/>
      <c r="H221" s="3821"/>
      <c r="I221" s="3821"/>
      <c r="J221" s="3821"/>
      <c r="K221" s="3821"/>
      <c r="L221" s="3821"/>
      <c r="M221" s="3821"/>
      <c r="N221" s="3821"/>
      <c r="O221" s="3821"/>
      <c r="P221" s="3821"/>
      <c r="Q221" s="3821"/>
      <c r="R221" s="3821"/>
      <c r="S221" s="3821"/>
      <c r="T221" s="3821"/>
      <c r="U221" s="3821"/>
      <c r="V221" s="3821"/>
      <c r="W221" s="3821"/>
      <c r="X221" s="3821"/>
      <c r="Y221" s="3821"/>
      <c r="Z221" s="3821"/>
      <c r="AA221" s="3821"/>
      <c r="AB221" s="3821"/>
      <c r="AC221" s="3821"/>
    </row>
    <row r="222" spans="1:29">
      <c r="A222" s="3821"/>
      <c r="B222" s="3821"/>
      <c r="C222" s="3821"/>
      <c r="D222" s="3821"/>
      <c r="E222" s="3821"/>
      <c r="F222" s="3821"/>
      <c r="G222" s="3821"/>
      <c r="H222" s="3821"/>
      <c r="I222" s="3821"/>
      <c r="J222" s="3821"/>
      <c r="K222" s="3821"/>
      <c r="L222" s="3821"/>
      <c r="M222" s="3821"/>
      <c r="N222" s="3821"/>
      <c r="O222" s="3821"/>
      <c r="P222" s="3821"/>
      <c r="Q222" s="3821"/>
      <c r="R222" s="3821"/>
      <c r="S222" s="3821"/>
      <c r="T222" s="3821"/>
      <c r="U222" s="3821"/>
      <c r="V222" s="3821"/>
      <c r="W222" s="3821"/>
      <c r="X222" s="3821"/>
      <c r="Y222" s="3821"/>
      <c r="Z222" s="3821"/>
      <c r="AA222" s="3821"/>
      <c r="AB222" s="3821"/>
      <c r="AC222" s="3821"/>
    </row>
    <row r="223" spans="1:29">
      <c r="A223" s="3821"/>
      <c r="B223" s="3821"/>
      <c r="C223" s="3821"/>
      <c r="D223" s="3821"/>
      <c r="E223" s="3821"/>
      <c r="F223" s="3821"/>
      <c r="G223" s="3821"/>
      <c r="H223" s="3821"/>
      <c r="I223" s="3821"/>
      <c r="J223" s="3821"/>
      <c r="K223" s="3821"/>
      <c r="L223" s="3821"/>
      <c r="M223" s="3821"/>
      <c r="N223" s="3821"/>
      <c r="O223" s="3821"/>
      <c r="P223" s="3821"/>
      <c r="Q223" s="3821"/>
      <c r="R223" s="3821"/>
      <c r="S223" s="3821"/>
      <c r="T223" s="3821"/>
      <c r="U223" s="3821"/>
      <c r="V223" s="3821"/>
      <c r="W223" s="3821"/>
      <c r="X223" s="3821"/>
      <c r="Y223" s="3821"/>
      <c r="Z223" s="3821"/>
      <c r="AA223" s="3821"/>
      <c r="AB223" s="3821"/>
      <c r="AC223" s="3821"/>
    </row>
    <row r="224" spans="1:29">
      <c r="A224" s="3821"/>
      <c r="B224" s="3821"/>
      <c r="C224" s="3821"/>
      <c r="D224" s="3821"/>
      <c r="E224" s="3821"/>
      <c r="F224" s="3821"/>
      <c r="G224" s="3821"/>
      <c r="H224" s="3821"/>
      <c r="I224" s="3821"/>
      <c r="J224" s="3821"/>
      <c r="K224" s="3821"/>
      <c r="L224" s="3821"/>
      <c r="M224" s="3821"/>
      <c r="N224" s="3821"/>
      <c r="O224" s="3821"/>
      <c r="P224" s="3821"/>
      <c r="Q224" s="3821"/>
      <c r="R224" s="3821"/>
      <c r="S224" s="3821"/>
      <c r="T224" s="3821"/>
      <c r="U224" s="3821"/>
      <c r="V224" s="3821"/>
      <c r="W224" s="3821"/>
      <c r="X224" s="3821"/>
      <c r="Y224" s="3821"/>
      <c r="Z224" s="3821"/>
      <c r="AA224" s="3821"/>
      <c r="AB224" s="3821"/>
      <c r="AC224" s="3821"/>
    </row>
    <row r="225" spans="1:29">
      <c r="A225" s="3821"/>
      <c r="B225" s="3821"/>
      <c r="C225" s="3821"/>
      <c r="D225" s="3821"/>
      <c r="E225" s="3821"/>
      <c r="F225" s="3821"/>
      <c r="G225" s="3821"/>
      <c r="H225" s="3821"/>
      <c r="I225" s="3821"/>
      <c r="J225" s="3821"/>
      <c r="K225" s="3821"/>
      <c r="L225" s="3821"/>
      <c r="M225" s="3821"/>
      <c r="N225" s="3821"/>
      <c r="O225" s="3821"/>
      <c r="P225" s="3821"/>
      <c r="Q225" s="3821"/>
      <c r="R225" s="3821"/>
      <c r="S225" s="3821"/>
      <c r="T225" s="3821"/>
      <c r="U225" s="3821"/>
      <c r="V225" s="3821"/>
      <c r="W225" s="3821"/>
      <c r="X225" s="3821"/>
      <c r="Y225" s="3821"/>
      <c r="Z225" s="3821"/>
      <c r="AA225" s="3821"/>
      <c r="AB225" s="3821"/>
      <c r="AC225" s="3821"/>
    </row>
    <row r="226" spans="1:29">
      <c r="A226" s="3821"/>
      <c r="B226" s="3821"/>
      <c r="C226" s="3821"/>
      <c r="D226" s="3821"/>
      <c r="E226" s="3821"/>
      <c r="F226" s="3821"/>
      <c r="G226" s="3821"/>
      <c r="H226" s="3821"/>
      <c r="I226" s="3821"/>
      <c r="J226" s="3821"/>
      <c r="K226" s="3821"/>
      <c r="L226" s="3821"/>
      <c r="M226" s="3821"/>
      <c r="N226" s="3821"/>
      <c r="O226" s="3821"/>
      <c r="P226" s="3821"/>
      <c r="Q226" s="3821"/>
      <c r="R226" s="3821"/>
      <c r="S226" s="3821"/>
      <c r="T226" s="3821"/>
      <c r="U226" s="3821"/>
      <c r="V226" s="3821"/>
      <c r="W226" s="3821"/>
      <c r="X226" s="3821"/>
      <c r="Y226" s="3821"/>
      <c r="Z226" s="3821"/>
      <c r="AA226" s="3821"/>
      <c r="AB226" s="3821"/>
      <c r="AC226" s="3821"/>
    </row>
    <row r="227" spans="1:29">
      <c r="A227" s="3821"/>
      <c r="B227" s="3821"/>
      <c r="C227" s="3821"/>
      <c r="D227" s="3821"/>
      <c r="E227" s="3821"/>
      <c r="F227" s="3821"/>
      <c r="G227" s="3821"/>
      <c r="H227" s="3821"/>
      <c r="I227" s="3821"/>
      <c r="J227" s="3821"/>
      <c r="K227" s="3821"/>
      <c r="L227" s="3821"/>
      <c r="M227" s="3821"/>
      <c r="N227" s="3821"/>
      <c r="O227" s="3821"/>
      <c r="P227" s="3821"/>
      <c r="Q227" s="3821"/>
      <c r="R227" s="3821"/>
      <c r="S227" s="3821"/>
      <c r="T227" s="3821"/>
      <c r="U227" s="3821"/>
      <c r="V227" s="3821"/>
      <c r="W227" s="3821"/>
      <c r="X227" s="3821"/>
      <c r="Y227" s="3821"/>
      <c r="Z227" s="3821"/>
      <c r="AA227" s="3821"/>
      <c r="AB227" s="3821"/>
      <c r="AC227" s="3821"/>
    </row>
    <row r="228" spans="1:29">
      <c r="A228" s="3821"/>
      <c r="B228" s="3821"/>
      <c r="C228" s="3821"/>
      <c r="D228" s="3821"/>
      <c r="E228" s="3821"/>
      <c r="F228" s="3821"/>
      <c r="G228" s="3821"/>
      <c r="H228" s="3821"/>
      <c r="I228" s="3821"/>
      <c r="J228" s="3821"/>
      <c r="K228" s="3821"/>
      <c r="L228" s="3821"/>
      <c r="M228" s="3821"/>
      <c r="N228" s="3821"/>
      <c r="O228" s="3821"/>
      <c r="P228" s="3821"/>
      <c r="Q228" s="3821"/>
      <c r="R228" s="3821"/>
      <c r="S228" s="3821"/>
      <c r="T228" s="3821"/>
      <c r="U228" s="3821"/>
      <c r="V228" s="3821"/>
      <c r="W228" s="3821"/>
      <c r="X228" s="3821"/>
      <c r="Y228" s="3821"/>
      <c r="Z228" s="3821"/>
      <c r="AA228" s="3821"/>
      <c r="AB228" s="3821"/>
      <c r="AC228" s="3821"/>
    </row>
    <row r="229" spans="1:29">
      <c r="A229" s="3821"/>
      <c r="B229" s="3821"/>
      <c r="C229" s="3821"/>
      <c r="D229" s="3821"/>
      <c r="E229" s="3821"/>
      <c r="F229" s="3821"/>
      <c r="G229" s="3821"/>
      <c r="H229" s="3821"/>
      <c r="I229" s="3821"/>
      <c r="J229" s="3821"/>
      <c r="K229" s="3821"/>
      <c r="L229" s="3821"/>
      <c r="M229" s="3821"/>
      <c r="N229" s="3821"/>
      <c r="O229" s="3821"/>
      <c r="P229" s="3821"/>
      <c r="Q229" s="3821"/>
      <c r="R229" s="3821"/>
      <c r="S229" s="3821"/>
      <c r="T229" s="3821"/>
      <c r="U229" s="3821"/>
      <c r="V229" s="3821"/>
      <c r="W229" s="3821"/>
      <c r="X229" s="3821"/>
      <c r="Y229" s="3821"/>
      <c r="Z229" s="3821"/>
      <c r="AA229" s="3821"/>
      <c r="AB229" s="3821"/>
      <c r="AC229" s="3821"/>
    </row>
    <row r="230" spans="1:29">
      <c r="A230" s="3821"/>
      <c r="B230" s="3821"/>
      <c r="C230" s="3821"/>
      <c r="D230" s="3821"/>
      <c r="E230" s="3821"/>
      <c r="F230" s="3821"/>
      <c r="G230" s="3821"/>
      <c r="H230" s="3821"/>
      <c r="I230" s="3821"/>
      <c r="J230" s="3821"/>
      <c r="K230" s="3821"/>
      <c r="L230" s="3821"/>
      <c r="M230" s="3821"/>
      <c r="N230" s="3821"/>
      <c r="O230" s="3821"/>
      <c r="P230" s="3821"/>
      <c r="Q230" s="3821"/>
      <c r="R230" s="3821"/>
      <c r="S230" s="3821"/>
      <c r="T230" s="3821"/>
      <c r="U230" s="3821"/>
      <c r="V230" s="3821"/>
      <c r="W230" s="3821"/>
      <c r="X230" s="3821"/>
      <c r="Y230" s="3821"/>
      <c r="Z230" s="3821"/>
      <c r="AA230" s="3821"/>
      <c r="AB230" s="3821"/>
      <c r="AC230" s="3821"/>
    </row>
    <row r="231" spans="1:29">
      <c r="A231" s="3821"/>
      <c r="B231" s="3821"/>
      <c r="C231" s="3821"/>
      <c r="D231" s="3821"/>
      <c r="E231" s="3821"/>
      <c r="F231" s="3821"/>
      <c r="G231" s="3821"/>
      <c r="H231" s="3821"/>
      <c r="I231" s="3821"/>
      <c r="J231" s="3821"/>
      <c r="K231" s="3821"/>
      <c r="L231" s="3821"/>
      <c r="M231" s="3821"/>
      <c r="N231" s="3821"/>
      <c r="O231" s="3821"/>
      <c r="P231" s="3821"/>
      <c r="Q231" s="3821"/>
      <c r="R231" s="3821"/>
      <c r="S231" s="3821"/>
      <c r="T231" s="3821"/>
      <c r="U231" s="3821"/>
      <c r="V231" s="3821"/>
      <c r="W231" s="3821"/>
      <c r="X231" s="3821"/>
      <c r="Y231" s="3821"/>
      <c r="Z231" s="3821"/>
      <c r="AA231" s="3821"/>
      <c r="AB231" s="3821"/>
      <c r="AC231" s="3821"/>
    </row>
    <row r="232" spans="1:29">
      <c r="A232" s="3821"/>
      <c r="B232" s="3821"/>
      <c r="C232" s="3821"/>
      <c r="D232" s="3821"/>
      <c r="E232" s="3821"/>
      <c r="F232" s="3821"/>
      <c r="G232" s="3821"/>
      <c r="H232" s="3821"/>
      <c r="I232" s="3821"/>
      <c r="J232" s="3821"/>
      <c r="K232" s="3821"/>
      <c r="L232" s="3821"/>
      <c r="M232" s="3821"/>
      <c r="N232" s="3821"/>
      <c r="O232" s="3821"/>
      <c r="P232" s="3821"/>
      <c r="Q232" s="3821"/>
      <c r="R232" s="3821"/>
      <c r="S232" s="3821"/>
      <c r="T232" s="3821"/>
      <c r="U232" s="3821"/>
      <c r="V232" s="3821"/>
      <c r="W232" s="3821"/>
      <c r="X232" s="3821"/>
      <c r="Y232" s="3821"/>
      <c r="Z232" s="3821"/>
      <c r="AA232" s="3821"/>
      <c r="AB232" s="3821"/>
      <c r="AC232" s="3821"/>
    </row>
    <row r="233" spans="1:29">
      <c r="A233" s="3821"/>
      <c r="B233" s="3821"/>
      <c r="C233" s="3821"/>
      <c r="D233" s="3821"/>
      <c r="E233" s="3821"/>
      <c r="F233" s="3821"/>
      <c r="G233" s="3821"/>
      <c r="H233" s="3821"/>
      <c r="I233" s="3821"/>
      <c r="J233" s="3821"/>
      <c r="K233" s="3821"/>
      <c r="L233" s="3821"/>
      <c r="M233" s="3821"/>
      <c r="N233" s="3821"/>
      <c r="O233" s="3821"/>
      <c r="P233" s="3821"/>
      <c r="Q233" s="3821"/>
      <c r="R233" s="3821"/>
      <c r="S233" s="3821"/>
      <c r="T233" s="3821"/>
      <c r="U233" s="3821"/>
      <c r="V233" s="3821"/>
      <c r="W233" s="3821"/>
      <c r="X233" s="3821"/>
      <c r="Y233" s="3821"/>
      <c r="Z233" s="3821"/>
      <c r="AA233" s="3821"/>
      <c r="AB233" s="3821"/>
      <c r="AC233" s="3821"/>
    </row>
    <row r="234" spans="1:29">
      <c r="A234" s="3821"/>
      <c r="B234" s="3821"/>
      <c r="C234" s="3821"/>
      <c r="D234" s="3821"/>
      <c r="E234" s="3821"/>
      <c r="F234" s="3821"/>
      <c r="G234" s="3821"/>
      <c r="H234" s="3821"/>
      <c r="I234" s="3821"/>
      <c r="J234" s="3821"/>
      <c r="K234" s="3821"/>
      <c r="L234" s="3821"/>
      <c r="M234" s="3821"/>
      <c r="N234" s="3821"/>
      <c r="O234" s="3821"/>
      <c r="P234" s="3821"/>
      <c r="Q234" s="3821"/>
      <c r="R234" s="3821"/>
      <c r="S234" s="3821"/>
      <c r="T234" s="3821"/>
      <c r="U234" s="3821"/>
      <c r="V234" s="3821"/>
      <c r="W234" s="3821"/>
      <c r="X234" s="3821"/>
      <c r="Y234" s="3821"/>
      <c r="Z234" s="3821"/>
      <c r="AA234" s="3821"/>
      <c r="AB234" s="3821"/>
      <c r="AC234" s="3821"/>
    </row>
    <row r="235" spans="1:29">
      <c r="A235" s="3821"/>
      <c r="B235" s="3821"/>
      <c r="C235" s="3821"/>
      <c r="D235" s="3821"/>
      <c r="E235" s="3821"/>
      <c r="F235" s="3821"/>
      <c r="G235" s="3821"/>
      <c r="H235" s="3821"/>
      <c r="I235" s="3821"/>
      <c r="J235" s="3821"/>
      <c r="K235" s="3821"/>
      <c r="L235" s="3821"/>
      <c r="M235" s="3821"/>
      <c r="N235" s="3821"/>
      <c r="O235" s="3821"/>
      <c r="P235" s="3821"/>
      <c r="Q235" s="3821"/>
      <c r="R235" s="3821"/>
      <c r="S235" s="3821"/>
      <c r="T235" s="3821"/>
      <c r="U235" s="3821"/>
      <c r="V235" s="3821"/>
      <c r="W235" s="3821"/>
      <c r="X235" s="3821"/>
      <c r="Y235" s="3821"/>
      <c r="Z235" s="3821"/>
      <c r="AA235" s="3821"/>
      <c r="AB235" s="3821"/>
      <c r="AC235" s="3821"/>
    </row>
    <row r="236" spans="1:29">
      <c r="A236" s="3821"/>
      <c r="B236" s="3821"/>
      <c r="C236" s="3821"/>
      <c r="D236" s="3821"/>
      <c r="E236" s="3821"/>
      <c r="F236" s="3821"/>
      <c r="G236" s="3821"/>
      <c r="H236" s="3821"/>
      <c r="I236" s="3821"/>
      <c r="J236" s="3821"/>
      <c r="K236" s="3821"/>
      <c r="L236" s="3821"/>
      <c r="M236" s="3821"/>
      <c r="N236" s="3821"/>
      <c r="O236" s="3821"/>
      <c r="P236" s="3821"/>
      <c r="Q236" s="3821"/>
      <c r="R236" s="3821"/>
      <c r="S236" s="3821"/>
      <c r="T236" s="3821"/>
      <c r="U236" s="3821"/>
      <c r="V236" s="3821"/>
      <c r="W236" s="3821"/>
      <c r="X236" s="3821"/>
      <c r="Y236" s="3821"/>
      <c r="Z236" s="3821"/>
      <c r="AA236" s="3821"/>
      <c r="AB236" s="3821"/>
      <c r="AC236" s="3821"/>
    </row>
    <row r="237" spans="1:29">
      <c r="A237" s="3821"/>
      <c r="B237" s="3821"/>
      <c r="C237" s="3821"/>
      <c r="D237" s="3821"/>
      <c r="E237" s="3821"/>
      <c r="F237" s="3821"/>
      <c r="G237" s="3821"/>
      <c r="H237" s="3821"/>
      <c r="I237" s="3821"/>
      <c r="J237" s="3821"/>
      <c r="K237" s="3821"/>
      <c r="L237" s="3821"/>
      <c r="M237" s="3821"/>
      <c r="N237" s="3821"/>
      <c r="O237" s="3821"/>
      <c r="P237" s="3821"/>
      <c r="Q237" s="3821"/>
      <c r="R237" s="3821"/>
      <c r="S237" s="3821"/>
      <c r="T237" s="3821"/>
      <c r="U237" s="3821"/>
      <c r="V237" s="3821"/>
      <c r="W237" s="3821"/>
      <c r="X237" s="3821"/>
      <c r="Y237" s="3821"/>
      <c r="Z237" s="3821"/>
      <c r="AA237" s="3821"/>
      <c r="AB237" s="3821"/>
      <c r="AC237" s="3821"/>
    </row>
    <row r="238" spans="1:29">
      <c r="A238" s="3821"/>
      <c r="B238" s="3821"/>
      <c r="C238" s="3821"/>
      <c r="D238" s="3821"/>
      <c r="E238" s="3821"/>
      <c r="F238" s="3821"/>
      <c r="G238" s="3821"/>
      <c r="H238" s="3821"/>
      <c r="I238" s="3821"/>
      <c r="J238" s="3821"/>
      <c r="K238" s="3821"/>
      <c r="L238" s="3821"/>
      <c r="M238" s="3821"/>
      <c r="N238" s="3821"/>
      <c r="O238" s="3821"/>
      <c r="P238" s="3821"/>
      <c r="Q238" s="3821"/>
      <c r="R238" s="3821"/>
      <c r="S238" s="3821"/>
      <c r="T238" s="3821"/>
      <c r="U238" s="3821"/>
      <c r="V238" s="3821"/>
      <c r="W238" s="3821"/>
      <c r="X238" s="3821"/>
      <c r="Y238" s="3821"/>
      <c r="Z238" s="3821"/>
      <c r="AA238" s="3821"/>
      <c r="AB238" s="3821"/>
      <c r="AC238" s="3821"/>
    </row>
    <row r="239" spans="1:29">
      <c r="A239" s="3821"/>
      <c r="B239" s="3821"/>
      <c r="C239" s="3821"/>
      <c r="D239" s="3821"/>
      <c r="E239" s="3821"/>
      <c r="F239" s="3821"/>
      <c r="G239" s="3821"/>
      <c r="H239" s="3821"/>
      <c r="I239" s="3821"/>
      <c r="J239" s="3821"/>
      <c r="K239" s="3821"/>
      <c r="L239" s="3821"/>
      <c r="M239" s="3821"/>
      <c r="N239" s="3821"/>
      <c r="O239" s="3821"/>
      <c r="P239" s="3821"/>
      <c r="Q239" s="3821"/>
      <c r="R239" s="3821"/>
      <c r="S239" s="3821"/>
      <c r="T239" s="3821"/>
      <c r="U239" s="3821"/>
      <c r="V239" s="3821"/>
      <c r="W239" s="3821"/>
      <c r="X239" s="3821"/>
      <c r="Y239" s="3821"/>
      <c r="Z239" s="3821"/>
      <c r="AA239" s="3821"/>
      <c r="AB239" s="3821"/>
      <c r="AC239" s="3821"/>
    </row>
    <row r="240" spans="1:29">
      <c r="A240" s="3821"/>
      <c r="B240" s="3821"/>
      <c r="C240" s="3821"/>
      <c r="D240" s="3821"/>
      <c r="E240" s="3821"/>
      <c r="F240" s="3821"/>
      <c r="G240" s="3821"/>
      <c r="H240" s="3821"/>
      <c r="I240" s="3821"/>
      <c r="J240" s="3821"/>
      <c r="K240" s="3821"/>
      <c r="L240" s="3821"/>
      <c r="M240" s="3821"/>
      <c r="N240" s="3821"/>
      <c r="O240" s="3821"/>
      <c r="P240" s="3821"/>
      <c r="Q240" s="3821"/>
      <c r="R240" s="3821"/>
      <c r="S240" s="3821"/>
      <c r="T240" s="3821"/>
      <c r="U240" s="3821"/>
      <c r="V240" s="3821"/>
      <c r="W240" s="3821"/>
      <c r="X240" s="3821"/>
      <c r="Y240" s="3821"/>
      <c r="Z240" s="3821"/>
      <c r="AA240" s="3821"/>
      <c r="AB240" s="3821"/>
      <c r="AC240" s="3821"/>
    </row>
    <row r="241" spans="1:29">
      <c r="A241" s="3821"/>
      <c r="B241" s="3821"/>
      <c r="C241" s="3821"/>
      <c r="D241" s="3821"/>
      <c r="E241" s="3821"/>
      <c r="F241" s="3821"/>
      <c r="G241" s="3821"/>
      <c r="H241" s="3821"/>
      <c r="I241" s="3821"/>
      <c r="J241" s="3821"/>
      <c r="K241" s="3821"/>
      <c r="L241" s="3821"/>
      <c r="M241" s="3821"/>
      <c r="N241" s="3821"/>
      <c r="O241" s="3821"/>
      <c r="P241" s="3821"/>
      <c r="Q241" s="3821"/>
      <c r="R241" s="3821"/>
      <c r="S241" s="3821"/>
      <c r="T241" s="3821"/>
      <c r="U241" s="3821"/>
      <c r="V241" s="3821"/>
      <c r="W241" s="3821"/>
      <c r="X241" s="3821"/>
      <c r="Y241" s="3821"/>
      <c r="Z241" s="3821"/>
      <c r="AA241" s="3821"/>
      <c r="AB241" s="3821"/>
      <c r="AC241" s="3821"/>
    </row>
    <row r="242" spans="1:29">
      <c r="A242" s="3821"/>
      <c r="B242" s="3821"/>
      <c r="C242" s="3821"/>
      <c r="D242" s="3821"/>
      <c r="E242" s="3821"/>
      <c r="F242" s="3821"/>
      <c r="G242" s="3821"/>
      <c r="H242" s="3821"/>
      <c r="I242" s="3821"/>
      <c r="J242" s="3821"/>
      <c r="K242" s="3821"/>
      <c r="L242" s="3821"/>
      <c r="M242" s="3821"/>
      <c r="N242" s="3821"/>
      <c r="O242" s="3821"/>
      <c r="P242" s="3821"/>
      <c r="Q242" s="3821"/>
      <c r="R242" s="3821"/>
      <c r="S242" s="3821"/>
      <c r="T242" s="3821"/>
      <c r="U242" s="3821"/>
      <c r="V242" s="3821"/>
      <c r="W242" s="3821"/>
      <c r="X242" s="3821"/>
      <c r="Y242" s="3821"/>
      <c r="Z242" s="3821"/>
      <c r="AA242" s="3821"/>
      <c r="AB242" s="3821"/>
      <c r="AC242" s="3821"/>
    </row>
    <row r="243" spans="1:29">
      <c r="A243" s="3821"/>
      <c r="B243" s="3821"/>
      <c r="C243" s="3821"/>
      <c r="D243" s="3821"/>
      <c r="E243" s="3821"/>
      <c r="F243" s="3821"/>
      <c r="G243" s="3821"/>
      <c r="H243" s="3821"/>
      <c r="I243" s="3821"/>
      <c r="J243" s="3821"/>
      <c r="K243" s="3821"/>
      <c r="L243" s="3821"/>
      <c r="M243" s="3821"/>
      <c r="N243" s="3821"/>
      <c r="O243" s="3821"/>
      <c r="P243" s="3821"/>
      <c r="Q243" s="3821"/>
      <c r="R243" s="3821"/>
      <c r="S243" s="3821"/>
      <c r="T243" s="3821"/>
      <c r="U243" s="3821"/>
      <c r="V243" s="3821"/>
      <c r="W243" s="3821"/>
      <c r="X243" s="3821"/>
      <c r="Y243" s="3821"/>
      <c r="Z243" s="3821"/>
      <c r="AA243" s="3821"/>
      <c r="AB243" s="3821"/>
      <c r="AC243" s="3821"/>
    </row>
    <row r="244" spans="1:29">
      <c r="A244" s="3821"/>
      <c r="B244" s="3821"/>
      <c r="C244" s="3821"/>
      <c r="D244" s="3821"/>
      <c r="E244" s="3821"/>
      <c r="F244" s="3821"/>
      <c r="G244" s="3821"/>
      <c r="H244" s="3821"/>
      <c r="I244" s="3821"/>
      <c r="J244" s="3821"/>
      <c r="K244" s="3821"/>
      <c r="L244" s="3821"/>
      <c r="M244" s="3821"/>
      <c r="N244" s="3821"/>
      <c r="O244" s="3821"/>
      <c r="P244" s="3821"/>
      <c r="Q244" s="3821"/>
      <c r="R244" s="3821"/>
      <c r="S244" s="3821"/>
      <c r="T244" s="3821"/>
      <c r="U244" s="3821"/>
      <c r="V244" s="3821"/>
      <c r="W244" s="3821"/>
      <c r="X244" s="3821"/>
      <c r="Y244" s="3821"/>
      <c r="Z244" s="3821"/>
      <c r="AA244" s="3821"/>
      <c r="AB244" s="3821"/>
      <c r="AC244" s="3821"/>
    </row>
    <row r="245" spans="1:29">
      <c r="A245" s="3821"/>
      <c r="B245" s="3821"/>
      <c r="C245" s="3821"/>
      <c r="D245" s="3821"/>
      <c r="E245" s="3821"/>
      <c r="F245" s="3821"/>
      <c r="G245" s="3821"/>
      <c r="H245" s="3821"/>
      <c r="I245" s="3821"/>
      <c r="J245" s="3821"/>
      <c r="K245" s="3821"/>
      <c r="L245" s="3821"/>
      <c r="M245" s="3821"/>
      <c r="N245" s="3821"/>
      <c r="O245" s="3821"/>
      <c r="P245" s="3821"/>
      <c r="Q245" s="3821"/>
      <c r="R245" s="3821"/>
      <c r="S245" s="3821"/>
      <c r="T245" s="3821"/>
      <c r="U245" s="3821"/>
      <c r="V245" s="3821"/>
      <c r="W245" s="3821"/>
      <c r="X245" s="3821"/>
      <c r="Y245" s="3821"/>
      <c r="Z245" s="3821"/>
      <c r="AA245" s="3821"/>
      <c r="AB245" s="3821"/>
      <c r="AC245" s="3821"/>
    </row>
    <row r="246" spans="1:29">
      <c r="A246" s="3821"/>
      <c r="B246" s="3821"/>
      <c r="C246" s="3821"/>
      <c r="D246" s="3821"/>
      <c r="E246" s="3821"/>
      <c r="F246" s="3821"/>
      <c r="G246" s="3821"/>
      <c r="H246" s="3821"/>
      <c r="I246" s="3821"/>
      <c r="J246" s="3821"/>
      <c r="K246" s="3821"/>
      <c r="L246" s="3821"/>
      <c r="M246" s="3821"/>
      <c r="N246" s="3821"/>
      <c r="O246" s="3821"/>
      <c r="P246" s="3821"/>
      <c r="Q246" s="3821"/>
      <c r="R246" s="3821"/>
      <c r="S246" s="3821"/>
      <c r="T246" s="3821"/>
      <c r="U246" s="3821"/>
      <c r="V246" s="3821"/>
      <c r="W246" s="3821"/>
      <c r="X246" s="3821"/>
      <c r="Y246" s="3821"/>
      <c r="Z246" s="3821"/>
      <c r="AA246" s="3821"/>
      <c r="AB246" s="3821"/>
      <c r="AC246" s="3821"/>
    </row>
    <row r="247" spans="1:29">
      <c r="A247" s="3821"/>
      <c r="B247" s="3821"/>
      <c r="C247" s="3821"/>
      <c r="D247" s="3821"/>
      <c r="E247" s="3821"/>
      <c r="F247" s="3821"/>
      <c r="G247" s="3821"/>
      <c r="H247" s="3821"/>
      <c r="I247" s="3821"/>
      <c r="J247" s="3821"/>
      <c r="K247" s="3821"/>
      <c r="L247" s="3821"/>
      <c r="M247" s="3821"/>
      <c r="N247" s="3821"/>
      <c r="O247" s="3821"/>
      <c r="P247" s="3821"/>
      <c r="Q247" s="3821"/>
      <c r="R247" s="3821"/>
      <c r="S247" s="3821"/>
      <c r="T247" s="3821"/>
      <c r="U247" s="3821"/>
      <c r="V247" s="3821"/>
      <c r="W247" s="3821"/>
      <c r="X247" s="3821"/>
      <c r="Y247" s="3821"/>
      <c r="Z247" s="3821"/>
      <c r="AA247" s="3821"/>
      <c r="AB247" s="3821"/>
      <c r="AC247" s="3821"/>
    </row>
    <row r="248" spans="1:29">
      <c r="A248" s="3821"/>
      <c r="B248" s="3821"/>
      <c r="C248" s="3821"/>
      <c r="D248" s="3821"/>
      <c r="E248" s="3821"/>
      <c r="F248" s="3821"/>
      <c r="G248" s="3821"/>
      <c r="H248" s="3821"/>
      <c r="I248" s="3821"/>
      <c r="J248" s="3821"/>
      <c r="K248" s="3821"/>
      <c r="L248" s="3821"/>
      <c r="M248" s="3821"/>
      <c r="N248" s="3821"/>
      <c r="O248" s="3821"/>
      <c r="P248" s="3821"/>
      <c r="Q248" s="3821"/>
      <c r="R248" s="3821"/>
      <c r="S248" s="3821"/>
      <c r="T248" s="3821"/>
      <c r="U248" s="3821"/>
      <c r="V248" s="3821"/>
      <c r="W248" s="3821"/>
      <c r="X248" s="3821"/>
      <c r="Y248" s="3821"/>
      <c r="Z248" s="3821"/>
      <c r="AA248" s="3821"/>
      <c r="AB248" s="3821"/>
      <c r="AC248" s="3821"/>
    </row>
    <row r="249" spans="1:29">
      <c r="A249" s="3821"/>
      <c r="B249" s="3821"/>
      <c r="C249" s="3821"/>
      <c r="D249" s="3821"/>
      <c r="E249" s="3821"/>
      <c r="F249" s="3821"/>
      <c r="G249" s="3821"/>
      <c r="H249" s="3821"/>
      <c r="I249" s="3821"/>
      <c r="J249" s="3821"/>
      <c r="K249" s="3821"/>
      <c r="L249" s="3821"/>
      <c r="M249" s="3821"/>
      <c r="N249" s="3821"/>
      <c r="O249" s="3821"/>
      <c r="P249" s="3821"/>
      <c r="Q249" s="3821"/>
      <c r="R249" s="3821"/>
      <c r="S249" s="3821"/>
      <c r="T249" s="3821"/>
      <c r="U249" s="3821"/>
      <c r="V249" s="3821"/>
      <c r="W249" s="3821"/>
      <c r="X249" s="3821"/>
      <c r="Y249" s="3821"/>
      <c r="Z249" s="3821"/>
      <c r="AA249" s="3821"/>
      <c r="AB249" s="3821"/>
      <c r="AC249" s="3821"/>
    </row>
    <row r="250" spans="1:29">
      <c r="A250" s="3821"/>
      <c r="B250" s="3821"/>
      <c r="C250" s="3821"/>
      <c r="D250" s="3821"/>
      <c r="E250" s="3821"/>
      <c r="F250" s="3821"/>
      <c r="G250" s="3821"/>
      <c r="H250" s="3821"/>
      <c r="I250" s="3821"/>
      <c r="J250" s="3821"/>
      <c r="K250" s="3821"/>
      <c r="L250" s="3821"/>
      <c r="M250" s="3821"/>
      <c r="N250" s="3821"/>
      <c r="O250" s="3821"/>
      <c r="P250" s="3821"/>
      <c r="Q250" s="3821"/>
      <c r="R250" s="3821"/>
      <c r="S250" s="3821"/>
      <c r="T250" s="3821"/>
      <c r="U250" s="3821"/>
      <c r="V250" s="3821"/>
      <c r="W250" s="3821"/>
      <c r="X250" s="3821"/>
      <c r="Y250" s="3821"/>
      <c r="Z250" s="3821"/>
      <c r="AA250" s="3821"/>
      <c r="AB250" s="3821"/>
      <c r="AC250" s="3821"/>
    </row>
    <row r="251" spans="1:29">
      <c r="A251" s="3821"/>
      <c r="B251" s="3821"/>
      <c r="C251" s="3821"/>
      <c r="D251" s="3821"/>
      <c r="E251" s="3821"/>
      <c r="F251" s="3821"/>
      <c r="G251" s="3821"/>
      <c r="H251" s="3821"/>
      <c r="I251" s="3821"/>
      <c r="J251" s="3821"/>
      <c r="K251" s="3821"/>
      <c r="L251" s="3821"/>
      <c r="M251" s="3821"/>
      <c r="N251" s="3821"/>
      <c r="O251" s="3821"/>
      <c r="P251" s="3821"/>
      <c r="Q251" s="3821"/>
      <c r="R251" s="3821"/>
      <c r="S251" s="3821"/>
      <c r="T251" s="3821"/>
      <c r="U251" s="3821"/>
      <c r="V251" s="3821"/>
      <c r="W251" s="3821"/>
      <c r="X251" s="3821"/>
      <c r="Y251" s="3821"/>
      <c r="Z251" s="3821"/>
      <c r="AA251" s="3821"/>
      <c r="AB251" s="3821"/>
      <c r="AC251" s="3821"/>
    </row>
    <row r="252" spans="1:29">
      <c r="A252" s="3821"/>
      <c r="B252" s="3821"/>
      <c r="C252" s="3821"/>
      <c r="D252" s="3821"/>
      <c r="E252" s="3821"/>
      <c r="F252" s="3821"/>
      <c r="G252" s="3821"/>
      <c r="H252" s="3821"/>
      <c r="I252" s="3821"/>
      <c r="J252" s="3821"/>
      <c r="K252" s="3821"/>
      <c r="L252" s="3821"/>
      <c r="M252" s="3821"/>
      <c r="N252" s="3821"/>
      <c r="O252" s="3821"/>
      <c r="P252" s="3821"/>
      <c r="Q252" s="3821"/>
      <c r="R252" s="3821"/>
      <c r="S252" s="3821"/>
      <c r="T252" s="3821"/>
      <c r="U252" s="3821"/>
      <c r="V252" s="3821"/>
      <c r="W252" s="3821"/>
      <c r="X252" s="3821"/>
      <c r="Y252" s="3821"/>
      <c r="Z252" s="3821"/>
      <c r="AA252" s="3821"/>
      <c r="AB252" s="3821"/>
      <c r="AC252" s="3821"/>
    </row>
    <row r="253" spans="1:29">
      <c r="A253" s="3821"/>
      <c r="B253" s="3821"/>
      <c r="C253" s="3821"/>
      <c r="D253" s="3821"/>
      <c r="E253" s="3821"/>
      <c r="F253" s="3821"/>
      <c r="G253" s="3821"/>
      <c r="H253" s="3821"/>
      <c r="I253" s="3821"/>
      <c r="J253" s="3821"/>
      <c r="K253" s="3821"/>
      <c r="L253" s="3821"/>
      <c r="M253" s="3821"/>
      <c r="N253" s="3821"/>
      <c r="O253" s="3821"/>
      <c r="P253" s="3821"/>
      <c r="Q253" s="3821"/>
      <c r="R253" s="3821"/>
      <c r="S253" s="3821"/>
      <c r="T253" s="3821"/>
      <c r="U253" s="3821"/>
      <c r="V253" s="3821"/>
      <c r="W253" s="3821"/>
      <c r="X253" s="3821"/>
      <c r="Y253" s="3821"/>
      <c r="Z253" s="3821"/>
      <c r="AA253" s="3821"/>
      <c r="AB253" s="3821"/>
      <c r="AC253" s="3821"/>
    </row>
    <row r="254" spans="1:29">
      <c r="A254" s="3821"/>
      <c r="B254" s="3821"/>
      <c r="C254" s="3821"/>
      <c r="D254" s="3821"/>
      <c r="E254" s="3821"/>
      <c r="F254" s="3821"/>
      <c r="G254" s="3821"/>
      <c r="H254" s="3821"/>
      <c r="I254" s="3821"/>
      <c r="J254" s="3821"/>
      <c r="K254" s="3821"/>
      <c r="L254" s="3821"/>
      <c r="M254" s="3821"/>
      <c r="N254" s="3821"/>
      <c r="O254" s="3821"/>
      <c r="P254" s="3821"/>
      <c r="Q254" s="3821"/>
      <c r="R254" s="3821"/>
      <c r="S254" s="3821"/>
      <c r="T254" s="3821"/>
      <c r="U254" s="3821"/>
      <c r="V254" s="3821"/>
      <c r="W254" s="3821"/>
      <c r="X254" s="3821"/>
      <c r="Y254" s="3821"/>
      <c r="Z254" s="3821"/>
      <c r="AA254" s="3821"/>
      <c r="AB254" s="3821"/>
      <c r="AC254" s="3821"/>
    </row>
    <row r="255" spans="1:29">
      <c r="A255" s="3821"/>
      <c r="B255" s="3821"/>
      <c r="C255" s="3821"/>
      <c r="D255" s="3821"/>
      <c r="E255" s="3821"/>
      <c r="F255" s="3821"/>
      <c r="G255" s="3821"/>
      <c r="H255" s="3821"/>
      <c r="I255" s="3821"/>
      <c r="J255" s="3821"/>
      <c r="K255" s="3821"/>
      <c r="L255" s="3821"/>
      <c r="M255" s="3821"/>
      <c r="N255" s="3821"/>
      <c r="O255" s="3821"/>
      <c r="P255" s="3821"/>
      <c r="Q255" s="3821"/>
      <c r="R255" s="3821"/>
      <c r="S255" s="3821"/>
      <c r="T255" s="3821"/>
      <c r="U255" s="3821"/>
      <c r="V255" s="3821"/>
      <c r="W255" s="3821"/>
      <c r="X255" s="3821"/>
      <c r="Y255" s="3821"/>
      <c r="Z255" s="3821"/>
      <c r="AA255" s="3821"/>
      <c r="AB255" s="3821"/>
      <c r="AC255" s="3821"/>
    </row>
    <row r="256" spans="1:29">
      <c r="A256" s="3821"/>
      <c r="B256" s="3821"/>
      <c r="C256" s="3821"/>
      <c r="D256" s="3821"/>
      <c r="E256" s="3821"/>
      <c r="F256" s="3821"/>
      <c r="G256" s="3821"/>
      <c r="H256" s="3821"/>
      <c r="I256" s="3821"/>
      <c r="J256" s="3821"/>
      <c r="K256" s="3821"/>
      <c r="L256" s="3821"/>
      <c r="M256" s="3821"/>
      <c r="N256" s="3821"/>
      <c r="O256" s="3821"/>
      <c r="P256" s="3821"/>
      <c r="Q256" s="3821"/>
      <c r="R256" s="3821"/>
      <c r="S256" s="3821"/>
      <c r="T256" s="3821"/>
      <c r="U256" s="3821"/>
      <c r="V256" s="3821"/>
      <c r="W256" s="3821"/>
      <c r="X256" s="3821"/>
      <c r="Y256" s="3821"/>
      <c r="Z256" s="3821"/>
      <c r="AA256" s="3821"/>
      <c r="AB256" s="3821"/>
      <c r="AC256" s="3821"/>
    </row>
    <row r="257" spans="1:29">
      <c r="A257" s="3821"/>
      <c r="B257" s="3821"/>
      <c r="C257" s="3821"/>
      <c r="D257" s="3821"/>
      <c r="E257" s="3821"/>
      <c r="F257" s="3821"/>
      <c r="G257" s="3821"/>
      <c r="H257" s="3821"/>
      <c r="I257" s="3821"/>
      <c r="J257" s="3821"/>
      <c r="K257" s="3821"/>
      <c r="L257" s="3821"/>
      <c r="M257" s="3821"/>
      <c r="N257" s="3821"/>
      <c r="O257" s="3821"/>
      <c r="P257" s="3821"/>
      <c r="Q257" s="3821"/>
      <c r="R257" s="3821"/>
      <c r="S257" s="3821"/>
      <c r="T257" s="3821"/>
      <c r="U257" s="3821"/>
      <c r="V257" s="3821"/>
      <c r="W257" s="3821"/>
      <c r="X257" s="3821"/>
      <c r="Y257" s="3821"/>
      <c r="Z257" s="3821"/>
      <c r="AA257" s="3821"/>
      <c r="AB257" s="3821"/>
      <c r="AC257" s="3821"/>
    </row>
    <row r="258" spans="1:29">
      <c r="A258" s="3821"/>
      <c r="B258" s="3821"/>
      <c r="C258" s="3821"/>
      <c r="D258" s="3821"/>
      <c r="E258" s="3821"/>
      <c r="F258" s="3821"/>
      <c r="G258" s="3821"/>
      <c r="H258" s="3821"/>
      <c r="I258" s="3821"/>
      <c r="J258" s="3821"/>
      <c r="K258" s="3821"/>
      <c r="L258" s="3821"/>
      <c r="M258" s="3821"/>
      <c r="N258" s="3821"/>
      <c r="O258" s="3821"/>
      <c r="P258" s="3821"/>
      <c r="Q258" s="3821"/>
      <c r="R258" s="3821"/>
      <c r="S258" s="3821"/>
      <c r="T258" s="3821"/>
      <c r="U258" s="3821"/>
      <c r="V258" s="3821"/>
      <c r="W258" s="3821"/>
      <c r="X258" s="3821"/>
      <c r="Y258" s="3821"/>
      <c r="Z258" s="3821"/>
      <c r="AA258" s="3821"/>
      <c r="AB258" s="3821"/>
      <c r="AC258" s="3821"/>
    </row>
    <row r="259" spans="1:29">
      <c r="A259" s="3821"/>
      <c r="B259" s="3821"/>
      <c r="C259" s="3821"/>
      <c r="D259" s="3821"/>
      <c r="E259" s="3821"/>
      <c r="F259" s="3821"/>
      <c r="G259" s="3821"/>
      <c r="H259" s="3821"/>
      <c r="I259" s="3821"/>
      <c r="J259" s="3821"/>
      <c r="K259" s="3821"/>
      <c r="L259" s="3821"/>
      <c r="M259" s="3821"/>
      <c r="N259" s="3821"/>
      <c r="O259" s="3821"/>
      <c r="P259" s="3821"/>
      <c r="Q259" s="3821"/>
      <c r="R259" s="3821"/>
      <c r="S259" s="3821"/>
      <c r="T259" s="3821"/>
      <c r="U259" s="3821"/>
      <c r="V259" s="3821"/>
      <c r="W259" s="3821"/>
      <c r="X259" s="3821"/>
      <c r="Y259" s="3821"/>
      <c r="Z259" s="3821"/>
      <c r="AA259" s="3821"/>
      <c r="AB259" s="3821"/>
      <c r="AC259" s="3821"/>
    </row>
    <row r="260" spans="1:29">
      <c r="A260" s="3821"/>
      <c r="B260" s="3821"/>
      <c r="C260" s="3821"/>
      <c r="D260" s="3821"/>
      <c r="E260" s="3821"/>
      <c r="F260" s="3821"/>
      <c r="G260" s="3821"/>
      <c r="H260" s="3821"/>
      <c r="I260" s="3821"/>
      <c r="J260" s="3821"/>
      <c r="K260" s="3821"/>
      <c r="L260" s="3821"/>
      <c r="M260" s="3821"/>
      <c r="N260" s="3821"/>
      <c r="O260" s="3821"/>
      <c r="P260" s="3821"/>
      <c r="Q260" s="3821"/>
      <c r="R260" s="3821"/>
      <c r="S260" s="3821"/>
      <c r="T260" s="3821"/>
      <c r="U260" s="3821"/>
      <c r="V260" s="3821"/>
      <c r="W260" s="3821"/>
      <c r="X260" s="3821"/>
      <c r="Y260" s="3821"/>
      <c r="Z260" s="3821"/>
      <c r="AA260" s="3821"/>
      <c r="AB260" s="3821"/>
      <c r="AC260" s="3821"/>
    </row>
    <row r="261" spans="1:29">
      <c r="A261" s="3821"/>
      <c r="B261" s="3821"/>
      <c r="C261" s="3821"/>
      <c r="D261" s="3821"/>
      <c r="E261" s="3821"/>
      <c r="F261" s="3821"/>
      <c r="G261" s="3821"/>
      <c r="H261" s="3821"/>
      <c r="I261" s="3821"/>
      <c r="J261" s="3821"/>
      <c r="K261" s="3821"/>
      <c r="L261" s="3821"/>
      <c r="M261" s="3821"/>
      <c r="N261" s="3821"/>
      <c r="O261" s="3821"/>
      <c r="P261" s="3821"/>
      <c r="Q261" s="3821"/>
      <c r="R261" s="3821"/>
      <c r="S261" s="3821"/>
      <c r="T261" s="3821"/>
      <c r="U261" s="3821"/>
      <c r="V261" s="3821"/>
      <c r="W261" s="3821"/>
      <c r="X261" s="3821"/>
      <c r="Y261" s="3821"/>
      <c r="Z261" s="3821"/>
      <c r="AA261" s="3821"/>
      <c r="AB261" s="3821"/>
      <c r="AC261" s="3821"/>
    </row>
    <row r="262" spans="1:29">
      <c r="A262" s="3821"/>
      <c r="B262" s="3821"/>
      <c r="C262" s="3821"/>
      <c r="D262" s="3821"/>
      <c r="E262" s="3821"/>
      <c r="F262" s="3821"/>
      <c r="G262" s="3821"/>
      <c r="H262" s="3821"/>
      <c r="I262" s="3821"/>
      <c r="J262" s="3821"/>
      <c r="K262" s="3821"/>
      <c r="L262" s="3821"/>
      <c r="M262" s="3821"/>
      <c r="N262" s="3821"/>
      <c r="O262" s="3821"/>
      <c r="P262" s="3821"/>
      <c r="Q262" s="3821"/>
      <c r="R262" s="3821"/>
      <c r="S262" s="3821"/>
      <c r="T262" s="3821"/>
      <c r="U262" s="3821"/>
      <c r="V262" s="3821"/>
      <c r="W262" s="3821"/>
      <c r="X262" s="3821"/>
      <c r="Y262" s="3821"/>
      <c r="Z262" s="3821"/>
      <c r="AA262" s="3821"/>
      <c r="AB262" s="3821"/>
      <c r="AC262" s="3821"/>
    </row>
    <row r="263" spans="1:29">
      <c r="A263" s="3821"/>
      <c r="B263" s="3821"/>
      <c r="C263" s="3821"/>
      <c r="D263" s="3821"/>
      <c r="E263" s="3821"/>
      <c r="F263" s="3821"/>
      <c r="G263" s="3821"/>
      <c r="H263" s="3821"/>
      <c r="I263" s="3821"/>
      <c r="J263" s="3821"/>
      <c r="K263" s="3821"/>
      <c r="L263" s="3821"/>
      <c r="M263" s="3821"/>
      <c r="N263" s="3821"/>
      <c r="O263" s="3821"/>
      <c r="P263" s="3821"/>
      <c r="Q263" s="3821"/>
      <c r="R263" s="3821"/>
      <c r="S263" s="3821"/>
      <c r="T263" s="3821"/>
      <c r="U263" s="3821"/>
      <c r="V263" s="3821"/>
      <c r="W263" s="3821"/>
      <c r="X263" s="3821"/>
      <c r="Y263" s="3821"/>
      <c r="Z263" s="3821"/>
      <c r="AA263" s="3821"/>
      <c r="AB263" s="3821"/>
      <c r="AC263" s="3821"/>
    </row>
    <row r="264" spans="1:29">
      <c r="A264" s="3821"/>
      <c r="B264" s="3821"/>
      <c r="C264" s="3821"/>
      <c r="D264" s="3821"/>
      <c r="E264" s="3821"/>
      <c r="F264" s="3821"/>
      <c r="G264" s="3821"/>
      <c r="H264" s="3821"/>
      <c r="I264" s="3821"/>
      <c r="J264" s="3821"/>
      <c r="K264" s="3821"/>
      <c r="L264" s="3821"/>
      <c r="M264" s="3821"/>
      <c r="N264" s="3821"/>
      <c r="O264" s="3821"/>
      <c r="P264" s="3821"/>
      <c r="Q264" s="3821"/>
      <c r="R264" s="3821"/>
      <c r="S264" s="3821"/>
      <c r="T264" s="3821"/>
      <c r="U264" s="3821"/>
      <c r="V264" s="3821"/>
      <c r="W264" s="3821"/>
      <c r="X264" s="3821"/>
      <c r="Y264" s="3821"/>
      <c r="Z264" s="3821"/>
      <c r="AA264" s="3821"/>
      <c r="AB264" s="3821"/>
      <c r="AC264" s="3821"/>
    </row>
    <row r="265" spans="1:29">
      <c r="A265" s="3821"/>
      <c r="B265" s="3821"/>
      <c r="C265" s="3821"/>
      <c r="D265" s="3821"/>
      <c r="E265" s="3821"/>
      <c r="F265" s="3821"/>
      <c r="G265" s="3821"/>
      <c r="H265" s="3821"/>
      <c r="I265" s="3821"/>
      <c r="J265" s="3821"/>
      <c r="K265" s="3821"/>
      <c r="L265" s="3821"/>
      <c r="M265" s="3821"/>
      <c r="N265" s="3821"/>
      <c r="O265" s="3821"/>
      <c r="P265" s="3821"/>
      <c r="Q265" s="3821"/>
      <c r="R265" s="3821"/>
      <c r="S265" s="3821"/>
      <c r="T265" s="3821"/>
      <c r="U265" s="3821"/>
      <c r="V265" s="3821"/>
      <c r="W265" s="3821"/>
      <c r="X265" s="3821"/>
      <c r="Y265" s="3821"/>
      <c r="Z265" s="3821"/>
      <c r="AA265" s="3821"/>
      <c r="AB265" s="3821"/>
      <c r="AC265" s="3821"/>
    </row>
    <row r="266" spans="1:29">
      <c r="A266" s="3821"/>
      <c r="B266" s="3821"/>
      <c r="C266" s="3821"/>
      <c r="D266" s="3821"/>
      <c r="E266" s="3821"/>
      <c r="F266" s="3821"/>
      <c r="G266" s="3821"/>
      <c r="H266" s="3821"/>
      <c r="I266" s="3821"/>
      <c r="J266" s="3821"/>
      <c r="K266" s="3821"/>
      <c r="L266" s="3821"/>
      <c r="M266" s="3821"/>
      <c r="N266" s="3821"/>
      <c r="O266" s="3821"/>
      <c r="P266" s="3821"/>
      <c r="Q266" s="3821"/>
      <c r="R266" s="3821"/>
      <c r="S266" s="3821"/>
      <c r="T266" s="3821"/>
      <c r="U266" s="3821"/>
      <c r="V266" s="3821"/>
      <c r="W266" s="3821"/>
      <c r="X266" s="3821"/>
      <c r="Y266" s="3821"/>
      <c r="Z266" s="3821"/>
      <c r="AA266" s="3821"/>
      <c r="AB266" s="3821"/>
      <c r="AC266" s="3821"/>
    </row>
    <row r="267" spans="1:29">
      <c r="A267" s="3821"/>
      <c r="B267" s="3821"/>
      <c r="C267" s="3821"/>
      <c r="D267" s="3821"/>
      <c r="E267" s="3821"/>
      <c r="F267" s="3821"/>
      <c r="G267" s="3821"/>
      <c r="H267" s="3821"/>
      <c r="I267" s="3821"/>
      <c r="J267" s="3821"/>
      <c r="K267" s="3821"/>
      <c r="L267" s="3821"/>
      <c r="M267" s="3821"/>
      <c r="N267" s="3821"/>
      <c r="O267" s="3821"/>
      <c r="P267" s="3821"/>
      <c r="Q267" s="3821"/>
      <c r="R267" s="3821"/>
      <c r="S267" s="3821"/>
      <c r="T267" s="3821"/>
      <c r="U267" s="3821"/>
      <c r="V267" s="3821"/>
      <c r="W267" s="3821"/>
      <c r="X267" s="3821"/>
      <c r="Y267" s="3821"/>
      <c r="Z267" s="3821"/>
      <c r="AA267" s="3821"/>
      <c r="AB267" s="3821"/>
      <c r="AC267" s="3821"/>
    </row>
    <row r="268" spans="1:29">
      <c r="A268" s="3821"/>
      <c r="B268" s="3821"/>
      <c r="C268" s="3821"/>
      <c r="D268" s="3821"/>
      <c r="E268" s="3821"/>
      <c r="F268" s="3821"/>
      <c r="G268" s="3821"/>
      <c r="H268" s="3821"/>
      <c r="I268" s="3821"/>
      <c r="J268" s="3821"/>
      <c r="K268" s="3821"/>
      <c r="L268" s="3821"/>
      <c r="M268" s="3821"/>
      <c r="N268" s="3821"/>
      <c r="O268" s="3821"/>
      <c r="P268" s="3821"/>
      <c r="Q268" s="3821"/>
      <c r="R268" s="3821"/>
      <c r="S268" s="3821"/>
      <c r="T268" s="3821"/>
      <c r="U268" s="3821"/>
      <c r="V268" s="3821"/>
      <c r="W268" s="3821"/>
      <c r="X268" s="3821"/>
      <c r="Y268" s="3821"/>
      <c r="Z268" s="3821"/>
      <c r="AA268" s="3821"/>
      <c r="AB268" s="3821"/>
      <c r="AC268" s="38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65" priority="14" stopIfTrue="1" operator="containsText" text="超过">
      <formula>NOT(ISERROR(SEARCH("超过",F52)))</formula>
    </cfRule>
  </conditionalFormatting>
  <conditionalFormatting sqref="J54">
    <cfRule type="containsText" dxfId="164" priority="13" stopIfTrue="1" operator="containsText" text="超过">
      <formula>NOT(ISERROR(SEARCH("超过",J54)))</formula>
    </cfRule>
  </conditionalFormatting>
  <conditionalFormatting sqref="H54">
    <cfRule type="containsText" dxfId="163" priority="12" stopIfTrue="1" operator="containsText" text="超过">
      <formula>NOT(ISERROR(SEARCH("超过",H54)))</formula>
    </cfRule>
  </conditionalFormatting>
  <conditionalFormatting sqref="F54">
    <cfRule type="containsText" dxfId="162" priority="11" stopIfTrue="1" operator="containsText" text="超过">
      <formula>NOT(ISERROR(SEARCH("超过",F54)))</formula>
    </cfRule>
  </conditionalFormatting>
  <conditionalFormatting sqref="F53 H53 J53">
    <cfRule type="containsText" dxfId="161" priority="10" stopIfTrue="1" operator="containsText" text="超过">
      <formula>NOT(ISERROR(SEARCH("超过",F53)))</formula>
    </cfRule>
  </conditionalFormatting>
  <conditionalFormatting sqref="E52">
    <cfRule type="expression" dxfId="160" priority="9" stopIfTrue="1">
      <formula>$F$52="超过30%"</formula>
    </cfRule>
  </conditionalFormatting>
  <conditionalFormatting sqref="G54">
    <cfRule type="expression" dxfId="159" priority="8" stopIfTrue="1">
      <formula>$H$54="超过30%"</formula>
    </cfRule>
  </conditionalFormatting>
  <conditionalFormatting sqref="E53">
    <cfRule type="expression" dxfId="158" priority="7" stopIfTrue="1">
      <formula>$F$53="超过20%"</formula>
    </cfRule>
  </conditionalFormatting>
  <conditionalFormatting sqref="E54">
    <cfRule type="expression" dxfId="157" priority="6" stopIfTrue="1">
      <formula>$F$54="超过30%"</formula>
    </cfRule>
  </conditionalFormatting>
  <conditionalFormatting sqref="G52">
    <cfRule type="expression" dxfId="156" priority="5" stopIfTrue="1">
      <formula>$H$52="超过30%"</formula>
    </cfRule>
  </conditionalFormatting>
  <conditionalFormatting sqref="G53">
    <cfRule type="expression" dxfId="155" priority="4" stopIfTrue="1">
      <formula>$H$53="超过20%"</formula>
    </cfRule>
  </conditionalFormatting>
  <conditionalFormatting sqref="I52">
    <cfRule type="expression" dxfId="154" priority="3" stopIfTrue="1">
      <formula>$J$52="超过30%"</formula>
    </cfRule>
  </conditionalFormatting>
  <conditionalFormatting sqref="I53">
    <cfRule type="expression" dxfId="153" priority="2" stopIfTrue="1">
      <formula>$J$53="超过20%"</formula>
    </cfRule>
  </conditionalFormatting>
  <conditionalFormatting sqref="I54">
    <cfRule type="expression" dxfId="15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abSelected="1" topLeftCell="A24" zoomScale="80" zoomScaleNormal="80" workbookViewId="0">
      <selection activeCell="I38" sqref="I38"/>
    </sheetView>
  </sheetViews>
  <sheetFormatPr defaultRowHeight="14.25"/>
  <cols>
    <col min="1" max="1" width="10.5" style="3545" customWidth="1"/>
    <col min="2" max="2" width="15.75" style="3545" customWidth="1"/>
    <col min="3" max="3" width="14.375" style="3545" customWidth="1"/>
    <col min="4" max="4" width="12.25" style="3545" customWidth="1"/>
    <col min="5" max="5" width="14.375" style="3545" customWidth="1"/>
    <col min="6" max="6" width="12.25" style="3545" customWidth="1"/>
    <col min="7" max="7" width="14.5" style="3545" customWidth="1"/>
    <col min="8" max="8" width="12.25" style="3545" customWidth="1"/>
    <col min="9" max="9" width="14.5" style="3545" customWidth="1"/>
    <col min="10" max="15" width="12.25" style="3545" customWidth="1"/>
    <col min="16" max="16" width="4.75" style="3545" customWidth="1"/>
    <col min="17" max="17" width="19.5" style="3545" customWidth="1"/>
    <col min="18" max="22" width="6.125" style="3545" customWidth="1"/>
    <col min="23" max="23" width="5.75" style="3545" customWidth="1"/>
    <col min="24" max="24" width="4.25" style="3545" customWidth="1"/>
    <col min="25" max="25" width="3.5" style="3545" customWidth="1"/>
    <col min="26" max="26" width="19.75" style="3545" customWidth="1"/>
    <col min="27" max="28" width="9.375" style="3545" customWidth="1"/>
    <col min="29" max="16384" width="9" style="3545"/>
  </cols>
  <sheetData>
    <row r="1" spans="1:29" s="3526" customFormat="1" ht="28.5" customHeight="1">
      <c r="A1" s="3515" t="s">
        <v>3303</v>
      </c>
      <c r="B1" s="3865" t="s">
        <v>3304</v>
      </c>
      <c r="C1" s="3866" t="s">
        <v>3305</v>
      </c>
      <c r="D1" s="3867" t="s">
        <v>3306</v>
      </c>
      <c r="E1" s="3522"/>
      <c r="F1" s="3520" t="s">
        <v>3184</v>
      </c>
      <c r="G1" s="3521" t="s">
        <v>3307</v>
      </c>
      <c r="H1" s="3522"/>
      <c r="I1" s="3522"/>
      <c r="J1" s="3522"/>
      <c r="K1" s="3523"/>
      <c r="L1" s="3522"/>
      <c r="M1" s="3523"/>
      <c r="N1" s="3523"/>
      <c r="O1" s="3523"/>
      <c r="P1" s="3524"/>
      <c r="Q1" s="3524"/>
      <c r="R1" s="3524"/>
      <c r="S1" s="3524"/>
      <c r="T1" s="3524"/>
      <c r="U1" s="3524"/>
      <c r="V1" s="3524"/>
      <c r="W1" s="3524"/>
      <c r="X1" s="3524"/>
      <c r="Y1" s="3524"/>
      <c r="Z1" s="3524"/>
      <c r="AA1" s="3524"/>
      <c r="AB1" s="3524"/>
      <c r="AC1" s="3525"/>
    </row>
    <row r="2" spans="1:29" s="3526" customFormat="1" ht="28.5" customHeight="1">
      <c r="A2" s="3527" t="s">
        <v>3308</v>
      </c>
      <c r="B2" s="3868" t="e">
        <f>ROUND(B3*D3/10000,0)</f>
        <v>#VALUE!</v>
      </c>
      <c r="C2" s="3529"/>
      <c r="D2" s="3529"/>
      <c r="E2" s="3869"/>
      <c r="F2" s="3870"/>
      <c r="G2" s="3871"/>
      <c r="H2" s="3871"/>
      <c r="I2" s="3871"/>
      <c r="J2" s="3871"/>
      <c r="K2" s="3871"/>
      <c r="L2" s="3871"/>
      <c r="M2" s="3872"/>
      <c r="N2" s="3872"/>
      <c r="O2" s="3872"/>
      <c r="P2" s="3524"/>
      <c r="Q2" s="3524"/>
      <c r="R2" s="3524"/>
      <c r="S2" s="3524"/>
      <c r="T2" s="3524"/>
      <c r="U2" s="3524"/>
      <c r="V2" s="3524"/>
      <c r="W2" s="3524"/>
      <c r="X2" s="3524"/>
      <c r="Y2" s="3524"/>
      <c r="Z2" s="3524"/>
      <c r="AA2" s="3524"/>
      <c r="AB2" s="3524"/>
      <c r="AC2" s="3525"/>
    </row>
    <row r="3" spans="1:29" s="3526" customFormat="1" ht="28.5" customHeight="1" thickBot="1">
      <c r="A3" s="3535" t="s">
        <v>3309</v>
      </c>
      <c r="B3" s="3536">
        <f>C49</f>
        <v>18726</v>
      </c>
      <c r="C3" s="3537" t="s">
        <v>3310</v>
      </c>
      <c r="D3" s="3536" t="e">
        <f>SUMIF('[1]数据-汇总表'!$C19:$C33,D1,'[1]数据-汇总表'!$E19:$E33)</f>
        <v>#VALUE!</v>
      </c>
      <c r="E3" s="3869"/>
      <c r="F3" s="3870"/>
      <c r="G3" s="3871"/>
      <c r="H3" s="3871"/>
      <c r="I3" s="3871"/>
      <c r="J3" s="3871"/>
      <c r="K3" s="3872"/>
      <c r="L3" s="3871"/>
      <c r="M3" s="3872"/>
      <c r="N3" s="3872"/>
      <c r="O3" s="3872"/>
      <c r="P3" s="3524"/>
      <c r="Q3" s="3524"/>
      <c r="R3" s="3524"/>
      <c r="S3" s="3524"/>
      <c r="T3" s="3524"/>
      <c r="U3" s="3524"/>
      <c r="V3" s="3524"/>
      <c r="W3" s="3524"/>
      <c r="X3" s="3524"/>
      <c r="Y3" s="3524"/>
      <c r="Z3" s="3524"/>
      <c r="AA3" s="3524"/>
      <c r="AB3" s="3524"/>
      <c r="AC3" s="3873"/>
    </row>
    <row r="4" spans="1:29" ht="15">
      <c r="A4" s="3539" t="s">
        <v>3016</v>
      </c>
      <c r="B4" s="3540"/>
      <c r="C4" s="4146" t="s">
        <v>3017</v>
      </c>
      <c r="D4" s="4147"/>
      <c r="E4" s="4148" t="s">
        <v>3018</v>
      </c>
      <c r="F4" s="4149"/>
      <c r="G4" s="4146" t="s">
        <v>3019</v>
      </c>
      <c r="H4" s="4147"/>
      <c r="I4" s="4146" t="s">
        <v>3020</v>
      </c>
      <c r="J4" s="4147"/>
      <c r="K4" s="3874" t="s">
        <v>3311</v>
      </c>
      <c r="L4" s="3542"/>
      <c r="M4" s="3543"/>
      <c r="N4" s="3543"/>
      <c r="O4" s="3543"/>
      <c r="P4" s="4150" t="s">
        <v>3312</v>
      </c>
      <c r="Q4" s="4151"/>
      <c r="R4" s="4156" t="s">
        <v>3018</v>
      </c>
      <c r="S4" s="4157"/>
      <c r="T4" s="4156" t="s">
        <v>3019</v>
      </c>
      <c r="U4" s="4157"/>
      <c r="V4" s="4171" t="s">
        <v>3020</v>
      </c>
      <c r="W4" s="4171"/>
      <c r="X4" s="3544"/>
      <c r="Y4" s="4156" t="s">
        <v>3312</v>
      </c>
      <c r="Z4" s="4157"/>
      <c r="AA4" s="4143" t="s">
        <v>3018</v>
      </c>
      <c r="AB4" s="4171" t="s">
        <v>3019</v>
      </c>
      <c r="AC4" s="4143" t="s">
        <v>3020</v>
      </c>
    </row>
    <row r="5" spans="1:29" ht="15">
      <c r="A5" s="3546"/>
      <c r="B5" s="3547"/>
      <c r="C5" s="4160" t="s">
        <v>3313</v>
      </c>
      <c r="D5" s="4161"/>
      <c r="E5" s="4162" t="s">
        <v>3407</v>
      </c>
      <c r="F5" s="4163"/>
      <c r="G5" s="4164" t="s">
        <v>3314</v>
      </c>
      <c r="H5" s="4161"/>
      <c r="I5" s="4164" t="s">
        <v>3315</v>
      </c>
      <c r="J5" s="4161"/>
      <c r="K5" s="3874"/>
      <c r="L5" s="3542"/>
      <c r="M5" s="3543"/>
      <c r="N5" s="3543"/>
      <c r="O5" s="3543"/>
      <c r="P5" s="4152"/>
      <c r="Q5" s="4153"/>
      <c r="R5" s="4158"/>
      <c r="S5" s="4159"/>
      <c r="T5" s="4158"/>
      <c r="U5" s="4159"/>
      <c r="V5" s="4171"/>
      <c r="W5" s="4171"/>
      <c r="X5" s="3544"/>
      <c r="Y5" s="4158"/>
      <c r="Z5" s="4159"/>
      <c r="AA5" s="4144"/>
      <c r="AB5" s="4171"/>
      <c r="AC5" s="4144"/>
    </row>
    <row r="6" spans="1:29" ht="15.75" thickBot="1">
      <c r="A6" s="3549"/>
      <c r="B6" s="3550"/>
      <c r="C6" s="4165" t="s">
        <v>3028</v>
      </c>
      <c r="D6" s="4166"/>
      <c r="E6" s="4167" t="s">
        <v>3028</v>
      </c>
      <c r="F6" s="4168"/>
      <c r="G6" s="4165" t="s">
        <v>3028</v>
      </c>
      <c r="H6" s="4166"/>
      <c r="I6" s="4165" t="s">
        <v>3028</v>
      </c>
      <c r="J6" s="4166"/>
      <c r="K6" s="3874" t="s">
        <v>3029</v>
      </c>
      <c r="L6" s="3542"/>
      <c r="M6" s="3543"/>
      <c r="N6" s="3543"/>
      <c r="O6" s="3543"/>
      <c r="P6" s="4154"/>
      <c r="Q6" s="4155"/>
      <c r="R6" s="4158"/>
      <c r="S6" s="4159"/>
      <c r="T6" s="4169"/>
      <c r="U6" s="4170"/>
      <c r="V6" s="4171"/>
      <c r="W6" s="4171"/>
      <c r="X6" s="3544"/>
      <c r="Y6" s="4169"/>
      <c r="Z6" s="4170"/>
      <c r="AA6" s="4145"/>
      <c r="AB6" s="4171"/>
      <c r="AC6" s="4145"/>
    </row>
    <row r="7" spans="1:29" s="3563" customFormat="1" ht="15.75" thickBot="1">
      <c r="A7" s="3551"/>
      <c r="B7" s="3552" t="s">
        <v>3030</v>
      </c>
      <c r="C7" s="3553">
        <f>'[1]数据-取费表'!B2</f>
        <v>42940</v>
      </c>
      <c r="D7" s="3554">
        <v>100</v>
      </c>
      <c r="E7" s="3555">
        <v>42940</v>
      </c>
      <c r="F7" s="3556">
        <f>SUMIF(58:58,YEAR(E7)&amp;"-"&amp;MONTH(E7),59:59)</f>
        <v>100</v>
      </c>
      <c r="G7" s="3555">
        <v>42940</v>
      </c>
      <c r="H7" s="3554">
        <f>SUMIF(58:58,YEAR(G7)&amp;"-"&amp;MONTH(G7),59:59)</f>
        <v>100</v>
      </c>
      <c r="I7" s="3555">
        <v>42940</v>
      </c>
      <c r="J7" s="3554">
        <f>SUMIF(58:58,YEAR(I7)&amp;"-"&amp;MONTH(I7),59:59)</f>
        <v>100</v>
      </c>
      <c r="K7" s="3874"/>
      <c r="L7" s="3557"/>
      <c r="M7" s="3558"/>
      <c r="N7" s="3558"/>
      <c r="O7" s="3558"/>
      <c r="P7" s="4172" t="s">
        <v>3031</v>
      </c>
      <c r="Q7" s="4173"/>
      <c r="R7" s="3559" t="s">
        <v>3032</v>
      </c>
      <c r="S7" s="3560">
        <f t="shared" ref="S7:S15" si="0">F7</f>
        <v>100</v>
      </c>
      <c r="T7" s="3559" t="s">
        <v>3032</v>
      </c>
      <c r="U7" s="3560">
        <f t="shared" ref="U7:U15" si="1">H7</f>
        <v>100</v>
      </c>
      <c r="V7" s="3559" t="s">
        <v>3032</v>
      </c>
      <c r="W7" s="3560">
        <f t="shared" ref="W7:W15" si="2">J7</f>
        <v>100</v>
      </c>
      <c r="X7" s="3561"/>
      <c r="Y7" s="4172" t="s">
        <v>3031</v>
      </c>
      <c r="Z7" s="4174"/>
      <c r="AA7" s="3562">
        <f>D7/F7</f>
        <v>1</v>
      </c>
      <c r="AB7" s="3562">
        <f>D7/H7</f>
        <v>1</v>
      </c>
      <c r="AC7" s="3562">
        <f>D7/J7</f>
        <v>1</v>
      </c>
    </row>
    <row r="8" spans="1:29" s="3563" customFormat="1" ht="15.75" thickBot="1">
      <c r="A8" s="3564"/>
      <c r="B8" s="3565" t="s">
        <v>3033</v>
      </c>
      <c r="C8" s="3566" t="s">
        <v>3316</v>
      </c>
      <c r="D8" s="3554">
        <v>100</v>
      </c>
      <c r="E8" s="3566" t="s">
        <v>3034</v>
      </c>
      <c r="F8" s="3556">
        <f>SUMIF(61:61,E8,62:62)-SUMIF(61:61,C8,62:62)+100</f>
        <v>100</v>
      </c>
      <c r="G8" s="3566" t="s">
        <v>3034</v>
      </c>
      <c r="H8" s="3554">
        <f>SUMIF(61:61,G8,62:62)-SUMIF(61:61,C8,62:62)+100</f>
        <v>100</v>
      </c>
      <c r="I8" s="3566" t="s">
        <v>3034</v>
      </c>
      <c r="J8" s="3554">
        <f>SUMIF(61:61,I8,62:62)-SUMIF(61:61,C8,62:62)+100</f>
        <v>100</v>
      </c>
      <c r="K8" s="3874"/>
      <c r="L8" s="3557"/>
      <c r="M8" s="3558"/>
      <c r="N8" s="3558"/>
      <c r="O8" s="3558"/>
      <c r="P8" s="4172" t="s">
        <v>3317</v>
      </c>
      <c r="Q8" s="4174"/>
      <c r="R8" s="3559" t="s">
        <v>3032</v>
      </c>
      <c r="S8" s="3560">
        <f t="shared" si="0"/>
        <v>100</v>
      </c>
      <c r="T8" s="3559" t="s">
        <v>3032</v>
      </c>
      <c r="U8" s="3560">
        <f t="shared" si="1"/>
        <v>100</v>
      </c>
      <c r="V8" s="3559" t="s">
        <v>3032</v>
      </c>
      <c r="W8" s="3560">
        <f t="shared" si="2"/>
        <v>100</v>
      </c>
      <c r="X8" s="3561"/>
      <c r="Y8" s="4172" t="s">
        <v>3317</v>
      </c>
      <c r="Z8" s="4174"/>
      <c r="AA8" s="3562">
        <f t="shared" ref="AA8:AA46" si="3">D8/F8</f>
        <v>1</v>
      </c>
      <c r="AB8" s="3562">
        <f t="shared" ref="AB8:AB46" si="4">D8/H8</f>
        <v>1</v>
      </c>
      <c r="AC8" s="3562">
        <f t="shared" ref="AC8:AC46" si="5">D8/J8</f>
        <v>1</v>
      </c>
    </row>
    <row r="9" spans="1:29" s="3563" customFormat="1" ht="15">
      <c r="A9" s="3568"/>
      <c r="B9" s="3569" t="s">
        <v>3318</v>
      </c>
      <c r="C9" s="3570" t="s">
        <v>3319</v>
      </c>
      <c r="D9" s="3571">
        <v>100</v>
      </c>
      <c r="E9" s="3574" t="s">
        <v>2994</v>
      </c>
      <c r="F9" s="3571">
        <f>SUMIF(63:63,E9,64:64)-SUMIF(63:63,C9,64:64)+100</f>
        <v>100</v>
      </c>
      <c r="G9" s="3572" t="s">
        <v>2994</v>
      </c>
      <c r="H9" s="3571">
        <f>SUMIF(63:63,G9,64:64)-SUMIF(63:63,C9,64:64)+100</f>
        <v>100</v>
      </c>
      <c r="I9" s="3572" t="s">
        <v>2994</v>
      </c>
      <c r="J9" s="3571">
        <f>SUMIF(63:63,I9,64:64)-SUMIF(63:63,C9,64:64)+100</f>
        <v>100</v>
      </c>
      <c r="K9" s="3874"/>
      <c r="L9" s="3557"/>
      <c r="M9" s="3558"/>
      <c r="N9" s="3558"/>
      <c r="O9" s="3575"/>
      <c r="P9" s="4175" t="s">
        <v>3320</v>
      </c>
      <c r="Q9" s="3576" t="str">
        <f t="shared" ref="Q9:Q15" si="6">B9</f>
        <v>用途</v>
      </c>
      <c r="R9" s="3559" t="s">
        <v>3032</v>
      </c>
      <c r="S9" s="3560">
        <f t="shared" si="0"/>
        <v>100</v>
      </c>
      <c r="T9" s="3559" t="s">
        <v>3032</v>
      </c>
      <c r="U9" s="3560">
        <f t="shared" si="1"/>
        <v>100</v>
      </c>
      <c r="V9" s="3559" t="s">
        <v>3032</v>
      </c>
      <c r="W9" s="3560">
        <f t="shared" si="2"/>
        <v>100</v>
      </c>
      <c r="X9" s="3561"/>
      <c r="Y9" s="4176" t="s">
        <v>3321</v>
      </c>
      <c r="Z9" s="3562" t="str">
        <f t="shared" ref="Z9:Z15" si="7">Q9</f>
        <v>用途</v>
      </c>
      <c r="AA9" s="3562">
        <f t="shared" si="3"/>
        <v>1</v>
      </c>
      <c r="AB9" s="3562">
        <f t="shared" si="4"/>
        <v>1</v>
      </c>
      <c r="AC9" s="3562">
        <f t="shared" si="5"/>
        <v>1</v>
      </c>
    </row>
    <row r="10" spans="1:29" s="3586" customFormat="1" ht="27.75" thickBot="1">
      <c r="A10" s="3577"/>
      <c r="B10" s="3565" t="s">
        <v>3036</v>
      </c>
      <c r="C10" s="3578" t="s">
        <v>3322</v>
      </c>
      <c r="D10" s="3579">
        <v>100</v>
      </c>
      <c r="E10" s="3578" t="s">
        <v>3322</v>
      </c>
      <c r="F10" s="3579">
        <f>SUMIF(65:65,E10,66:66)-SUMIF(65:65,C10,66:66)+100</f>
        <v>100</v>
      </c>
      <c r="G10" s="3580" t="s">
        <v>3322</v>
      </c>
      <c r="H10" s="3579">
        <f>SUMIF(65:65,G10,66:66)-SUMIF(65:65,C10,66:66)+100</f>
        <v>100</v>
      </c>
      <c r="I10" s="3578" t="s">
        <v>3322</v>
      </c>
      <c r="J10" s="3579">
        <f>SUMIF(65:65,I10,66:66)-SUMIF(65:65,C10,66:66)+100</f>
        <v>100</v>
      </c>
      <c r="K10" s="3875">
        <v>1</v>
      </c>
      <c r="L10" s="3583"/>
      <c r="M10" s="3584"/>
      <c r="N10" s="3584"/>
      <c r="O10" s="3585"/>
      <c r="P10" s="4175"/>
      <c r="Q10" s="3576" t="str">
        <f t="shared" si="6"/>
        <v>土地使用年限（年）</v>
      </c>
      <c r="R10" s="3559" t="s">
        <v>3032</v>
      </c>
      <c r="S10" s="3560">
        <f t="shared" si="0"/>
        <v>100</v>
      </c>
      <c r="T10" s="3559" t="s">
        <v>3032</v>
      </c>
      <c r="U10" s="3560">
        <f t="shared" si="1"/>
        <v>100</v>
      </c>
      <c r="V10" s="3559" t="s">
        <v>3032</v>
      </c>
      <c r="W10" s="3560">
        <f t="shared" si="2"/>
        <v>100</v>
      </c>
      <c r="X10" s="3561"/>
      <c r="Y10" s="4176"/>
      <c r="Z10" s="3562" t="str">
        <f t="shared" si="7"/>
        <v>土地使用年限（年）</v>
      </c>
      <c r="AA10" s="3562">
        <f t="shared" si="3"/>
        <v>1</v>
      </c>
      <c r="AB10" s="3562">
        <f t="shared" si="4"/>
        <v>1</v>
      </c>
      <c r="AC10" s="3562">
        <f t="shared" si="5"/>
        <v>1</v>
      </c>
    </row>
    <row r="11" spans="1:29" ht="15.75" hidden="1" thickBot="1">
      <c r="A11" s="3587"/>
      <c r="B11" s="3565" t="s">
        <v>3038</v>
      </c>
      <c r="C11" s="3588">
        <f>'[1]不动产比较法-住宅'!C11</f>
        <v>2.57</v>
      </c>
      <c r="D11" s="3579">
        <v>100</v>
      </c>
      <c r="E11" s="3588">
        <v>2.5</v>
      </c>
      <c r="F11" s="3579">
        <f>LOOKUP(E11,68:68,69:69)-LOOKUP(C11,68:68,69:69)+100</f>
        <v>100</v>
      </c>
      <c r="G11" s="3589">
        <v>2.5</v>
      </c>
      <c r="H11" s="3579">
        <f>LOOKUP(G11,68:68,69:69)-LOOKUP(C11,68:68,69:69)+100</f>
        <v>100</v>
      </c>
      <c r="I11" s="3588">
        <v>2.5</v>
      </c>
      <c r="J11" s="3579">
        <f>LOOKUP(I11,68:68,69:69)-LOOKUP(C11,68:68,69:69)+100</f>
        <v>100</v>
      </c>
      <c r="K11" s="3875">
        <v>2</v>
      </c>
      <c r="L11" s="3590"/>
      <c r="M11" s="3543"/>
      <c r="N11" s="3543"/>
      <c r="O11" s="3591"/>
      <c r="P11" s="4175"/>
      <c r="Q11" s="3576" t="str">
        <f t="shared" si="6"/>
        <v>容积率</v>
      </c>
      <c r="R11" s="3559" t="s">
        <v>3032</v>
      </c>
      <c r="S11" s="3560">
        <f t="shared" si="0"/>
        <v>100</v>
      </c>
      <c r="T11" s="3559" t="s">
        <v>3032</v>
      </c>
      <c r="U11" s="3560">
        <f t="shared" si="1"/>
        <v>100</v>
      </c>
      <c r="V11" s="3559" t="s">
        <v>3032</v>
      </c>
      <c r="W11" s="3560">
        <f t="shared" si="2"/>
        <v>100</v>
      </c>
      <c r="X11" s="3561"/>
      <c r="Y11" s="4176"/>
      <c r="Z11" s="3562" t="str">
        <f t="shared" si="7"/>
        <v>容积率</v>
      </c>
      <c r="AA11" s="3562">
        <f t="shared" si="3"/>
        <v>1</v>
      </c>
      <c r="AB11" s="3562">
        <f t="shared" si="4"/>
        <v>1</v>
      </c>
      <c r="AC11" s="3562">
        <f t="shared" si="5"/>
        <v>1</v>
      </c>
    </row>
    <row r="12" spans="1:29" s="3563" customFormat="1" ht="15.75" hidden="1" thickBot="1">
      <c r="A12" s="3592"/>
      <c r="B12" s="3593"/>
      <c r="C12" s="3594"/>
      <c r="D12" s="3595">
        <v>100</v>
      </c>
      <c r="E12" s="3597"/>
      <c r="F12" s="3579">
        <f>SUMIF(70:70,E12,71:71)-SUMIF(70:70,C12,71:71)+100</f>
        <v>100</v>
      </c>
      <c r="G12" s="3876"/>
      <c r="H12" s="3579">
        <f>SUMIF(70:70,G12,71:71)-SUMIF(70:70,C12,71:71)+100</f>
        <v>100</v>
      </c>
      <c r="I12" s="3597"/>
      <c r="J12" s="3579">
        <f>SUMIF(70:70,I12,71:71)-SUMIF(70:70,C12,71:71)+100</f>
        <v>100</v>
      </c>
      <c r="K12" s="3877"/>
      <c r="L12" s="3557"/>
      <c r="M12" s="3558"/>
      <c r="N12" s="3558"/>
      <c r="O12" s="3575"/>
      <c r="P12" s="4175"/>
      <c r="Q12" s="3576">
        <f t="shared" si="6"/>
        <v>0</v>
      </c>
      <c r="R12" s="3559" t="s">
        <v>3035</v>
      </c>
      <c r="S12" s="3560">
        <f t="shared" si="0"/>
        <v>100</v>
      </c>
      <c r="T12" s="3559" t="s">
        <v>3035</v>
      </c>
      <c r="U12" s="3560">
        <f t="shared" si="1"/>
        <v>100</v>
      </c>
      <c r="V12" s="3559" t="s">
        <v>3035</v>
      </c>
      <c r="W12" s="3560">
        <f t="shared" si="2"/>
        <v>100</v>
      </c>
      <c r="X12" s="3561"/>
      <c r="Y12" s="4176"/>
      <c r="Z12" s="3562">
        <f t="shared" si="7"/>
        <v>0</v>
      </c>
      <c r="AA12" s="3562">
        <f>D12/F12</f>
        <v>1</v>
      </c>
      <c r="AB12" s="3562">
        <f>D12/H12</f>
        <v>1</v>
      </c>
      <c r="AC12" s="3562">
        <f>D12/J12</f>
        <v>1</v>
      </c>
    </row>
    <row r="13" spans="1:29" ht="15.75" hidden="1" thickBot="1">
      <c r="A13" s="3592"/>
      <c r="B13" s="3593"/>
      <c r="C13" s="3597"/>
      <c r="D13" s="3598">
        <v>100</v>
      </c>
      <c r="E13" s="3597"/>
      <c r="F13" s="3579">
        <f>SUMIF(72:72,E13,73:73)-SUMIF(72:72,C13,73:73)+100</f>
        <v>100</v>
      </c>
      <c r="G13" s="3876"/>
      <c r="H13" s="3598">
        <f>SUMIF(72:72,G13,73:73)-SUMIF(72:72,C13,73:73)+100</f>
        <v>100</v>
      </c>
      <c r="I13" s="3597"/>
      <c r="J13" s="3598">
        <f>SUMIF(72:72,I13,73:73)-SUMIF(72:72,C13,73:73)+100</f>
        <v>100</v>
      </c>
      <c r="K13" s="3877"/>
      <c r="L13" s="3599"/>
      <c r="M13" s="3543"/>
      <c r="N13" s="3543"/>
      <c r="O13" s="3591"/>
      <c r="P13" s="4175"/>
      <c r="Q13" s="3576">
        <f t="shared" si="6"/>
        <v>0</v>
      </c>
      <c r="R13" s="3559" t="s">
        <v>3035</v>
      </c>
      <c r="S13" s="3560">
        <f t="shared" si="0"/>
        <v>100</v>
      </c>
      <c r="T13" s="3559" t="s">
        <v>3035</v>
      </c>
      <c r="U13" s="3560">
        <f t="shared" si="1"/>
        <v>100</v>
      </c>
      <c r="V13" s="3559" t="s">
        <v>3035</v>
      </c>
      <c r="W13" s="3560">
        <f t="shared" si="2"/>
        <v>100</v>
      </c>
      <c r="X13" s="3561"/>
      <c r="Y13" s="4176"/>
      <c r="Z13" s="3562">
        <f t="shared" si="7"/>
        <v>0</v>
      </c>
      <c r="AA13" s="3562">
        <f t="shared" si="3"/>
        <v>1</v>
      </c>
      <c r="AB13" s="3562">
        <f t="shared" si="4"/>
        <v>1</v>
      </c>
      <c r="AC13" s="3562">
        <f t="shared" si="5"/>
        <v>1</v>
      </c>
    </row>
    <row r="14" spans="1:29" ht="15.75" hidden="1" thickBot="1">
      <c r="A14" s="3600"/>
      <c r="B14" s="3601"/>
      <c r="C14" s="3602"/>
      <c r="D14" s="3603">
        <v>100</v>
      </c>
      <c r="E14" s="3602"/>
      <c r="F14" s="3603">
        <f>SUMIF(74:74,E14,75:75)-SUMIF(74:74,C14,75:75)+100</f>
        <v>100</v>
      </c>
      <c r="G14" s="3876"/>
      <c r="H14" s="3603">
        <f>SUMIF(74:74,G14,75:75)-SUMIF(74:74,C14,75:75)+100</f>
        <v>100</v>
      </c>
      <c r="I14" s="3597"/>
      <c r="J14" s="3603">
        <f>SUMIF(74:74,I14,75:75)-SUMIF(74:74,C14,75:75)+100</f>
        <v>100</v>
      </c>
      <c r="K14" s="3877"/>
      <c r="L14" s="3599"/>
      <c r="M14" s="3543"/>
      <c r="N14" s="3543"/>
      <c r="O14" s="3591"/>
      <c r="P14" s="4175"/>
      <c r="Q14" s="3576">
        <f t="shared" si="6"/>
        <v>0</v>
      </c>
      <c r="R14" s="3559" t="s">
        <v>3035</v>
      </c>
      <c r="S14" s="3560">
        <f t="shared" si="0"/>
        <v>100</v>
      </c>
      <c r="T14" s="3559" t="s">
        <v>3035</v>
      </c>
      <c r="U14" s="3560">
        <f t="shared" si="1"/>
        <v>100</v>
      </c>
      <c r="V14" s="3559" t="s">
        <v>3035</v>
      </c>
      <c r="W14" s="3560">
        <f t="shared" si="2"/>
        <v>100</v>
      </c>
      <c r="X14" s="3561"/>
      <c r="Y14" s="4176"/>
      <c r="Z14" s="3562">
        <f t="shared" si="7"/>
        <v>0</v>
      </c>
      <c r="AA14" s="3562">
        <f t="shared" si="3"/>
        <v>1</v>
      </c>
      <c r="AB14" s="3562">
        <f t="shared" si="4"/>
        <v>1</v>
      </c>
      <c r="AC14" s="3562">
        <f t="shared" si="5"/>
        <v>1</v>
      </c>
    </row>
    <row r="15" spans="1:29" ht="71.25">
      <c r="A15" s="3605" t="s">
        <v>3040</v>
      </c>
      <c r="B15" s="3606" t="s">
        <v>585</v>
      </c>
      <c r="C15" s="3607" t="str">
        <f>[1]估价对象房地状况!C4</f>
        <v>估价对象周边商业氛围一般、大型商业较少、人流量一般、商业繁华度一般。</v>
      </c>
      <c r="D15" s="3608">
        <v>100</v>
      </c>
      <c r="E15" s="3609" t="s">
        <v>3323</v>
      </c>
      <c r="F15" s="3610">
        <f>SUMIF(76:76,E16,77:77)-SUMIF(76:76,C16,77:77)+100</f>
        <v>100</v>
      </c>
      <c r="G15" s="3878" t="s">
        <v>3324</v>
      </c>
      <c r="H15" s="3608">
        <f>SUMIF(76:76,G16,77:77)-SUMIF(76:76,C16,77:77)+100</f>
        <v>102</v>
      </c>
      <c r="I15" s="3878" t="s">
        <v>3324</v>
      </c>
      <c r="J15" s="3608">
        <f>SUMIF(76:76,I16,77:77)-SUMIF(76:76,C16,77:77)+100</f>
        <v>102</v>
      </c>
      <c r="K15" s="3879">
        <v>2</v>
      </c>
      <c r="L15" s="3599"/>
      <c r="M15" s="3543"/>
      <c r="N15" s="3543"/>
      <c r="O15" s="3591"/>
      <c r="P15" s="4177" t="s">
        <v>3042</v>
      </c>
      <c r="Q15" s="3612" t="str">
        <f t="shared" si="6"/>
        <v>商业繁华度</v>
      </c>
      <c r="R15" s="3613" t="s">
        <v>3032</v>
      </c>
      <c r="S15" s="3614">
        <f t="shared" si="0"/>
        <v>100</v>
      </c>
      <c r="T15" s="3613" t="s">
        <v>3032</v>
      </c>
      <c r="U15" s="3614">
        <f t="shared" si="1"/>
        <v>102</v>
      </c>
      <c r="V15" s="3613" t="s">
        <v>3032</v>
      </c>
      <c r="W15" s="3614">
        <f t="shared" si="2"/>
        <v>102</v>
      </c>
      <c r="X15" s="3544"/>
      <c r="Y15" s="4177" t="s">
        <v>3042</v>
      </c>
      <c r="Z15" s="3615" t="str">
        <f t="shared" si="7"/>
        <v>商业繁华度</v>
      </c>
      <c r="AA15" s="3615">
        <f t="shared" si="3"/>
        <v>1</v>
      </c>
      <c r="AB15" s="3615">
        <f t="shared" si="4"/>
        <v>0.98039215686274506</v>
      </c>
      <c r="AC15" s="3615">
        <f t="shared" si="5"/>
        <v>0.98039215686274506</v>
      </c>
    </row>
    <row r="16" spans="1:29" ht="15">
      <c r="A16" s="3616"/>
      <c r="B16" s="3617"/>
      <c r="C16" s="3618" t="s">
        <v>3043</v>
      </c>
      <c r="D16" s="3619"/>
      <c r="E16" s="3618" t="s">
        <v>3043</v>
      </c>
      <c r="F16" s="3621"/>
      <c r="G16" s="3622" t="s">
        <v>3044</v>
      </c>
      <c r="H16" s="3623"/>
      <c r="I16" s="3622" t="s">
        <v>3044</v>
      </c>
      <c r="J16" s="3619"/>
      <c r="K16" s="3880"/>
      <c r="L16" s="3599"/>
      <c r="M16" s="3543"/>
      <c r="N16" s="3543"/>
      <c r="O16" s="3591"/>
      <c r="P16" s="4178"/>
      <c r="Q16" s="3612"/>
      <c r="R16" s="3613"/>
      <c r="S16" s="3614"/>
      <c r="T16" s="3613"/>
      <c r="U16" s="3614"/>
      <c r="V16" s="3613"/>
      <c r="W16" s="3614"/>
      <c r="X16" s="3544"/>
      <c r="Y16" s="4178"/>
      <c r="Z16" s="3615"/>
      <c r="AA16" s="3615">
        <v>1</v>
      </c>
      <c r="AB16" s="3615">
        <v>1</v>
      </c>
      <c r="AC16" s="3615">
        <v>1</v>
      </c>
    </row>
    <row r="17" spans="1:29" ht="85.5">
      <c r="A17" s="3616"/>
      <c r="B17" s="3626" t="s">
        <v>296</v>
      </c>
      <c r="C17" s="3627" t="str">
        <f>[1]估价对象房地状况!C6</f>
        <v>估价对象周边路网密集程度一般、有一定数量公交车、停车较便捷，综合评价交通便捷度一般。</v>
      </c>
      <c r="D17" s="3623">
        <v>100</v>
      </c>
      <c r="E17" s="3628" t="s">
        <v>3323</v>
      </c>
      <c r="F17" s="3629">
        <f>SUMIF(78:78,E18,79:79)-SUMIF(78:78,C18,79:79)+100</f>
        <v>100</v>
      </c>
      <c r="G17" s="3881" t="s">
        <v>3323</v>
      </c>
      <c r="H17" s="3630">
        <f>SUMIF(78:78,G18,79:79)-SUMIF(78:78,C18,79:79)+100</f>
        <v>100</v>
      </c>
      <c r="I17" s="3628" t="s">
        <v>3323</v>
      </c>
      <c r="J17" s="3630">
        <f>SUMIF(78:78,I18,79:79)-SUMIF(78:78,C18,79:79)+100</f>
        <v>100</v>
      </c>
      <c r="K17" s="3879">
        <v>2</v>
      </c>
      <c r="L17" s="3599"/>
      <c r="M17" s="3543"/>
      <c r="N17" s="3543"/>
      <c r="O17" s="3591"/>
      <c r="P17" s="4178"/>
      <c r="Q17" s="3612" t="str">
        <f>B17</f>
        <v>交通便捷度</v>
      </c>
      <c r="R17" s="3613" t="s">
        <v>3032</v>
      </c>
      <c r="S17" s="3614">
        <f>F17</f>
        <v>100</v>
      </c>
      <c r="T17" s="3613" t="s">
        <v>3032</v>
      </c>
      <c r="U17" s="3614">
        <f>H17</f>
        <v>100</v>
      </c>
      <c r="V17" s="3613" t="s">
        <v>3032</v>
      </c>
      <c r="W17" s="3614">
        <f>J17</f>
        <v>100</v>
      </c>
      <c r="X17" s="3544"/>
      <c r="Y17" s="4178"/>
      <c r="Z17" s="3615" t="str">
        <f>Q17</f>
        <v>交通便捷度</v>
      </c>
      <c r="AA17" s="3615">
        <f t="shared" si="3"/>
        <v>1</v>
      </c>
      <c r="AB17" s="3615">
        <f t="shared" si="4"/>
        <v>1</v>
      </c>
      <c r="AC17" s="3615">
        <f t="shared" si="5"/>
        <v>1</v>
      </c>
    </row>
    <row r="18" spans="1:29" ht="15">
      <c r="A18" s="3616"/>
      <c r="B18" s="3631"/>
      <c r="C18" s="3632" t="s">
        <v>3043</v>
      </c>
      <c r="D18" s="3623"/>
      <c r="E18" s="3633" t="s">
        <v>3043</v>
      </c>
      <c r="F18" s="3629"/>
      <c r="G18" s="3632" t="s">
        <v>3043</v>
      </c>
      <c r="H18" s="3619"/>
      <c r="I18" s="3633" t="s">
        <v>3043</v>
      </c>
      <c r="J18" s="3619"/>
      <c r="K18" s="3880"/>
      <c r="L18" s="3599"/>
      <c r="M18" s="3543"/>
      <c r="N18" s="3543"/>
      <c r="O18" s="3591"/>
      <c r="P18" s="4178"/>
      <c r="Q18" s="3612"/>
      <c r="R18" s="3613"/>
      <c r="S18" s="3614"/>
      <c r="T18" s="3613"/>
      <c r="U18" s="3614"/>
      <c r="V18" s="3613"/>
      <c r="W18" s="3614"/>
      <c r="X18" s="3544"/>
      <c r="Y18" s="4178"/>
      <c r="Z18" s="3615"/>
      <c r="AA18" s="3615">
        <v>1</v>
      </c>
      <c r="AB18" s="3615">
        <v>1</v>
      </c>
      <c r="AC18" s="3615">
        <v>1</v>
      </c>
    </row>
    <row r="19" spans="1:29" ht="42.75">
      <c r="A19" s="3616"/>
      <c r="B19" s="3634" t="s">
        <v>3325</v>
      </c>
      <c r="C19" s="3627" t="str">
        <f>[1]估价对象房地状况!C7</f>
        <v>估价对象所在区域公共配套设施较齐备。</v>
      </c>
      <c r="D19" s="3630">
        <v>100</v>
      </c>
      <c r="E19" s="3635" t="s">
        <v>3324</v>
      </c>
      <c r="F19" s="3636">
        <f>SUMIF(80:80,E20,81:81)-SUMIF(80:80,C20,81:81)+100</f>
        <v>100</v>
      </c>
      <c r="G19" s="3638" t="s">
        <v>3324</v>
      </c>
      <c r="H19" s="3623">
        <f>SUMIF(80:80,G20,81:81)-SUMIF(80:80,C20,81:81)+100</f>
        <v>100</v>
      </c>
      <c r="I19" s="3635" t="s">
        <v>3324</v>
      </c>
      <c r="J19" s="3623">
        <f>SUMIF(80:80,I20,81:81)-SUMIF(80:80,C20,81:81)+100</f>
        <v>100</v>
      </c>
      <c r="K19" s="3879">
        <v>2</v>
      </c>
      <c r="L19" s="3599"/>
      <c r="M19" s="3543"/>
      <c r="N19" s="3543"/>
      <c r="O19" s="3591"/>
      <c r="P19" s="4178"/>
      <c r="Q19" s="3612" t="str">
        <f>B19</f>
        <v>公共配套设施</v>
      </c>
      <c r="R19" s="3613" t="s">
        <v>3032</v>
      </c>
      <c r="S19" s="3614">
        <f>F19</f>
        <v>100</v>
      </c>
      <c r="T19" s="3613" t="s">
        <v>3032</v>
      </c>
      <c r="U19" s="3614">
        <f>H19</f>
        <v>100</v>
      </c>
      <c r="V19" s="3613" t="s">
        <v>3032</v>
      </c>
      <c r="W19" s="3614">
        <f>J19</f>
        <v>100</v>
      </c>
      <c r="X19" s="3544"/>
      <c r="Y19" s="4178"/>
      <c r="Z19" s="3615" t="str">
        <f>Q19</f>
        <v>公共配套设施</v>
      </c>
      <c r="AA19" s="3615">
        <f t="shared" si="3"/>
        <v>1</v>
      </c>
      <c r="AB19" s="3615">
        <f t="shared" si="4"/>
        <v>1</v>
      </c>
      <c r="AC19" s="3615">
        <f t="shared" si="5"/>
        <v>1</v>
      </c>
    </row>
    <row r="20" spans="1:29" ht="15">
      <c r="A20" s="3616"/>
      <c r="B20" s="3631"/>
      <c r="C20" s="3618" t="s">
        <v>3044</v>
      </c>
      <c r="D20" s="3619"/>
      <c r="E20" s="3620" t="s">
        <v>3044</v>
      </c>
      <c r="F20" s="3621"/>
      <c r="G20" s="3618" t="s">
        <v>3044</v>
      </c>
      <c r="H20" s="3619"/>
      <c r="I20" s="3620" t="s">
        <v>3044</v>
      </c>
      <c r="J20" s="3619"/>
      <c r="K20" s="3880"/>
      <c r="L20" s="3599"/>
      <c r="M20" s="3543"/>
      <c r="N20" s="3543"/>
      <c r="O20" s="3591"/>
      <c r="P20" s="4178"/>
      <c r="Q20" s="3612"/>
      <c r="R20" s="3613"/>
      <c r="S20" s="3614"/>
      <c r="T20" s="3613"/>
      <c r="U20" s="3614"/>
      <c r="V20" s="3613"/>
      <c r="W20" s="3614"/>
      <c r="X20" s="3544"/>
      <c r="Y20" s="4178"/>
      <c r="Z20" s="3615"/>
      <c r="AA20" s="3615">
        <v>1</v>
      </c>
      <c r="AB20" s="3615">
        <v>1</v>
      </c>
      <c r="AC20" s="3615">
        <v>1</v>
      </c>
    </row>
    <row r="21" spans="1:29" ht="15">
      <c r="A21" s="3616"/>
      <c r="B21" s="3637" t="s">
        <v>3326</v>
      </c>
      <c r="C21" s="3627" t="str">
        <f>[1]估价对象房地状况!C8</f>
        <v>六通</v>
      </c>
      <c r="D21" s="3630">
        <v>100</v>
      </c>
      <c r="E21" s="3638" t="s">
        <v>3158</v>
      </c>
      <c r="F21" s="3636">
        <f>SUMIF(82:82,E22,83:83)-SUMIF(82:82,C22,83:83)+100</f>
        <v>100</v>
      </c>
      <c r="G21" s="3638" t="s">
        <v>3158</v>
      </c>
      <c r="H21" s="3630">
        <f>SUMIF(82:82,G22,83:83)-SUMIF(82:82,C22,83:83)+100</f>
        <v>100</v>
      </c>
      <c r="I21" s="3635" t="s">
        <v>3158</v>
      </c>
      <c r="J21" s="3630">
        <f>SUMIF(82:82,I22,83:83)-SUMIF(82:82,C22,83:83)+100</f>
        <v>100</v>
      </c>
      <c r="K21" s="3879">
        <v>1</v>
      </c>
      <c r="L21" s="3599"/>
      <c r="M21" s="3543"/>
      <c r="N21" s="3543"/>
      <c r="O21" s="3591"/>
      <c r="P21" s="4178"/>
      <c r="Q21" s="3612" t="str">
        <f>B21</f>
        <v>基础设施水平</v>
      </c>
      <c r="R21" s="3613" t="s">
        <v>3032</v>
      </c>
      <c r="S21" s="3614">
        <f>F21</f>
        <v>100</v>
      </c>
      <c r="T21" s="3613" t="s">
        <v>3032</v>
      </c>
      <c r="U21" s="3614">
        <f>H21</f>
        <v>100</v>
      </c>
      <c r="V21" s="3613" t="s">
        <v>3032</v>
      </c>
      <c r="W21" s="3614">
        <f>J21</f>
        <v>100</v>
      </c>
      <c r="X21" s="3544"/>
      <c r="Y21" s="4178"/>
      <c r="Z21" s="3615" t="str">
        <f>Q21</f>
        <v>基础设施水平</v>
      </c>
      <c r="AA21" s="3615">
        <f t="shared" ref="AA21" si="8">D21/F21</f>
        <v>1</v>
      </c>
      <c r="AB21" s="3615">
        <f t="shared" ref="AB21" si="9">D21/H21</f>
        <v>1</v>
      </c>
      <c r="AC21" s="3615">
        <f t="shared" ref="AC21" si="10">D21/J21</f>
        <v>1</v>
      </c>
    </row>
    <row r="22" spans="1:29" ht="15">
      <c r="A22" s="3616"/>
      <c r="B22" s="3639"/>
      <c r="C22" s="3632" t="s">
        <v>3068</v>
      </c>
      <c r="D22" s="3619"/>
      <c r="E22" s="3618" t="s">
        <v>3068</v>
      </c>
      <c r="F22" s="3621"/>
      <c r="G22" s="3618" t="s">
        <v>3068</v>
      </c>
      <c r="H22" s="3619"/>
      <c r="I22" s="3618" t="s">
        <v>3068</v>
      </c>
      <c r="J22" s="3619"/>
      <c r="K22" s="3882"/>
      <c r="L22" s="3599"/>
      <c r="M22" s="3543"/>
      <c r="N22" s="3543"/>
      <c r="O22" s="3591"/>
      <c r="P22" s="4178"/>
      <c r="Q22" s="3612"/>
      <c r="R22" s="3613"/>
      <c r="S22" s="3614"/>
      <c r="T22" s="3613"/>
      <c r="U22" s="3614"/>
      <c r="V22" s="3613"/>
      <c r="W22" s="3614"/>
      <c r="X22" s="3544"/>
      <c r="Y22" s="4178"/>
      <c r="Z22" s="3615"/>
      <c r="AA22" s="3615">
        <v>1</v>
      </c>
      <c r="AB22" s="3615">
        <v>1</v>
      </c>
      <c r="AC22" s="3615">
        <v>1</v>
      </c>
    </row>
    <row r="23" spans="1:29" ht="128.25">
      <c r="A23" s="3616"/>
      <c r="B23" s="3626" t="s">
        <v>297</v>
      </c>
      <c r="C23" s="3627" t="str">
        <f>[1]估价对象房地状况!C9</f>
        <v>估价对象周边无大型绿化，公园等自然环境一般：周边有长沙理工大学，无其他博物馆，图书馆等人文环境一般；综合评价环境状况一般。</v>
      </c>
      <c r="D23" s="3623">
        <v>100</v>
      </c>
      <c r="E23" s="3628" t="s">
        <v>3323</v>
      </c>
      <c r="F23" s="3629">
        <f>SUMIF(84:84,E24,85:85)-SUMIF(84:84,C24,85:85)+100</f>
        <v>100</v>
      </c>
      <c r="G23" s="3881" t="s">
        <v>3043</v>
      </c>
      <c r="H23" s="3623">
        <f>SUMIF(84:84,G24,85:85)-SUMIF(84:84,C24,85:85)+100</f>
        <v>100</v>
      </c>
      <c r="I23" s="3883" t="s">
        <v>3324</v>
      </c>
      <c r="J23" s="3623">
        <f>SUMIF(84:84,I24,85:85)-SUMIF(84:84,C24,85:85)+100</f>
        <v>102</v>
      </c>
      <c r="K23" s="3879">
        <v>2</v>
      </c>
      <c r="L23" s="3599"/>
      <c r="M23" s="3543"/>
      <c r="N23" s="3543"/>
      <c r="O23" s="3591"/>
      <c r="P23" s="4178"/>
      <c r="Q23" s="3612" t="str">
        <f>B23</f>
        <v>自然及人文环境</v>
      </c>
      <c r="R23" s="3613" t="s">
        <v>3032</v>
      </c>
      <c r="S23" s="3614">
        <f>F23</f>
        <v>100</v>
      </c>
      <c r="T23" s="3613" t="s">
        <v>3032</v>
      </c>
      <c r="U23" s="3614">
        <f>H23</f>
        <v>100</v>
      </c>
      <c r="V23" s="3613" t="s">
        <v>3032</v>
      </c>
      <c r="W23" s="3614">
        <f>J23</f>
        <v>102</v>
      </c>
      <c r="X23" s="3544"/>
      <c r="Y23" s="4178"/>
      <c r="Z23" s="3615" t="str">
        <f>Q23</f>
        <v>自然及人文环境</v>
      </c>
      <c r="AA23" s="3615">
        <f t="shared" si="3"/>
        <v>1</v>
      </c>
      <c r="AB23" s="3615">
        <f t="shared" si="4"/>
        <v>1</v>
      </c>
      <c r="AC23" s="3615">
        <f t="shared" si="5"/>
        <v>0.98039215686274506</v>
      </c>
    </row>
    <row r="24" spans="1:29" ht="15">
      <c r="A24" s="3616"/>
      <c r="B24" s="3631"/>
      <c r="C24" s="3618" t="s">
        <v>3043</v>
      </c>
      <c r="D24" s="3619"/>
      <c r="E24" s="3620" t="s">
        <v>3043</v>
      </c>
      <c r="F24" s="3621"/>
      <c r="G24" s="3618" t="s">
        <v>3043</v>
      </c>
      <c r="H24" s="3619"/>
      <c r="I24" s="3624" t="s">
        <v>3044</v>
      </c>
      <c r="J24" s="3619"/>
      <c r="K24" s="3880"/>
      <c r="L24" s="3599"/>
      <c r="M24" s="3543"/>
      <c r="N24" s="3543"/>
      <c r="O24" s="3591"/>
      <c r="P24" s="4178"/>
      <c r="Q24" s="3612"/>
      <c r="R24" s="3613"/>
      <c r="S24" s="3614"/>
      <c r="T24" s="3613"/>
      <c r="U24" s="3614"/>
      <c r="V24" s="3613"/>
      <c r="W24" s="3614"/>
      <c r="X24" s="3544"/>
      <c r="Y24" s="4178"/>
      <c r="Z24" s="3615"/>
      <c r="AA24" s="3615">
        <v>1</v>
      </c>
      <c r="AB24" s="3615">
        <v>1</v>
      </c>
      <c r="AC24" s="3615">
        <v>1</v>
      </c>
    </row>
    <row r="25" spans="1:29" ht="15" hidden="1">
      <c r="A25" s="3616"/>
      <c r="B25" s="3581" t="s">
        <v>3327</v>
      </c>
      <c r="C25" s="3884"/>
      <c r="D25" s="3598">
        <v>100</v>
      </c>
      <c r="E25" s="3884"/>
      <c r="F25" s="3644">
        <f>SUMIF(86:86,E25,87:87)-SUMIF(86:86,C25,87:87)+100</f>
        <v>100</v>
      </c>
      <c r="G25" s="3884"/>
      <c r="H25" s="3598">
        <f>SUMIF(86:86,G25,87:87)-SUMIF(86:86,C25,87:87)+100</f>
        <v>100</v>
      </c>
      <c r="I25" s="3884"/>
      <c r="J25" s="3598">
        <f>SUMIF(86:86,I25,87:87)-SUMIF(86:86,C25,87:87)+100</f>
        <v>100</v>
      </c>
      <c r="K25" s="3875"/>
      <c r="L25" s="3599"/>
      <c r="M25" s="3543"/>
      <c r="N25" s="3543"/>
      <c r="O25" s="3591"/>
      <c r="P25" s="4178"/>
      <c r="Q25" s="3612" t="str">
        <f t="shared" ref="Q25:Q46" si="11">B25</f>
        <v>临街状况</v>
      </c>
      <c r="R25" s="3613" t="s">
        <v>3032</v>
      </c>
      <c r="S25" s="3614">
        <f>F25</f>
        <v>100</v>
      </c>
      <c r="T25" s="3613" t="s">
        <v>3032</v>
      </c>
      <c r="U25" s="3614">
        <f>H25</f>
        <v>100</v>
      </c>
      <c r="V25" s="3613" t="s">
        <v>3032</v>
      </c>
      <c r="W25" s="3614">
        <f>J25</f>
        <v>100</v>
      </c>
      <c r="X25" s="3544"/>
      <c r="Y25" s="4178"/>
      <c r="Z25" s="3615" t="str">
        <f>Q25</f>
        <v>临街状况</v>
      </c>
      <c r="AA25" s="3615">
        <f t="shared" si="3"/>
        <v>1</v>
      </c>
      <c r="AB25" s="3615">
        <f t="shared" si="4"/>
        <v>1</v>
      </c>
      <c r="AC25" s="3615">
        <f t="shared" si="5"/>
        <v>1</v>
      </c>
    </row>
    <row r="26" spans="1:29" ht="15" hidden="1">
      <c r="A26" s="3616"/>
      <c r="B26" s="3649" t="s">
        <v>3328</v>
      </c>
      <c r="C26" s="3597"/>
      <c r="D26" s="3598">
        <v>100</v>
      </c>
      <c r="E26" s="3597"/>
      <c r="F26" s="3644">
        <f>SUMIF(88:88,E26,89:89)-SUMIF(88:88,C26,89:89)+100</f>
        <v>100</v>
      </c>
      <c r="G26" s="3597"/>
      <c r="H26" s="3598">
        <f>SUMIF(88:88,G26,89:89)-SUMIF(88:88,C26,89:89)+100</f>
        <v>100</v>
      </c>
      <c r="I26" s="3597"/>
      <c r="J26" s="3598">
        <f>SUMIF(88:88,I26,89:89)-SUMIF(88:88,C26,89:89)+100</f>
        <v>100</v>
      </c>
      <c r="K26" s="3877"/>
      <c r="L26" s="3599"/>
      <c r="M26" s="3543"/>
      <c r="N26" s="3543"/>
      <c r="O26" s="3591"/>
      <c r="P26" s="4178"/>
      <c r="Q26" s="3612" t="str">
        <f t="shared" si="11"/>
        <v>平面位置/可视性</v>
      </c>
      <c r="R26" s="3613" t="s">
        <v>3032</v>
      </c>
      <c r="S26" s="3614">
        <f>F26</f>
        <v>100</v>
      </c>
      <c r="T26" s="3613" t="s">
        <v>3032</v>
      </c>
      <c r="U26" s="3614">
        <f>H26</f>
        <v>100</v>
      </c>
      <c r="V26" s="3613" t="s">
        <v>3032</v>
      </c>
      <c r="W26" s="3614">
        <f>J26</f>
        <v>100</v>
      </c>
      <c r="X26" s="3544"/>
      <c r="Y26" s="4178"/>
      <c r="Z26" s="3615" t="str">
        <f>Q26</f>
        <v>平面位置/可视性</v>
      </c>
      <c r="AA26" s="3615">
        <f t="shared" si="3"/>
        <v>1</v>
      </c>
      <c r="AB26" s="3615">
        <f t="shared" si="4"/>
        <v>1</v>
      </c>
      <c r="AC26" s="3615">
        <f t="shared" si="5"/>
        <v>1</v>
      </c>
    </row>
    <row r="27" spans="1:29" s="3563" customFormat="1" ht="15">
      <c r="A27" s="3645"/>
      <c r="B27" s="3626" t="s">
        <v>3329</v>
      </c>
      <c r="C27" s="3885" t="s">
        <v>3043</v>
      </c>
      <c r="D27" s="3648">
        <v>100</v>
      </c>
      <c r="E27" s="3885" t="s">
        <v>3043</v>
      </c>
      <c r="F27" s="3631">
        <f>SUMIF(90:90,E27,91:91)-SUMIF(90:90,C27,91:91)+100</f>
        <v>100</v>
      </c>
      <c r="G27" s="3885" t="s">
        <v>3043</v>
      </c>
      <c r="H27" s="3648">
        <f>SUMIF(90:90,G27,91:91)-SUMIF(90:90,C27,91:91)+100</f>
        <v>100</v>
      </c>
      <c r="I27" s="3885" t="s">
        <v>3043</v>
      </c>
      <c r="J27" s="3648">
        <f>SUMIF(90:90,I27,91:91)-SUMIF(90:90,C27,91:91)+100</f>
        <v>100</v>
      </c>
      <c r="K27" s="3875">
        <v>2</v>
      </c>
      <c r="L27" s="3557"/>
      <c r="M27" s="3558"/>
      <c r="N27" s="3558"/>
      <c r="O27" s="3575"/>
      <c r="P27" s="4178"/>
      <c r="Q27" s="3576" t="str">
        <f t="shared" si="11"/>
        <v>人流量</v>
      </c>
      <c r="R27" s="3559" t="s">
        <v>3032</v>
      </c>
      <c r="S27" s="3560">
        <f>F27</f>
        <v>100</v>
      </c>
      <c r="T27" s="3559" t="s">
        <v>3032</v>
      </c>
      <c r="U27" s="3560">
        <f>H27</f>
        <v>100</v>
      </c>
      <c r="V27" s="3559" t="s">
        <v>3032</v>
      </c>
      <c r="W27" s="3560">
        <f>J27</f>
        <v>100</v>
      </c>
      <c r="X27" s="3561"/>
      <c r="Y27" s="4178"/>
      <c r="Z27" s="3562" t="str">
        <f>Q27</f>
        <v>人流量</v>
      </c>
      <c r="AA27" s="3615">
        <f>D27/F27</f>
        <v>1</v>
      </c>
      <c r="AB27" s="3615">
        <f>D27/H27</f>
        <v>1</v>
      </c>
      <c r="AC27" s="3615">
        <f>D27/J27</f>
        <v>1</v>
      </c>
    </row>
    <row r="28" spans="1:29" ht="15">
      <c r="A28" s="3616"/>
      <c r="B28" s="3581" t="s">
        <v>3330</v>
      </c>
      <c r="C28" s="3884">
        <v>1</v>
      </c>
      <c r="D28" s="3598">
        <v>100</v>
      </c>
      <c r="E28" s="3884">
        <v>1</v>
      </c>
      <c r="F28" s="3644">
        <f>SUMIF(92:92,E28,93:93)-SUMIF(92:92,C28,93:93)+100</f>
        <v>100</v>
      </c>
      <c r="G28" s="3884">
        <v>1</v>
      </c>
      <c r="H28" s="3598">
        <f>SUMIF(92:92,G28,93:93)-SUMIF(92:92,C28,93:93)+100</f>
        <v>100</v>
      </c>
      <c r="I28" s="3884">
        <v>1</v>
      </c>
      <c r="J28" s="3598">
        <f>SUMIF(92:92,I28,93:93)-SUMIF(92:92,C28,93:93)+100</f>
        <v>100</v>
      </c>
      <c r="K28" s="3877"/>
      <c r="L28" s="3599"/>
      <c r="M28" s="3543"/>
      <c r="N28" s="3543"/>
      <c r="O28" s="3591"/>
      <c r="P28" s="4178"/>
      <c r="Q28" s="3612" t="str">
        <f t="shared" si="11"/>
        <v>楼层</v>
      </c>
      <c r="R28" s="3613" t="s">
        <v>3032</v>
      </c>
      <c r="S28" s="3614">
        <f t="shared" ref="S28:S46" si="12">F28</f>
        <v>100</v>
      </c>
      <c r="T28" s="3613" t="s">
        <v>3032</v>
      </c>
      <c r="U28" s="3614">
        <f t="shared" ref="U28:U46" si="13">H28</f>
        <v>100</v>
      </c>
      <c r="V28" s="3613" t="s">
        <v>3032</v>
      </c>
      <c r="W28" s="3614">
        <f t="shared" ref="W28:W46" si="14">J28</f>
        <v>100</v>
      </c>
      <c r="X28" s="3544"/>
      <c r="Y28" s="4178"/>
      <c r="Z28" s="3615" t="str">
        <f t="shared" ref="Z28:Z46" si="15">Q28</f>
        <v>楼层</v>
      </c>
      <c r="AA28" s="3615">
        <f t="shared" si="3"/>
        <v>1</v>
      </c>
      <c r="AB28" s="3615">
        <f t="shared" si="4"/>
        <v>1</v>
      </c>
      <c r="AC28" s="3615">
        <f t="shared" si="5"/>
        <v>1</v>
      </c>
    </row>
    <row r="29" spans="1:29" ht="15.75" thickBot="1">
      <c r="A29" s="3616"/>
      <c r="B29" s="3886" t="s">
        <v>3331</v>
      </c>
      <c r="C29" s="3597" t="str">
        <f>'[1]不动产比较法-住宅'!C27</f>
        <v>城市主干道</v>
      </c>
      <c r="D29" s="3598">
        <v>100</v>
      </c>
      <c r="E29" s="3597" t="str">
        <f>'[1]不动产比较法-住宅'!E27</f>
        <v>城市次干道</v>
      </c>
      <c r="F29" s="3644">
        <f>SUMIF(94:94,E29,95:95)-SUMIF(94:94,C29,95:95)+100</f>
        <v>98</v>
      </c>
      <c r="G29" s="3597" t="str">
        <f>'[1]不动产比较法-住宅'!G27</f>
        <v>城市主干道</v>
      </c>
      <c r="H29" s="3598">
        <f>SUMIF(94:94,G29,95:95)-SUMIF(94:94,C29,95:95)+100</f>
        <v>100</v>
      </c>
      <c r="I29" s="3597" t="str">
        <f>'[1]不动产比较法-住宅'!I27</f>
        <v>城市主干道</v>
      </c>
      <c r="J29" s="3598">
        <f>SUMIF(94:94,I29,95:95)-SUMIF(94:94,C29,95:95)+100</f>
        <v>100</v>
      </c>
      <c r="K29" s="3877"/>
      <c r="L29" s="3599"/>
      <c r="M29" s="3543"/>
      <c r="N29" s="3543"/>
      <c r="O29" s="3591"/>
      <c r="P29" s="4178"/>
      <c r="Q29" s="3612" t="str">
        <f t="shared" si="11"/>
        <v>临街道路级别</v>
      </c>
      <c r="R29" s="3613" t="s">
        <v>3032</v>
      </c>
      <c r="S29" s="3614">
        <f t="shared" si="12"/>
        <v>98</v>
      </c>
      <c r="T29" s="3613" t="s">
        <v>3032</v>
      </c>
      <c r="U29" s="3614">
        <f t="shared" si="13"/>
        <v>100</v>
      </c>
      <c r="V29" s="3613" t="s">
        <v>3032</v>
      </c>
      <c r="W29" s="3614">
        <f t="shared" si="14"/>
        <v>100</v>
      </c>
      <c r="X29" s="3544"/>
      <c r="Y29" s="4178"/>
      <c r="Z29" s="3615" t="str">
        <f t="shared" si="15"/>
        <v>临街道路级别</v>
      </c>
      <c r="AA29" s="3615">
        <f t="shared" si="3"/>
        <v>1.0204081632653061</v>
      </c>
      <c r="AB29" s="3615">
        <f t="shared" si="4"/>
        <v>1</v>
      </c>
      <c r="AC29" s="3615">
        <f t="shared" si="5"/>
        <v>1</v>
      </c>
    </row>
    <row r="30" spans="1:29" ht="15.75" hidden="1" thickBot="1">
      <c r="A30" s="3616"/>
      <c r="B30" s="3649"/>
      <c r="C30" s="3597"/>
      <c r="D30" s="3598">
        <v>100</v>
      </c>
      <c r="E30" s="3597"/>
      <c r="F30" s="3644">
        <f>SUMIF(96:96,E30,97:97)-SUMIF(96:96,C30,97:97)+100</f>
        <v>100</v>
      </c>
      <c r="G30" s="3597"/>
      <c r="H30" s="3598">
        <f>SUMIF(96:96,G30,97:97)-SUMIF(96:96,C30,97:97)+100</f>
        <v>100</v>
      </c>
      <c r="I30" s="3597"/>
      <c r="J30" s="3598">
        <f>SUMIF(96:96,I30,97:97)-SUMIF(96:96,C30,97:97)+100</f>
        <v>100</v>
      </c>
      <c r="K30" s="3877"/>
      <c r="L30" s="3599"/>
      <c r="M30" s="3543"/>
      <c r="N30" s="3543"/>
      <c r="O30" s="3591"/>
      <c r="P30" s="4178"/>
      <c r="Q30" s="3612">
        <f t="shared" si="11"/>
        <v>0</v>
      </c>
      <c r="R30" s="3613" t="s">
        <v>3032</v>
      </c>
      <c r="S30" s="3614">
        <f t="shared" si="12"/>
        <v>100</v>
      </c>
      <c r="T30" s="3613" t="s">
        <v>3032</v>
      </c>
      <c r="U30" s="3614">
        <f t="shared" si="13"/>
        <v>100</v>
      </c>
      <c r="V30" s="3613" t="s">
        <v>3032</v>
      </c>
      <c r="W30" s="3614">
        <f t="shared" si="14"/>
        <v>100</v>
      </c>
      <c r="X30" s="3544"/>
      <c r="Y30" s="4178"/>
      <c r="Z30" s="3615">
        <f t="shared" si="15"/>
        <v>0</v>
      </c>
      <c r="AA30" s="3615">
        <f t="shared" si="3"/>
        <v>1</v>
      </c>
      <c r="AB30" s="3615">
        <f t="shared" si="4"/>
        <v>1</v>
      </c>
      <c r="AC30" s="3615">
        <f t="shared" si="5"/>
        <v>1</v>
      </c>
    </row>
    <row r="31" spans="1:29" ht="15.75" hidden="1" thickBot="1">
      <c r="A31" s="3650"/>
      <c r="B31" s="3649"/>
      <c r="C31" s="3602"/>
      <c r="D31" s="3603">
        <v>100</v>
      </c>
      <c r="E31" s="3597"/>
      <c r="F31" s="3604">
        <f>SUMIF(98:98,E31,99:99)-SUMIF(98:98,C31,99:99)+100</f>
        <v>100</v>
      </c>
      <c r="G31" s="3597"/>
      <c r="H31" s="3603">
        <f>SUMIF(98:98,G31,99:99)-SUMIF(98:98,C31,99:99)+100</f>
        <v>100</v>
      </c>
      <c r="I31" s="3597"/>
      <c r="J31" s="3603">
        <f>SUMIF(98:98,I31,99:99)-SUMIF(98:98,C31,99:99)+100</f>
        <v>100</v>
      </c>
      <c r="K31" s="3877"/>
      <c r="L31" s="3599"/>
      <c r="M31" s="3543"/>
      <c r="N31" s="3543"/>
      <c r="O31" s="3591"/>
      <c r="P31" s="4178"/>
      <c r="Q31" s="3612">
        <f t="shared" si="11"/>
        <v>0</v>
      </c>
      <c r="R31" s="3613" t="s">
        <v>3032</v>
      </c>
      <c r="S31" s="3614">
        <f t="shared" si="12"/>
        <v>100</v>
      </c>
      <c r="T31" s="3613" t="s">
        <v>3032</v>
      </c>
      <c r="U31" s="3614">
        <f t="shared" si="13"/>
        <v>100</v>
      </c>
      <c r="V31" s="3613" t="s">
        <v>3032</v>
      </c>
      <c r="W31" s="3614">
        <f t="shared" si="14"/>
        <v>100</v>
      </c>
      <c r="X31" s="3544"/>
      <c r="Y31" s="4178"/>
      <c r="Z31" s="3615">
        <f t="shared" si="15"/>
        <v>0</v>
      </c>
      <c r="AA31" s="3615">
        <f t="shared" si="3"/>
        <v>1</v>
      </c>
      <c r="AB31" s="3615">
        <f t="shared" si="4"/>
        <v>1</v>
      </c>
      <c r="AC31" s="3615">
        <f t="shared" si="5"/>
        <v>1</v>
      </c>
    </row>
    <row r="32" spans="1:29" ht="15">
      <c r="A32" s="3887" t="s">
        <v>3332</v>
      </c>
      <c r="B32" s="3573" t="s">
        <v>3333</v>
      </c>
      <c r="C32" s="3888" t="s">
        <v>3306</v>
      </c>
      <c r="D32" s="3889">
        <v>100</v>
      </c>
      <c r="E32" s="3888" t="s">
        <v>3306</v>
      </c>
      <c r="F32" s="3644">
        <f>SUMIF(100:100,E32,101:101)-SUMIF(100:100,C32,101:101)+100</f>
        <v>100</v>
      </c>
      <c r="G32" s="3888" t="s">
        <v>3306</v>
      </c>
      <c r="H32" s="3598">
        <f>SUMIF(100:100,G32,101:101)-SUMIF(100:100,C32,101:101)+100</f>
        <v>100</v>
      </c>
      <c r="I32" s="3888" t="s">
        <v>3306</v>
      </c>
      <c r="J32" s="3889">
        <f>SUMIF(100:100,I32,101:101)-SUMIF(100:100,C32,101:101)+100</f>
        <v>100</v>
      </c>
      <c r="K32" s="3875">
        <v>2</v>
      </c>
      <c r="L32" s="3599"/>
      <c r="M32" s="3543"/>
      <c r="N32" s="3543"/>
      <c r="O32" s="3591"/>
      <c r="P32" s="4179" t="s">
        <v>3334</v>
      </c>
      <c r="Q32" s="3612" t="str">
        <f t="shared" si="11"/>
        <v>商业类型</v>
      </c>
      <c r="R32" s="3613" t="s">
        <v>3032</v>
      </c>
      <c r="S32" s="3614">
        <f t="shared" si="12"/>
        <v>100</v>
      </c>
      <c r="T32" s="3613" t="s">
        <v>3032</v>
      </c>
      <c r="U32" s="3614">
        <f t="shared" si="13"/>
        <v>100</v>
      </c>
      <c r="V32" s="3613" t="s">
        <v>3032</v>
      </c>
      <c r="W32" s="3614">
        <f t="shared" si="14"/>
        <v>100</v>
      </c>
      <c r="X32" s="3544"/>
      <c r="Y32" s="4180" t="s">
        <v>3334</v>
      </c>
      <c r="Z32" s="3615" t="str">
        <f t="shared" si="15"/>
        <v>商业类型</v>
      </c>
      <c r="AA32" s="3615">
        <f t="shared" si="3"/>
        <v>1</v>
      </c>
      <c r="AB32" s="3615">
        <f t="shared" si="4"/>
        <v>1</v>
      </c>
      <c r="AC32" s="3615">
        <f t="shared" si="5"/>
        <v>1</v>
      </c>
    </row>
    <row r="33" spans="1:29" s="3678" customFormat="1" ht="15" hidden="1">
      <c r="A33" s="3669"/>
      <c r="B33" s="3581" t="s">
        <v>727</v>
      </c>
      <c r="C33" s="3670"/>
      <c r="D33" s="3579">
        <v>100</v>
      </c>
      <c r="E33" s="3589"/>
      <c r="F33" s="3581">
        <f>LOOKUP(E33,103:103,104:104)-LOOKUP(C33,103:103,104:104)+100</f>
        <v>100</v>
      </c>
      <c r="G33" s="3588"/>
      <c r="H33" s="3579">
        <f>LOOKUP(G33,103:103,104:104)-LOOKUP(C33,103:103,104:104)+100</f>
        <v>100</v>
      </c>
      <c r="I33" s="3588"/>
      <c r="J33" s="3579">
        <f>LOOKUP(I33,103:103,104:104)-LOOKUP(C33,103:103,104:104)+100</f>
        <v>100</v>
      </c>
      <c r="K33" s="3877"/>
      <c r="L33" s="3590"/>
      <c r="M33" s="3671"/>
      <c r="N33" s="3671"/>
      <c r="O33" s="3672"/>
      <c r="P33" s="4180"/>
      <c r="Q33" s="3673" t="str">
        <f t="shared" si="11"/>
        <v>项目建筑规模</v>
      </c>
      <c r="R33" s="3674" t="s">
        <v>3032</v>
      </c>
      <c r="S33" s="3675">
        <f t="shared" si="12"/>
        <v>100</v>
      </c>
      <c r="T33" s="3674" t="s">
        <v>3032</v>
      </c>
      <c r="U33" s="3675">
        <f t="shared" si="13"/>
        <v>100</v>
      </c>
      <c r="V33" s="3674" t="s">
        <v>3032</v>
      </c>
      <c r="W33" s="3675">
        <f t="shared" si="14"/>
        <v>100</v>
      </c>
      <c r="X33" s="3676"/>
      <c r="Y33" s="4180"/>
      <c r="Z33" s="3677" t="str">
        <f t="shared" si="15"/>
        <v>项目建筑规模</v>
      </c>
      <c r="AA33" s="3615">
        <f t="shared" si="3"/>
        <v>1</v>
      </c>
      <c r="AB33" s="3615">
        <f t="shared" si="4"/>
        <v>1</v>
      </c>
      <c r="AC33" s="3615">
        <f t="shared" si="5"/>
        <v>1</v>
      </c>
    </row>
    <row r="34" spans="1:29" ht="15">
      <c r="A34" s="3679"/>
      <c r="B34" s="3581" t="s">
        <v>728</v>
      </c>
      <c r="C34" s="3642" t="s">
        <v>3220</v>
      </c>
      <c r="D34" s="3598">
        <v>100</v>
      </c>
      <c r="E34" s="3643" t="s">
        <v>3220</v>
      </c>
      <c r="F34" s="3644">
        <f>SUMIF(105:105,E34,106:106)-SUMIF(105:105,C34,106:106)+100</f>
        <v>100</v>
      </c>
      <c r="G34" s="3642" t="s">
        <v>3220</v>
      </c>
      <c r="H34" s="3598">
        <f>SUMIF(105:105,G34,106:106)-SUMIF(105:105,C34,106:106)+100</f>
        <v>100</v>
      </c>
      <c r="I34" s="3642" t="s">
        <v>3220</v>
      </c>
      <c r="J34" s="3598">
        <f>SUMIF(105:105,I34,106:106)-SUMIF(105:105,C34,106:106)+100</f>
        <v>100</v>
      </c>
      <c r="K34" s="3875">
        <v>2</v>
      </c>
      <c r="L34" s="3599"/>
      <c r="M34" s="3543"/>
      <c r="N34" s="3543"/>
      <c r="O34" s="3591"/>
      <c r="P34" s="4180"/>
      <c r="Q34" s="3612" t="str">
        <f t="shared" si="11"/>
        <v>建筑结构</v>
      </c>
      <c r="R34" s="3613" t="s">
        <v>3032</v>
      </c>
      <c r="S34" s="3614">
        <f t="shared" si="12"/>
        <v>100</v>
      </c>
      <c r="T34" s="3613" t="s">
        <v>3032</v>
      </c>
      <c r="U34" s="3614">
        <f t="shared" si="13"/>
        <v>100</v>
      </c>
      <c r="V34" s="3613" t="s">
        <v>3032</v>
      </c>
      <c r="W34" s="3614">
        <f t="shared" si="14"/>
        <v>100</v>
      </c>
      <c r="X34" s="3544"/>
      <c r="Y34" s="4180"/>
      <c r="Z34" s="3615" t="str">
        <f t="shared" si="15"/>
        <v>建筑结构</v>
      </c>
      <c r="AA34" s="3615">
        <f t="shared" si="3"/>
        <v>1</v>
      </c>
      <c r="AB34" s="3615">
        <f t="shared" si="4"/>
        <v>1</v>
      </c>
      <c r="AC34" s="3615">
        <f t="shared" si="5"/>
        <v>1</v>
      </c>
    </row>
    <row r="35" spans="1:29" ht="15">
      <c r="A35" s="3890"/>
      <c r="B35" s="3891" t="s">
        <v>3335</v>
      </c>
      <c r="C35" s="3892" t="s">
        <v>3223</v>
      </c>
      <c r="D35" s="3893">
        <v>100</v>
      </c>
      <c r="E35" s="3892" t="s">
        <v>3223</v>
      </c>
      <c r="F35" s="3894">
        <f>SUMIF(107:107,E35,108:108)-SUMIF(107:107,C35,108:108)+100</f>
        <v>100</v>
      </c>
      <c r="G35" s="3892" t="s">
        <v>3223</v>
      </c>
      <c r="H35" s="3893">
        <f>SUMIF(107:107,G35,108:108)-SUMIF(107:107,C35,108:108)+100</f>
        <v>100</v>
      </c>
      <c r="I35" s="3892" t="s">
        <v>3223</v>
      </c>
      <c r="J35" s="3893">
        <f>SUMIF(107:107,I35,108:108)-SUMIF(107:107,C35,108:108)+100</f>
        <v>100</v>
      </c>
      <c r="K35" s="3875">
        <v>2</v>
      </c>
      <c r="L35" s="3895"/>
      <c r="M35" s="3896"/>
      <c r="N35" s="3896"/>
      <c r="O35" s="3897"/>
      <c r="P35" s="4180"/>
      <c r="Q35" s="3898" t="str">
        <f t="shared" si="11"/>
        <v>公共部分装修</v>
      </c>
      <c r="R35" s="3899" t="s">
        <v>3032</v>
      </c>
      <c r="S35" s="3900">
        <f t="shared" si="12"/>
        <v>100</v>
      </c>
      <c r="T35" s="3899" t="s">
        <v>3032</v>
      </c>
      <c r="U35" s="3900">
        <f t="shared" si="13"/>
        <v>100</v>
      </c>
      <c r="V35" s="3899" t="s">
        <v>3032</v>
      </c>
      <c r="W35" s="3900">
        <f t="shared" si="14"/>
        <v>100</v>
      </c>
      <c r="X35" s="3901"/>
      <c r="Y35" s="4180"/>
      <c r="Z35" s="3902" t="str">
        <f t="shared" si="15"/>
        <v>公共部分装修</v>
      </c>
      <c r="AA35" s="3902">
        <f t="shared" si="3"/>
        <v>1</v>
      </c>
      <c r="AB35" s="3902">
        <f t="shared" si="4"/>
        <v>1</v>
      </c>
      <c r="AC35" s="3902">
        <f t="shared" si="5"/>
        <v>1</v>
      </c>
    </row>
    <row r="36" spans="1:29" ht="15" hidden="1">
      <c r="A36" s="3890"/>
      <c r="B36" s="3891" t="s">
        <v>3336</v>
      </c>
      <c r="C36" s="3670">
        <v>1</v>
      </c>
      <c r="D36" s="3893">
        <v>100</v>
      </c>
      <c r="E36" s="3670">
        <v>1</v>
      </c>
      <c r="F36" s="3894">
        <f>LOOKUP(E36,110:110,111:111)-LOOKUP(C36,110:110,111:111)+100</f>
        <v>100</v>
      </c>
      <c r="G36" s="3670">
        <v>1</v>
      </c>
      <c r="H36" s="3894">
        <f>LOOKUP(G36,110:110,111:111)-LOOKUP(C36,110:110,111:111)+100</f>
        <v>100</v>
      </c>
      <c r="I36" s="3670">
        <v>1</v>
      </c>
      <c r="J36" s="3893">
        <f>LOOKUP(I36,110:110,111:111)-LOOKUP(C36,110:110,111:111)+100</f>
        <v>100</v>
      </c>
      <c r="K36" s="3875">
        <v>1</v>
      </c>
      <c r="L36" s="3895"/>
      <c r="M36" s="3896"/>
      <c r="N36" s="3896"/>
      <c r="O36" s="3897"/>
      <c r="P36" s="4180"/>
      <c r="Q36" s="3898" t="str">
        <f t="shared" si="11"/>
        <v>成新度</v>
      </c>
      <c r="R36" s="3899" t="s">
        <v>3032</v>
      </c>
      <c r="S36" s="3900">
        <f t="shared" si="12"/>
        <v>100</v>
      </c>
      <c r="T36" s="3899" t="s">
        <v>3032</v>
      </c>
      <c r="U36" s="3900">
        <f t="shared" si="13"/>
        <v>100</v>
      </c>
      <c r="V36" s="3899" t="s">
        <v>3032</v>
      </c>
      <c r="W36" s="3900">
        <f t="shared" si="14"/>
        <v>100</v>
      </c>
      <c r="X36" s="3901"/>
      <c r="Y36" s="4180"/>
      <c r="Z36" s="3902" t="str">
        <f t="shared" si="15"/>
        <v>成新度</v>
      </c>
      <c r="AA36" s="3902">
        <f t="shared" si="3"/>
        <v>1</v>
      </c>
      <c r="AB36" s="3902">
        <f t="shared" si="4"/>
        <v>1</v>
      </c>
      <c r="AC36" s="3902">
        <f t="shared" si="5"/>
        <v>1</v>
      </c>
    </row>
    <row r="37" spans="1:29" s="3563" customFormat="1" ht="15" hidden="1">
      <c r="A37" s="3903"/>
      <c r="B37" s="3904" t="s">
        <v>2562</v>
      </c>
      <c r="C37" s="3892"/>
      <c r="D37" s="3905">
        <v>100</v>
      </c>
      <c r="E37" s="3892"/>
      <c r="F37" s="3894">
        <f>SUMIF(112:112,E37,113:113)-SUMIF(112:112,C37,113:113)+100</f>
        <v>100</v>
      </c>
      <c r="G37" s="3892"/>
      <c r="H37" s="3893">
        <f>SUMIF(112:112,G37,113:113)-SUMIF(112:112,C37,113:113)+100</f>
        <v>100</v>
      </c>
      <c r="I37" s="3892"/>
      <c r="J37" s="3893">
        <f>SUMIF(112:112,I37,113:113)-SUMIF(112:112,C37,113:113)+100</f>
        <v>100</v>
      </c>
      <c r="K37" s="3875"/>
      <c r="L37" s="3906"/>
      <c r="M37" s="3907"/>
      <c r="N37" s="3907"/>
      <c r="O37" s="3908"/>
      <c r="P37" s="4180"/>
      <c r="Q37" s="3909" t="str">
        <f t="shared" si="11"/>
        <v>市政基础设施</v>
      </c>
      <c r="R37" s="3910" t="s">
        <v>3032</v>
      </c>
      <c r="S37" s="3911">
        <f t="shared" si="12"/>
        <v>100</v>
      </c>
      <c r="T37" s="3910" t="s">
        <v>3032</v>
      </c>
      <c r="U37" s="3911">
        <f t="shared" si="13"/>
        <v>100</v>
      </c>
      <c r="V37" s="3910" t="s">
        <v>3032</v>
      </c>
      <c r="W37" s="3911">
        <f t="shared" si="14"/>
        <v>100</v>
      </c>
      <c r="X37" s="3912"/>
      <c r="Y37" s="4180"/>
      <c r="Z37" s="3913" t="str">
        <f t="shared" si="15"/>
        <v>市政基础设施</v>
      </c>
      <c r="AA37" s="3913">
        <f t="shared" si="3"/>
        <v>1</v>
      </c>
      <c r="AB37" s="3913">
        <f t="shared" si="4"/>
        <v>1</v>
      </c>
      <c r="AC37" s="3913">
        <f t="shared" si="5"/>
        <v>1</v>
      </c>
    </row>
    <row r="38" spans="1:29" ht="15">
      <c r="A38" s="3890"/>
      <c r="B38" s="3891" t="s">
        <v>774</v>
      </c>
      <c r="C38" s="3892" t="s">
        <v>3408</v>
      </c>
      <c r="D38" s="3893">
        <v>100</v>
      </c>
      <c r="E38" s="3892" t="s">
        <v>3408</v>
      </c>
      <c r="F38" s="3894">
        <f>SUMIF(114:114,E38,115:115)-SUMIF(114:114,C38,115:115)+100</f>
        <v>100</v>
      </c>
      <c r="G38" s="3892" t="s">
        <v>3408</v>
      </c>
      <c r="H38" s="3893">
        <f>SUMIF(114:114,G38,115:115)-SUMIF(114:114,C38,115:115)+100</f>
        <v>100</v>
      </c>
      <c r="I38" s="3892" t="s">
        <v>3408</v>
      </c>
      <c r="J38" s="3893">
        <f>SUMIF(114:114,I38,115:115)-SUMIF(114:114,C38,115:115)+100</f>
        <v>100</v>
      </c>
      <c r="K38" s="3875">
        <v>2</v>
      </c>
      <c r="L38" s="3895"/>
      <c r="M38" s="3896"/>
      <c r="N38" s="3896"/>
      <c r="O38" s="3897"/>
      <c r="P38" s="4180" t="s">
        <v>551</v>
      </c>
      <c r="Q38" s="3898" t="str">
        <f t="shared" si="11"/>
        <v>业态</v>
      </c>
      <c r="R38" s="3899" t="s">
        <v>3035</v>
      </c>
      <c r="S38" s="3900">
        <f t="shared" si="12"/>
        <v>100</v>
      </c>
      <c r="T38" s="3899" t="s">
        <v>3035</v>
      </c>
      <c r="U38" s="3900">
        <f t="shared" si="13"/>
        <v>100</v>
      </c>
      <c r="V38" s="3899" t="s">
        <v>3035</v>
      </c>
      <c r="W38" s="3900">
        <f t="shared" si="14"/>
        <v>100</v>
      </c>
      <c r="X38" s="3901"/>
      <c r="Y38" s="4180" t="s">
        <v>551</v>
      </c>
      <c r="Z38" s="3902" t="str">
        <f t="shared" si="15"/>
        <v>业态</v>
      </c>
      <c r="AA38" s="3902">
        <f t="shared" si="3"/>
        <v>1</v>
      </c>
      <c r="AB38" s="3902">
        <f t="shared" si="4"/>
        <v>1</v>
      </c>
      <c r="AC38" s="3902">
        <f t="shared" si="5"/>
        <v>1</v>
      </c>
    </row>
    <row r="39" spans="1:29" ht="15">
      <c r="A39" s="3890"/>
      <c r="B39" s="3891" t="s">
        <v>775</v>
      </c>
      <c r="C39" s="3892" t="s">
        <v>3337</v>
      </c>
      <c r="D39" s="3893">
        <v>100</v>
      </c>
      <c r="E39" s="3892" t="s">
        <v>3337</v>
      </c>
      <c r="F39" s="3894">
        <f>SUMIF(116:116,E39,117:117)-SUMIF(116:116,C39,117:117)+100</f>
        <v>100</v>
      </c>
      <c r="G39" s="3892" t="s">
        <v>3337</v>
      </c>
      <c r="H39" s="3893">
        <f>SUMIF(116:116,G39,117:117)-SUMIF(116:116,C39,117:117)+100</f>
        <v>100</v>
      </c>
      <c r="I39" s="3892" t="s">
        <v>3337</v>
      </c>
      <c r="J39" s="3893">
        <f>SUMIF(116:116,I39,117:117)-SUMIF(116:116,C39,117:117)+100</f>
        <v>100</v>
      </c>
      <c r="K39" s="3875">
        <v>2</v>
      </c>
      <c r="L39" s="3895"/>
      <c r="M39" s="3896"/>
      <c r="N39" s="3896"/>
      <c r="O39" s="3897"/>
      <c r="P39" s="4180"/>
      <c r="Q39" s="3898" t="str">
        <f t="shared" si="11"/>
        <v>层高</v>
      </c>
      <c r="R39" s="3899" t="s">
        <v>3035</v>
      </c>
      <c r="S39" s="3900">
        <f t="shared" si="12"/>
        <v>100</v>
      </c>
      <c r="T39" s="3899" t="s">
        <v>3035</v>
      </c>
      <c r="U39" s="3900">
        <f t="shared" si="13"/>
        <v>100</v>
      </c>
      <c r="V39" s="3899" t="s">
        <v>3035</v>
      </c>
      <c r="W39" s="3900">
        <f t="shared" si="14"/>
        <v>100</v>
      </c>
      <c r="X39" s="3901"/>
      <c r="Y39" s="4180"/>
      <c r="Z39" s="3902" t="str">
        <f t="shared" si="15"/>
        <v>层高</v>
      </c>
      <c r="AA39" s="3902">
        <f t="shared" si="3"/>
        <v>1</v>
      </c>
      <c r="AB39" s="3902">
        <f t="shared" si="4"/>
        <v>1</v>
      </c>
      <c r="AC39" s="3902">
        <f t="shared" si="5"/>
        <v>1</v>
      </c>
    </row>
    <row r="40" spans="1:29" ht="15" hidden="1">
      <c r="A40" s="3890"/>
      <c r="B40" s="3891" t="s">
        <v>776</v>
      </c>
      <c r="C40" s="3914"/>
      <c r="D40" s="3893">
        <v>100</v>
      </c>
      <c r="E40" s="3914"/>
      <c r="F40" s="3894">
        <f>SUMIF(118:118,E40,119:119)-SUMIF(118:118,C40,119:119)+100</f>
        <v>100</v>
      </c>
      <c r="G40" s="3914"/>
      <c r="H40" s="3893">
        <f>SUMIF(118:118,G40,119:119)-SUMIF(118:118,C40,119:119)+100</f>
        <v>100</v>
      </c>
      <c r="I40" s="3914"/>
      <c r="J40" s="3893">
        <f>SUMIF(118:118,I40,119:119)-SUMIF(118:118,C40,119:119)+100</f>
        <v>100</v>
      </c>
      <c r="K40" s="3915"/>
      <c r="L40" s="3895"/>
      <c r="M40" s="3896"/>
      <c r="N40" s="3896"/>
      <c r="O40" s="3897"/>
      <c r="P40" s="4180"/>
      <c r="Q40" s="3898" t="str">
        <f t="shared" si="11"/>
        <v>单套建筑面积</v>
      </c>
      <c r="R40" s="3899" t="s">
        <v>3032</v>
      </c>
      <c r="S40" s="3900">
        <f t="shared" si="12"/>
        <v>100</v>
      </c>
      <c r="T40" s="3899" t="s">
        <v>3032</v>
      </c>
      <c r="U40" s="3900">
        <f t="shared" si="13"/>
        <v>100</v>
      </c>
      <c r="V40" s="3899" t="s">
        <v>3032</v>
      </c>
      <c r="W40" s="3900">
        <f t="shared" si="14"/>
        <v>100</v>
      </c>
      <c r="X40" s="3901"/>
      <c r="Y40" s="4180"/>
      <c r="Z40" s="3902" t="str">
        <f t="shared" si="15"/>
        <v>单套建筑面积</v>
      </c>
      <c r="AA40" s="3902">
        <f t="shared" si="3"/>
        <v>1</v>
      </c>
      <c r="AB40" s="3902">
        <f t="shared" si="4"/>
        <v>1</v>
      </c>
      <c r="AC40" s="3902">
        <f t="shared" si="5"/>
        <v>1</v>
      </c>
    </row>
    <row r="41" spans="1:29" s="3678" customFormat="1" ht="15" hidden="1">
      <c r="A41" s="3916"/>
      <c r="B41" s="3894" t="s">
        <v>770</v>
      </c>
      <c r="C41" s="3597"/>
      <c r="D41" s="3893">
        <v>100</v>
      </c>
      <c r="E41" s="3597"/>
      <c r="F41" s="3894">
        <f>SUMIF(120:120,E41,121:121)-SUMIF(120:120,C41,121:121)+100</f>
        <v>100</v>
      </c>
      <c r="G41" s="3597"/>
      <c r="H41" s="3893">
        <f>SUMIF(120:120,G41,121:121)-SUMIF(120:120,C41,121:121)+100</f>
        <v>100</v>
      </c>
      <c r="I41" s="3597"/>
      <c r="J41" s="3893">
        <f>SUMIF(120:120,I41,121:121)-SUMIF(120:120,C41,121:121)+100</f>
        <v>100</v>
      </c>
      <c r="K41" s="3875"/>
      <c r="L41" s="3917"/>
      <c r="M41" s="3918"/>
      <c r="N41" s="3918"/>
      <c r="O41" s="3919"/>
      <c r="P41" s="4180"/>
      <c r="Q41" s="3920" t="str">
        <f t="shared" si="11"/>
        <v>进深比</v>
      </c>
      <c r="R41" s="3921" t="s">
        <v>3035</v>
      </c>
      <c r="S41" s="3922">
        <f t="shared" si="12"/>
        <v>100</v>
      </c>
      <c r="T41" s="3921" t="s">
        <v>3035</v>
      </c>
      <c r="U41" s="3922">
        <f t="shared" si="13"/>
        <v>100</v>
      </c>
      <c r="V41" s="3921" t="s">
        <v>3035</v>
      </c>
      <c r="W41" s="3922">
        <f t="shared" si="14"/>
        <v>100</v>
      </c>
      <c r="X41" s="3923"/>
      <c r="Y41" s="4180"/>
      <c r="Z41" s="3924" t="str">
        <f t="shared" si="15"/>
        <v>进深比</v>
      </c>
      <c r="AA41" s="3902">
        <f t="shared" si="3"/>
        <v>1</v>
      </c>
      <c r="AB41" s="3902">
        <f t="shared" si="4"/>
        <v>1</v>
      </c>
      <c r="AC41" s="3902">
        <f t="shared" si="5"/>
        <v>1</v>
      </c>
    </row>
    <row r="42" spans="1:29" ht="15.75" thickBot="1">
      <c r="A42" s="3890"/>
      <c r="B42" s="3891" t="s">
        <v>756</v>
      </c>
      <c r="C42" s="3892" t="s">
        <v>3226</v>
      </c>
      <c r="D42" s="3893">
        <v>100</v>
      </c>
      <c r="E42" s="3892" t="s">
        <v>3226</v>
      </c>
      <c r="F42" s="3894">
        <f>SUMIF(122:122,E42,123:123)-SUMIF(122:122,C42,123:123)+100</f>
        <v>100</v>
      </c>
      <c r="G42" s="3892" t="s">
        <v>3226</v>
      </c>
      <c r="H42" s="3893">
        <f>SUMIF(122:122,G42,123:123)-SUMIF(122:122,C42,123:123)+100</f>
        <v>100</v>
      </c>
      <c r="I42" s="3892" t="s">
        <v>3226</v>
      </c>
      <c r="J42" s="3893">
        <f>SUMIF(122:122,I42,123:123)-SUMIF(122:122,C42,123:123)+100</f>
        <v>100</v>
      </c>
      <c r="K42" s="3875">
        <v>2</v>
      </c>
      <c r="L42" s="3895"/>
      <c r="M42" s="3896"/>
      <c r="N42" s="3896"/>
      <c r="O42" s="3897"/>
      <c r="P42" s="4180"/>
      <c r="Q42" s="3898" t="str">
        <f t="shared" si="11"/>
        <v>内部装修</v>
      </c>
      <c r="R42" s="3899" t="s">
        <v>3032</v>
      </c>
      <c r="S42" s="3900">
        <f t="shared" si="12"/>
        <v>100</v>
      </c>
      <c r="T42" s="3899" t="s">
        <v>3032</v>
      </c>
      <c r="U42" s="3900">
        <f t="shared" si="13"/>
        <v>100</v>
      </c>
      <c r="V42" s="3899" t="s">
        <v>3032</v>
      </c>
      <c r="W42" s="3900">
        <f t="shared" si="14"/>
        <v>100</v>
      </c>
      <c r="X42" s="3901"/>
      <c r="Y42" s="4180"/>
      <c r="Z42" s="3902" t="str">
        <f t="shared" si="15"/>
        <v>内部装修</v>
      </c>
      <c r="AA42" s="3902">
        <f t="shared" si="3"/>
        <v>1</v>
      </c>
      <c r="AB42" s="3902">
        <f t="shared" si="4"/>
        <v>1</v>
      </c>
      <c r="AC42" s="3902">
        <f t="shared" si="5"/>
        <v>1</v>
      </c>
    </row>
    <row r="43" spans="1:29" ht="27.75" hidden="1" thickBot="1">
      <c r="A43" s="3679"/>
      <c r="B43" s="3581" t="s">
        <v>736</v>
      </c>
      <c r="C43" s="3642"/>
      <c r="D43" s="3598">
        <v>100</v>
      </c>
      <c r="E43" s="3642"/>
      <c r="F43" s="3644">
        <f>SUMIF(124:124,E43,125:125)-SUMIF(124:124,C43,125:125)+100</f>
        <v>100</v>
      </c>
      <c r="G43" s="3642"/>
      <c r="H43" s="3598">
        <f>SUMIF(124:124,G43,125:125)-SUMIF(124:124,C43,125:125)+100</f>
        <v>100</v>
      </c>
      <c r="I43" s="3642"/>
      <c r="J43" s="3598">
        <f>SUMIF(124:124,I43,125:125)-SUMIF(124:124,C43,125:125)+100</f>
        <v>100</v>
      </c>
      <c r="K43" s="3875"/>
      <c r="L43" s="3599"/>
      <c r="M43" s="3543"/>
      <c r="N43" s="3543"/>
      <c r="O43" s="3591"/>
      <c r="P43" s="4180"/>
      <c r="Q43" s="3612" t="str">
        <f t="shared" si="11"/>
        <v>内部装修维护情况</v>
      </c>
      <c r="R43" s="3613" t="s">
        <v>3032</v>
      </c>
      <c r="S43" s="3614">
        <f t="shared" si="12"/>
        <v>100</v>
      </c>
      <c r="T43" s="3613" t="s">
        <v>3032</v>
      </c>
      <c r="U43" s="3614">
        <f t="shared" si="13"/>
        <v>100</v>
      </c>
      <c r="V43" s="3613" t="s">
        <v>3032</v>
      </c>
      <c r="W43" s="3614">
        <f t="shared" si="14"/>
        <v>100</v>
      </c>
      <c r="X43" s="3544"/>
      <c r="Y43" s="4180"/>
      <c r="Z43" s="3615" t="str">
        <f t="shared" si="15"/>
        <v>内部装修维护情况</v>
      </c>
      <c r="AA43" s="3615">
        <f t="shared" si="3"/>
        <v>1</v>
      </c>
      <c r="AB43" s="3615">
        <f t="shared" si="4"/>
        <v>1</v>
      </c>
      <c r="AC43" s="3615">
        <f t="shared" si="5"/>
        <v>1</v>
      </c>
    </row>
    <row r="44" spans="1:29" s="3563" customFormat="1" ht="15.75" hidden="1" thickBot="1">
      <c r="A44" s="3680"/>
      <c r="B44" s="3649">
        <v>111</v>
      </c>
      <c r="C44" s="3670"/>
      <c r="D44" s="3579">
        <v>100</v>
      </c>
      <c r="E44" s="3597"/>
      <c r="F44" s="3581">
        <f>SUMIF(126:126,E44,127:127)-SUMIF(126:126,C44,127:127)+100</f>
        <v>100</v>
      </c>
      <c r="G44" s="3597"/>
      <c r="H44" s="3579">
        <f>SUMIF(126:126,G44,127:127)-SUMIF(126:126,C44,127:127)+100</f>
        <v>100</v>
      </c>
      <c r="I44" s="3597"/>
      <c r="J44" s="3579">
        <f>SUMIF(126:126,I44,127:127)-SUMIF(126:126,C44,127:127)+100</f>
        <v>100</v>
      </c>
      <c r="K44" s="3877"/>
      <c r="L44" s="3557"/>
      <c r="M44" s="3558"/>
      <c r="N44" s="3558"/>
      <c r="O44" s="3575"/>
      <c r="P44" s="4180"/>
      <c r="Q44" s="3576">
        <f t="shared" si="11"/>
        <v>111</v>
      </c>
      <c r="R44" s="3559" t="s">
        <v>3035</v>
      </c>
      <c r="S44" s="3560">
        <f t="shared" si="12"/>
        <v>100</v>
      </c>
      <c r="T44" s="3559" t="s">
        <v>3035</v>
      </c>
      <c r="U44" s="3560">
        <f t="shared" si="13"/>
        <v>100</v>
      </c>
      <c r="V44" s="3559" t="s">
        <v>3035</v>
      </c>
      <c r="W44" s="3560">
        <f t="shared" si="14"/>
        <v>100</v>
      </c>
      <c r="X44" s="3561"/>
      <c r="Y44" s="4180"/>
      <c r="Z44" s="3562">
        <f t="shared" si="15"/>
        <v>111</v>
      </c>
      <c r="AA44" s="3562">
        <f t="shared" si="3"/>
        <v>1</v>
      </c>
      <c r="AB44" s="3562">
        <f t="shared" si="4"/>
        <v>1</v>
      </c>
      <c r="AC44" s="3562">
        <f t="shared" si="5"/>
        <v>1</v>
      </c>
    </row>
    <row r="45" spans="1:29" ht="15.75" hidden="1" thickBot="1">
      <c r="A45" s="3679"/>
      <c r="B45" s="3649">
        <v>111</v>
      </c>
      <c r="C45" s="3597"/>
      <c r="D45" s="3598">
        <v>100</v>
      </c>
      <c r="E45" s="3597"/>
      <c r="F45" s="3644">
        <f>SUMIF(128:128,E45,129:129)-SUMIF(128:128,C45,129:129)+100</f>
        <v>100</v>
      </c>
      <c r="G45" s="3597"/>
      <c r="H45" s="3598">
        <f>SUMIF(128:128,G45,129:129)-SUMIF(128:128,C45,129:129)+100</f>
        <v>100</v>
      </c>
      <c r="I45" s="3597"/>
      <c r="J45" s="3598">
        <f>SUMIF(128:128,I45,129:129)-SUMIF(128:128,C45,129:129)+100</f>
        <v>100</v>
      </c>
      <c r="K45" s="3877"/>
      <c r="L45" s="3599"/>
      <c r="M45" s="3543"/>
      <c r="N45" s="3543"/>
      <c r="O45" s="3591"/>
      <c r="P45" s="4180"/>
      <c r="Q45" s="3612">
        <f t="shared" si="11"/>
        <v>111</v>
      </c>
      <c r="R45" s="3613" t="s">
        <v>3035</v>
      </c>
      <c r="S45" s="3614">
        <f t="shared" si="12"/>
        <v>100</v>
      </c>
      <c r="T45" s="3613" t="s">
        <v>3035</v>
      </c>
      <c r="U45" s="3614">
        <f t="shared" si="13"/>
        <v>100</v>
      </c>
      <c r="V45" s="3613" t="s">
        <v>3035</v>
      </c>
      <c r="W45" s="3614">
        <f t="shared" si="14"/>
        <v>100</v>
      </c>
      <c r="X45" s="3544"/>
      <c r="Y45" s="4180"/>
      <c r="Z45" s="3615">
        <f t="shared" si="15"/>
        <v>111</v>
      </c>
      <c r="AA45" s="3615">
        <f t="shared" si="3"/>
        <v>1</v>
      </c>
      <c r="AB45" s="3615">
        <f t="shared" si="4"/>
        <v>1</v>
      </c>
      <c r="AC45" s="3615">
        <f t="shared" si="5"/>
        <v>1</v>
      </c>
    </row>
    <row r="46" spans="1:29" ht="15.75" hidden="1" thickBot="1">
      <c r="A46" s="3682"/>
      <c r="B46" s="3683">
        <v>111</v>
      </c>
      <c r="C46" s="3602"/>
      <c r="D46" s="3603">
        <v>100</v>
      </c>
      <c r="E46" s="3597"/>
      <c r="F46" s="3604">
        <f>SUMIF(130:130,E46,131:131)-SUMIF(130:130,C46,131:131)+100</f>
        <v>100</v>
      </c>
      <c r="G46" s="3597"/>
      <c r="H46" s="3603">
        <f>SUMIF(130:130,G46,131:131)-SUMIF(130:130,C46,131:131)+100</f>
        <v>100</v>
      </c>
      <c r="I46" s="3597"/>
      <c r="J46" s="3603">
        <f>SUMIF(130:130,I46,131:131)-SUMIF(130:130,C46,131:131)+100</f>
        <v>100</v>
      </c>
      <c r="K46" s="3877"/>
      <c r="L46" s="3599"/>
      <c r="M46" s="3543"/>
      <c r="N46" s="3543"/>
      <c r="O46" s="3591"/>
      <c r="P46" s="4181"/>
      <c r="Q46" s="3612">
        <f t="shared" si="11"/>
        <v>111</v>
      </c>
      <c r="R46" s="3613" t="s">
        <v>3035</v>
      </c>
      <c r="S46" s="3614">
        <f t="shared" si="12"/>
        <v>100</v>
      </c>
      <c r="T46" s="3613" t="s">
        <v>3035</v>
      </c>
      <c r="U46" s="3614">
        <f t="shared" si="13"/>
        <v>100</v>
      </c>
      <c r="V46" s="3613" t="s">
        <v>3035</v>
      </c>
      <c r="W46" s="3614">
        <f t="shared" si="14"/>
        <v>100</v>
      </c>
      <c r="X46" s="3544"/>
      <c r="Y46" s="4181"/>
      <c r="Z46" s="3615">
        <f t="shared" si="15"/>
        <v>111</v>
      </c>
      <c r="AA46" s="3615">
        <f t="shared" si="3"/>
        <v>1</v>
      </c>
      <c r="AB46" s="3615">
        <f t="shared" si="4"/>
        <v>1</v>
      </c>
      <c r="AC46" s="3615">
        <f t="shared" si="5"/>
        <v>1</v>
      </c>
    </row>
    <row r="47" spans="1:29" ht="15">
      <c r="A47" s="3684" t="s">
        <v>737</v>
      </c>
      <c r="B47" s="3685"/>
      <c r="C47" s="3686" t="s">
        <v>1766</v>
      </c>
      <c r="D47" s="3687"/>
      <c r="E47" s="3688">
        <v>17000</v>
      </c>
      <c r="F47" s="3689"/>
      <c r="G47" s="3925">
        <v>20000</v>
      </c>
      <c r="H47" s="3691"/>
      <c r="I47" s="3688">
        <v>20000</v>
      </c>
      <c r="J47" s="3691"/>
      <c r="K47" s="3614"/>
      <c r="L47" s="3693"/>
      <c r="M47" s="3694"/>
      <c r="N47" s="3543"/>
      <c r="O47" s="3694"/>
      <c r="P47" s="4175" t="str">
        <f>A47</f>
        <v>成交单价（元/平方米）</v>
      </c>
      <c r="Q47" s="4175"/>
      <c r="R47" s="4171">
        <f>E47</f>
        <v>17000</v>
      </c>
      <c r="S47" s="4171"/>
      <c r="T47" s="4171">
        <f>G47</f>
        <v>20000</v>
      </c>
      <c r="U47" s="4171"/>
      <c r="V47" s="4171">
        <f>I47</f>
        <v>20000</v>
      </c>
      <c r="W47" s="4171"/>
      <c r="X47" s="3695"/>
      <c r="Y47" s="3696"/>
      <c r="Z47" s="3695"/>
      <c r="AA47" s="3695"/>
      <c r="AB47" s="3695"/>
      <c r="AC47" s="3695"/>
    </row>
    <row r="48" spans="1:29" ht="15.75" thickBot="1">
      <c r="A48" s="3697" t="s">
        <v>3338</v>
      </c>
      <c r="B48" s="3698"/>
      <c r="C48" s="3699">
        <f>R49</f>
        <v>18726</v>
      </c>
      <c r="D48" s="3700"/>
      <c r="E48" s="3701">
        <f>R48</f>
        <v>17347</v>
      </c>
      <c r="F48" s="3701"/>
      <c r="G48" s="3699">
        <f>T48</f>
        <v>19608</v>
      </c>
      <c r="H48" s="3700"/>
      <c r="I48" s="3701">
        <f>V48</f>
        <v>19223</v>
      </c>
      <c r="J48" s="3700"/>
      <c r="K48" s="3926"/>
      <c r="L48" s="3693"/>
      <c r="M48" s="3694"/>
      <c r="N48" s="3543"/>
      <c r="O48" s="3694"/>
      <c r="P48" s="4175" t="str">
        <f>A48</f>
        <v>比较价格（元/平方米）</v>
      </c>
      <c r="Q48" s="4175"/>
      <c r="R48" s="4171">
        <f>IF(F1="售价",ROUND(PRODUCT(R47,AA7:AA46),0),ROUND(PRODUCT(R47,AA7:AA46),1))</f>
        <v>17347</v>
      </c>
      <c r="S48" s="4171"/>
      <c r="T48" s="4171">
        <f>IF(F1="售价",ROUND(PRODUCT(T47,AB7:AB46),0),ROUND(PRODUCT(T47,AB7:AB46),1))</f>
        <v>19608</v>
      </c>
      <c r="U48" s="4171"/>
      <c r="V48" s="4171">
        <f>IF(F1="售价",ROUND(PRODUCT(V47,AC7:AC46),0),ROUND(PRODUCT(V47,AC7:AC46),1))</f>
        <v>19223</v>
      </c>
      <c r="W48" s="4171"/>
      <c r="X48" s="3695"/>
      <c r="Y48" s="3695"/>
      <c r="Z48" s="3695"/>
      <c r="AA48" s="3695"/>
      <c r="AB48" s="3695"/>
      <c r="AC48" s="3695"/>
    </row>
    <row r="49" spans="1:29" ht="15.75" thickBot="1">
      <c r="A49" s="3703" t="s">
        <v>3339</v>
      </c>
      <c r="B49" s="3704"/>
      <c r="C49" s="3550">
        <f>R49</f>
        <v>18726</v>
      </c>
      <c r="D49" s="3550"/>
      <c r="E49" s="3550"/>
      <c r="F49" s="3550"/>
      <c r="G49" s="3550"/>
      <c r="H49" s="3550"/>
      <c r="I49" s="3550"/>
      <c r="J49" s="3550"/>
      <c r="K49" s="3612"/>
      <c r="L49" s="3693"/>
      <c r="M49" s="3694"/>
      <c r="N49" s="3543"/>
      <c r="O49" s="3694"/>
      <c r="P49" s="4182" t="str">
        <f>A49</f>
        <v>估价对象商业用房的比较价格（楼面单价，元/平方米）</v>
      </c>
      <c r="Q49" s="4183"/>
      <c r="R49" s="4184">
        <f>IF(F1="售价",ROUND(AVERAGE(R48:V48),0),ROUND(AVERAGE(R48:V48),1))</f>
        <v>18726</v>
      </c>
      <c r="S49" s="4184"/>
      <c r="T49" s="4184"/>
      <c r="U49" s="4184"/>
      <c r="V49" s="4184"/>
      <c r="W49" s="4184"/>
      <c r="X49" s="3695"/>
      <c r="Y49" s="3695"/>
      <c r="Z49" s="3695"/>
      <c r="AA49" s="3695"/>
      <c r="AB49" s="3695"/>
      <c r="AC49" s="3695"/>
    </row>
    <row r="50" spans="1:29">
      <c r="A50" s="3694"/>
      <c r="B50" s="3694"/>
      <c r="C50" s="3694"/>
      <c r="D50" s="3694"/>
      <c r="E50" s="3694"/>
      <c r="F50" s="3694"/>
      <c r="G50" s="3694"/>
      <c r="H50" s="3694"/>
      <c r="I50" s="3694"/>
      <c r="J50" s="3694"/>
      <c r="K50" s="3694"/>
      <c r="L50" s="3694"/>
      <c r="M50" s="3694"/>
      <c r="N50" s="3694"/>
      <c r="O50" s="3694"/>
      <c r="P50" s="3694"/>
      <c r="Q50" s="3694"/>
      <c r="R50" s="3694"/>
      <c r="S50" s="3694"/>
      <c r="T50" s="3694"/>
      <c r="U50" s="3694"/>
      <c r="V50" s="3694"/>
      <c r="W50" s="3694"/>
      <c r="X50" s="3694"/>
      <c r="Y50" s="3694"/>
      <c r="Z50" s="3694"/>
      <c r="AA50" s="3694"/>
      <c r="AB50" s="3694"/>
      <c r="AC50" s="3694"/>
    </row>
    <row r="51" spans="1:29">
      <c r="A51" s="3694"/>
      <c r="B51" s="3694"/>
      <c r="C51" s="3694"/>
      <c r="D51" s="3694"/>
      <c r="E51" s="3694"/>
      <c r="F51" s="3694"/>
      <c r="G51" s="3694"/>
      <c r="H51" s="3694"/>
      <c r="I51" s="3694"/>
      <c r="J51" s="3694"/>
      <c r="K51" s="3694"/>
      <c r="L51" s="3694"/>
      <c r="M51" s="3694"/>
      <c r="N51" s="3694"/>
      <c r="O51" s="3694"/>
      <c r="P51" s="3694"/>
      <c r="Q51" s="3694"/>
      <c r="R51" s="3694"/>
      <c r="S51" s="3694"/>
      <c r="T51" s="3694"/>
      <c r="U51" s="3694"/>
      <c r="V51" s="3694"/>
      <c r="W51" s="3694"/>
      <c r="X51" s="3694"/>
      <c r="Y51" s="3694"/>
      <c r="Z51" s="3694"/>
      <c r="AA51" s="3694"/>
      <c r="AB51" s="3694"/>
      <c r="AC51" s="3694"/>
    </row>
    <row r="52" spans="1:29" ht="13.5" customHeight="1">
      <c r="A52" s="3694"/>
      <c r="B52" s="3694"/>
      <c r="C52" s="3705" t="s">
        <v>3340</v>
      </c>
      <c r="D52" s="3706"/>
      <c r="E52" s="3613">
        <f>IF(E47&lt;E48,E48/E47-1,E47/E48-1)</f>
        <v>2.0411764705882351E-2</v>
      </c>
      <c r="F52" s="3707" t="str">
        <f>IF(OR(E52&gt;=0.3,E52&lt;=-0.3),"超过30%","")</f>
        <v/>
      </c>
      <c r="G52" s="3613">
        <f>IF(G47&lt;G48,G48/G47-1,G47/G48-1)</f>
        <v>1.9991840065279431E-2</v>
      </c>
      <c r="H52" s="3707" t="str">
        <f>IF(OR(G52&gt;=0.3,G52&lt;=-0.3),"超过30%","")</f>
        <v/>
      </c>
      <c r="I52" s="3613">
        <f>IF(I47&lt;I48,I48/I47-1,I47/I48-1)</f>
        <v>4.0420329813244615E-2</v>
      </c>
      <c r="J52" s="3707" t="str">
        <f>IF(OR(I52&gt;=0.3,I52&lt;=-0.3),"超过30%","")</f>
        <v/>
      </c>
      <c r="K52" s="3694"/>
      <c r="L52" s="3694"/>
      <c r="M52" s="3694"/>
      <c r="N52" s="3694"/>
      <c r="O52" s="3694"/>
      <c r="P52" s="3694"/>
      <c r="Q52" s="3694"/>
      <c r="R52" s="3694"/>
      <c r="S52" s="3694"/>
      <c r="T52" s="3694"/>
      <c r="U52" s="3694"/>
      <c r="V52" s="3694"/>
      <c r="W52" s="3694"/>
      <c r="X52" s="3694"/>
      <c r="Y52" s="3694"/>
      <c r="Z52" s="3694"/>
      <c r="AA52" s="3694"/>
      <c r="AB52" s="3694"/>
      <c r="AC52" s="3694"/>
    </row>
    <row r="53" spans="1:29" ht="13.5" customHeight="1">
      <c r="A53" s="3694"/>
      <c r="B53" s="3694"/>
      <c r="C53" s="3705" t="s">
        <v>3341</v>
      </c>
      <c r="D53" s="3708"/>
      <c r="E53" s="3613">
        <f>IF(E48&lt;G48,G48/E48-1,E48/G48-1)</f>
        <v>0.13033953997809422</v>
      </c>
      <c r="F53" s="3707" t="str">
        <f>IF(OR(E53&gt;=0.2,E53&lt;=-0.2),"超过20%","")</f>
        <v/>
      </c>
      <c r="G53" s="3613">
        <f>IF(G48&lt;I48,I48/G48-1,G48/I48-1)</f>
        <v>2.0028091348905042E-2</v>
      </c>
      <c r="H53" s="3707" t="str">
        <f>IF(OR(G53&gt;=0.2,G53&lt;=-0.2),"超过20%","")</f>
        <v/>
      </c>
      <c r="I53" s="3613">
        <f>IF(I48&lt;E48,E48/I48-1,I48/E48-1)</f>
        <v>0.10814550066293882</v>
      </c>
      <c r="J53" s="3707" t="str">
        <f>IF(OR(I53&gt;=0.2,I53&lt;=-0.2),"超过20%","")</f>
        <v/>
      </c>
      <c r="K53" s="3694"/>
      <c r="L53" s="3694"/>
      <c r="M53" s="3694"/>
      <c r="N53" s="3694"/>
      <c r="O53" s="3694"/>
      <c r="P53" s="3694"/>
      <c r="Q53" s="3694"/>
      <c r="R53" s="3694"/>
      <c r="S53" s="3694"/>
      <c r="T53" s="3694"/>
      <c r="U53" s="3694"/>
      <c r="V53" s="3694"/>
      <c r="W53" s="3694"/>
      <c r="X53" s="3694"/>
      <c r="Y53" s="3694"/>
      <c r="Z53" s="3694"/>
      <c r="AA53" s="3694"/>
      <c r="AB53" s="3694"/>
      <c r="AC53" s="3694"/>
    </row>
    <row r="54" spans="1:29" s="3710" customFormat="1" ht="13.5" customHeight="1">
      <c r="A54" s="3709"/>
      <c r="B54" s="3709"/>
      <c r="C54" s="3705" t="s">
        <v>3342</v>
      </c>
      <c r="D54" s="3708"/>
      <c r="E54" s="3613">
        <f>IF(E47&lt;G47,G47/E47-1,E47/G47-1)</f>
        <v>0.17647058823529416</v>
      </c>
      <c r="F54" s="3707" t="str">
        <f>IF(OR(E54&gt;=0.3,E54&lt;=-0.3),"超过30%","")</f>
        <v/>
      </c>
      <c r="G54" s="3613">
        <f>IF(G47&lt;I47,I47/G47-1,G47/I47-1)</f>
        <v>0</v>
      </c>
      <c r="H54" s="3707" t="str">
        <f>IF(OR(G54&gt;=0.3,G54&lt;=-0.3),"超过30%","")</f>
        <v/>
      </c>
      <c r="I54" s="3613">
        <f>IF(I47&lt;E47,E47/I47-1,I47/E47-1)</f>
        <v>0.17647058823529416</v>
      </c>
      <c r="J54" s="3707" t="str">
        <f>IF(OR(I54&gt;=0.3,I54&lt;=-0.3),"超过30%","")</f>
        <v/>
      </c>
      <c r="K54" s="3709"/>
      <c r="L54" s="3709"/>
      <c r="M54" s="3709"/>
      <c r="N54" s="3709"/>
      <c r="O54" s="3709"/>
      <c r="P54" s="3709"/>
      <c r="Q54" s="3709"/>
      <c r="R54" s="3709"/>
      <c r="S54" s="3709"/>
      <c r="T54" s="3709"/>
      <c r="U54" s="3709"/>
      <c r="V54" s="3709"/>
      <c r="W54" s="3709"/>
      <c r="X54" s="3709"/>
      <c r="Y54" s="3709"/>
      <c r="Z54" s="3709"/>
      <c r="AA54" s="3709"/>
      <c r="AB54" s="3709"/>
      <c r="AC54" s="3709"/>
    </row>
    <row r="55" spans="1:29" s="3710" customFormat="1">
      <c r="A55" s="3709"/>
      <c r="B55" s="3694"/>
      <c r="C55" s="3694"/>
      <c r="D55" s="3709"/>
      <c r="E55" s="3709"/>
      <c r="F55" s="3709"/>
      <c r="G55" s="3709"/>
      <c r="H55" s="3709"/>
      <c r="I55" s="3709"/>
      <c r="J55" s="3709"/>
      <c r="K55" s="3709"/>
      <c r="L55" s="3709"/>
      <c r="M55" s="3709"/>
      <c r="N55" s="3709"/>
      <c r="O55" s="3709"/>
      <c r="P55" s="3709"/>
      <c r="Q55" s="3709"/>
      <c r="R55" s="3709"/>
      <c r="S55" s="3709"/>
      <c r="T55" s="3709"/>
      <c r="U55" s="3709"/>
      <c r="V55" s="3709"/>
      <c r="W55" s="3709"/>
      <c r="X55" s="3709"/>
      <c r="Y55" s="3709"/>
      <c r="Z55" s="3709"/>
      <c r="AA55" s="3709"/>
      <c r="AB55" s="3709"/>
      <c r="AC55" s="3709"/>
    </row>
    <row r="56" spans="1:29">
      <c r="A56" s="3694"/>
      <c r="B56" s="3694"/>
      <c r="C56" s="3694"/>
      <c r="D56" s="3694"/>
      <c r="E56" s="3694"/>
      <c r="F56" s="3694"/>
      <c r="G56" s="3694"/>
      <c r="H56" s="3694"/>
      <c r="I56" s="3694"/>
      <c r="J56" s="3694"/>
      <c r="K56" s="3694"/>
      <c r="L56" s="3694"/>
      <c r="M56" s="3694"/>
      <c r="N56" s="3694"/>
      <c r="O56" s="3694"/>
      <c r="P56" s="3694"/>
      <c r="Q56" s="3694"/>
      <c r="R56" s="3694"/>
      <c r="S56" s="3694"/>
      <c r="T56" s="3694"/>
      <c r="U56" s="3694"/>
      <c r="V56" s="3694"/>
      <c r="W56" s="3694"/>
      <c r="X56" s="3694"/>
      <c r="Y56" s="3694"/>
      <c r="Z56" s="3694"/>
      <c r="AA56" s="3694"/>
      <c r="AB56" s="3694"/>
      <c r="AC56" s="3694"/>
    </row>
    <row r="57" spans="1:29" ht="21.75" thickBot="1">
      <c r="A57" s="3711" t="s">
        <v>3343</v>
      </c>
      <c r="B57" s="3695"/>
      <c r="C57" s="3712"/>
      <c r="D57" s="3712"/>
      <c r="E57" s="3712"/>
      <c r="F57" s="3713"/>
      <c r="G57" s="3713"/>
      <c r="H57" s="3712"/>
      <c r="I57" s="3712"/>
      <c r="J57" s="3712"/>
      <c r="K57" s="3713"/>
      <c r="L57" s="3712"/>
      <c r="M57" s="3712"/>
      <c r="N57" s="3712"/>
      <c r="O57" s="3712"/>
      <c r="P57" s="3714"/>
      <c r="Q57" s="3557"/>
      <c r="R57" s="3694"/>
      <c r="S57" s="3694"/>
      <c r="T57" s="3694"/>
      <c r="U57" s="3694"/>
      <c r="V57" s="3694"/>
      <c r="W57" s="3694"/>
      <c r="X57" s="3694"/>
      <c r="Y57" s="3694"/>
      <c r="Z57" s="3694"/>
      <c r="AA57" s="3694"/>
      <c r="AB57" s="3694"/>
      <c r="AC57" s="3694"/>
    </row>
    <row r="58" spans="1:29" s="3563" customFormat="1" ht="15">
      <c r="A58" s="3715" t="s">
        <v>3030</v>
      </c>
      <c r="B58" s="3716"/>
      <c r="C58" s="3927" t="str">
        <f>YEAR(C7)&amp;"-"&amp;MONTH(C7)</f>
        <v>2017-7</v>
      </c>
      <c r="D58" s="3717">
        <f>EDATE(C58,-1)</f>
        <v>42887</v>
      </c>
      <c r="E58" s="3717">
        <f t="shared" ref="E58:O58" si="16">EDATE(D58,-1)</f>
        <v>42856</v>
      </c>
      <c r="F58" s="3717">
        <f t="shared" si="16"/>
        <v>42826</v>
      </c>
      <c r="G58" s="3717">
        <f t="shared" si="16"/>
        <v>42795</v>
      </c>
      <c r="H58" s="3717">
        <f t="shared" si="16"/>
        <v>42767</v>
      </c>
      <c r="I58" s="3717">
        <f t="shared" si="16"/>
        <v>42736</v>
      </c>
      <c r="J58" s="3717">
        <f t="shared" si="16"/>
        <v>42705</v>
      </c>
      <c r="K58" s="3717">
        <f t="shared" si="16"/>
        <v>42675</v>
      </c>
      <c r="L58" s="3717">
        <f t="shared" si="16"/>
        <v>42644</v>
      </c>
      <c r="M58" s="3717">
        <f t="shared" si="16"/>
        <v>42614</v>
      </c>
      <c r="N58" s="3717">
        <f t="shared" si="16"/>
        <v>42583</v>
      </c>
      <c r="O58" s="3717">
        <f t="shared" si="16"/>
        <v>42552</v>
      </c>
      <c r="P58" s="3558"/>
      <c r="Q58" s="3718"/>
      <c r="R58" s="3718"/>
      <c r="S58" s="3718"/>
      <c r="T58" s="3718"/>
      <c r="U58" s="3718"/>
      <c r="V58" s="3718"/>
      <c r="W58" s="3718"/>
      <c r="X58" s="3718"/>
      <c r="Y58" s="3718"/>
      <c r="Z58" s="3718"/>
      <c r="AA58" s="3718"/>
      <c r="AB58" s="3718"/>
      <c r="AC58" s="3718"/>
    </row>
    <row r="59" spans="1:29" s="3563" customFormat="1" ht="15">
      <c r="A59" s="3719"/>
      <c r="B59" s="3720"/>
      <c r="C59" s="3721">
        <v>100</v>
      </c>
      <c r="D59" s="3722"/>
      <c r="E59" s="3722"/>
      <c r="F59" s="3722"/>
      <c r="G59" s="3722"/>
      <c r="H59" s="3722"/>
      <c r="I59" s="3722"/>
      <c r="J59" s="3722"/>
      <c r="K59" s="3722"/>
      <c r="L59" s="3722"/>
      <c r="M59" s="3928"/>
      <c r="N59" s="3722"/>
      <c r="O59" s="3736"/>
      <c r="P59" s="3557"/>
      <c r="Q59" s="3718"/>
      <c r="R59" s="3718"/>
      <c r="S59" s="3718"/>
      <c r="T59" s="3718"/>
      <c r="U59" s="3718"/>
      <c r="V59" s="3718"/>
      <c r="W59" s="3718"/>
      <c r="X59" s="3718"/>
      <c r="Y59" s="3718"/>
      <c r="Z59" s="3718"/>
      <c r="AA59" s="3718"/>
      <c r="AB59" s="3718"/>
      <c r="AC59" s="3718"/>
    </row>
    <row r="60" spans="1:29" s="3563" customFormat="1" ht="15.75" thickBot="1">
      <c r="A60" s="3723" t="s">
        <v>3344</v>
      </c>
      <c r="B60" s="3724"/>
      <c r="C60" s="3725"/>
      <c r="D60" s="3726"/>
      <c r="E60" s="3726"/>
      <c r="F60" s="3726"/>
      <c r="G60" s="3726"/>
      <c r="H60" s="3726"/>
      <c r="I60" s="3726"/>
      <c r="J60" s="3726"/>
      <c r="K60" s="3726"/>
      <c r="L60" s="3726"/>
      <c r="M60" s="3727"/>
      <c r="N60" s="3726"/>
      <c r="O60" s="3728"/>
      <c r="P60" s="3557"/>
      <c r="Q60" s="3557"/>
      <c r="R60" s="3718"/>
      <c r="S60" s="3718"/>
      <c r="T60" s="3718"/>
      <c r="U60" s="3718"/>
      <c r="V60" s="3718"/>
      <c r="W60" s="3718"/>
      <c r="X60" s="3718"/>
      <c r="Y60" s="3718"/>
      <c r="Z60" s="3718"/>
      <c r="AA60" s="3718"/>
      <c r="AB60" s="3718"/>
      <c r="AC60" s="3718"/>
    </row>
    <row r="61" spans="1:29" s="3563" customFormat="1" ht="15">
      <c r="A61" s="3729" t="s">
        <v>3033</v>
      </c>
      <c r="B61" s="3720"/>
      <c r="C61" s="3730" t="s">
        <v>3316</v>
      </c>
      <c r="D61" s="3731"/>
      <c r="E61" s="3731"/>
      <c r="F61" s="3731"/>
      <c r="G61" s="3731"/>
      <c r="H61" s="3731"/>
      <c r="I61" s="3731"/>
      <c r="J61" s="3731"/>
      <c r="K61" s="3731"/>
      <c r="L61" s="3732"/>
      <c r="M61" s="3733"/>
      <c r="N61" s="3557"/>
      <c r="O61" s="3557"/>
      <c r="P61" s="3734"/>
      <c r="Q61" s="3557"/>
      <c r="R61" s="3718"/>
      <c r="S61" s="3718"/>
      <c r="T61" s="3718"/>
      <c r="U61" s="3718"/>
      <c r="V61" s="3718"/>
      <c r="W61" s="3718"/>
      <c r="X61" s="3718"/>
      <c r="Y61" s="3718"/>
      <c r="Z61" s="3718"/>
      <c r="AA61" s="3718"/>
      <c r="AB61" s="3718"/>
      <c r="AC61" s="3718"/>
    </row>
    <row r="62" spans="1:29" s="3563" customFormat="1" ht="15.75" thickBot="1">
      <c r="A62" s="3729"/>
      <c r="B62" s="3720"/>
      <c r="C62" s="3735">
        <v>100</v>
      </c>
      <c r="D62" s="3722"/>
      <c r="E62" s="3722"/>
      <c r="F62" s="3722"/>
      <c r="G62" s="3722"/>
      <c r="H62" s="3722"/>
      <c r="I62" s="3722"/>
      <c r="J62" s="3722"/>
      <c r="K62" s="3722"/>
      <c r="L62" s="3722"/>
      <c r="M62" s="3736"/>
      <c r="N62" s="3557"/>
      <c r="O62" s="3557"/>
      <c r="P62" s="3557"/>
      <c r="Q62" s="3557"/>
      <c r="R62" s="3718"/>
      <c r="S62" s="3718"/>
      <c r="T62" s="3718"/>
      <c r="U62" s="3718"/>
      <c r="V62" s="3718"/>
      <c r="W62" s="3718"/>
      <c r="X62" s="3718"/>
      <c r="Y62" s="3718"/>
      <c r="Z62" s="3718"/>
      <c r="AA62" s="3718"/>
      <c r="AB62" s="3718"/>
      <c r="AC62" s="3929"/>
    </row>
    <row r="63" spans="1:29">
      <c r="A63" s="3737" t="s">
        <v>3345</v>
      </c>
      <c r="B63" s="3738" t="s">
        <v>3346</v>
      </c>
      <c r="C63" s="3739" t="str">
        <f>C9</f>
        <v>商业</v>
      </c>
      <c r="D63" s="3740"/>
      <c r="E63" s="3740"/>
      <c r="F63" s="3740"/>
      <c r="G63" s="3740"/>
      <c r="H63" s="3740"/>
      <c r="I63" s="3740"/>
      <c r="J63" s="3740"/>
      <c r="K63" s="3741"/>
      <c r="L63" s="3742"/>
      <c r="M63" s="3743"/>
      <c r="N63" s="3599"/>
      <c r="O63" s="3599"/>
      <c r="P63" s="3557"/>
      <c r="Q63" s="3557"/>
      <c r="R63" s="3694"/>
      <c r="S63" s="3694"/>
      <c r="T63" s="3694"/>
      <c r="U63" s="3694"/>
      <c r="V63" s="3694"/>
      <c r="W63" s="3694"/>
      <c r="X63" s="3694"/>
      <c r="Y63" s="3694"/>
      <c r="Z63" s="3694"/>
      <c r="AA63" s="3694"/>
      <c r="AB63" s="3694"/>
      <c r="AC63" s="3694"/>
    </row>
    <row r="64" spans="1:29" ht="15.75" thickBot="1">
      <c r="A64" s="3616"/>
      <c r="B64" s="3744"/>
      <c r="C64" s="3745"/>
      <c r="D64" s="3745"/>
      <c r="E64" s="3745"/>
      <c r="F64" s="3745"/>
      <c r="G64" s="3745"/>
      <c r="H64" s="3745"/>
      <c r="I64" s="3745"/>
      <c r="J64" s="3745"/>
      <c r="K64" s="3745"/>
      <c r="L64" s="3745"/>
      <c r="M64" s="3771"/>
      <c r="N64" s="3748"/>
      <c r="O64" s="3748"/>
      <c r="P64" s="3557"/>
      <c r="Q64" s="3557"/>
      <c r="R64" s="3694"/>
      <c r="S64" s="3694"/>
      <c r="T64" s="3694"/>
      <c r="U64" s="3694"/>
      <c r="V64" s="3694"/>
      <c r="W64" s="3694"/>
      <c r="X64" s="3694"/>
      <c r="Y64" s="3694"/>
      <c r="Z64" s="3694"/>
      <c r="AA64" s="3694"/>
      <c r="AB64" s="3694"/>
      <c r="AC64" s="3694"/>
    </row>
    <row r="65" spans="1:29" ht="27.75" thickTop="1">
      <c r="A65" s="3616"/>
      <c r="B65" s="3749" t="s">
        <v>3347</v>
      </c>
      <c r="C65" s="3750" t="s">
        <v>3348</v>
      </c>
      <c r="D65" s="3750" t="s">
        <v>3349</v>
      </c>
      <c r="E65" s="3750" t="s">
        <v>3350</v>
      </c>
      <c r="F65" s="3750" t="s">
        <v>3351</v>
      </c>
      <c r="G65" s="3750" t="s">
        <v>3352</v>
      </c>
      <c r="H65" s="3750" t="s">
        <v>3353</v>
      </c>
      <c r="I65" s="3750" t="s">
        <v>3354</v>
      </c>
      <c r="J65" s="3750"/>
      <c r="K65" s="3751"/>
      <c r="L65" s="3752"/>
      <c r="M65" s="3753"/>
      <c r="N65" s="3599"/>
      <c r="O65" s="3599"/>
      <c r="P65" s="3557"/>
      <c r="Q65" s="3557"/>
      <c r="R65" s="3694"/>
      <c r="S65" s="3694"/>
      <c r="T65" s="3694"/>
      <c r="U65" s="3694"/>
      <c r="V65" s="3694"/>
      <c r="W65" s="3694"/>
      <c r="X65" s="3694"/>
      <c r="Y65" s="3694"/>
      <c r="Z65" s="3694"/>
      <c r="AA65" s="3694"/>
      <c r="AB65" s="3694"/>
      <c r="AC65" s="3694"/>
    </row>
    <row r="66" spans="1:29" ht="15.75" thickBot="1">
      <c r="A66" s="3616"/>
      <c r="B66" s="3754"/>
      <c r="C66" s="3755" t="s">
        <v>3355</v>
      </c>
      <c r="D66" s="3755" t="s">
        <v>3355</v>
      </c>
      <c r="E66" s="3755" t="s">
        <v>3355</v>
      </c>
      <c r="F66" s="3755">
        <v>100</v>
      </c>
      <c r="G66" s="3755">
        <f>F66-$K10</f>
        <v>99</v>
      </c>
      <c r="H66" s="3755">
        <f>G66-$K10</f>
        <v>98</v>
      </c>
      <c r="I66" s="3755">
        <f>H66-$K10</f>
        <v>97</v>
      </c>
      <c r="J66" s="3755"/>
      <c r="K66" s="3755"/>
      <c r="L66" s="3755"/>
      <c r="M66" s="3756"/>
      <c r="N66" s="3748"/>
      <c r="O66" s="3748"/>
      <c r="P66" s="3557"/>
      <c r="Q66" s="3557"/>
      <c r="R66" s="3694"/>
      <c r="S66" s="3694"/>
      <c r="T66" s="3694"/>
      <c r="U66" s="3694"/>
      <c r="V66" s="3694"/>
      <c r="W66" s="3694"/>
      <c r="X66" s="3694"/>
      <c r="Y66" s="3694"/>
      <c r="Z66" s="3694"/>
      <c r="AA66" s="3694"/>
      <c r="AB66" s="3694"/>
      <c r="AC66" s="3694"/>
    </row>
    <row r="67" spans="1:29" ht="15.75" thickTop="1">
      <c r="A67" s="3616"/>
      <c r="B67" s="3757" t="s">
        <v>3356</v>
      </c>
      <c r="C67" s="3758" t="str">
        <f>C68&amp;"（含）"&amp;"-"&amp;D68</f>
        <v>0（含）-1</v>
      </c>
      <c r="D67" s="3758" t="str">
        <f t="shared" ref="D67:L67" si="17">D68&amp;"（含）"&amp;"-"&amp;E68</f>
        <v>1（含）-2</v>
      </c>
      <c r="E67" s="3758" t="str">
        <f t="shared" si="17"/>
        <v>2（含）-3</v>
      </c>
      <c r="F67" s="3758" t="str">
        <f t="shared" si="17"/>
        <v>3（含）-4</v>
      </c>
      <c r="G67" s="3758" t="str">
        <f t="shared" si="17"/>
        <v>4（含）-5</v>
      </c>
      <c r="H67" s="3758" t="str">
        <f t="shared" si="17"/>
        <v>5（含）-6</v>
      </c>
      <c r="I67" s="3758" t="str">
        <f t="shared" si="17"/>
        <v>6（含）-7</v>
      </c>
      <c r="J67" s="3758" t="str">
        <f t="shared" si="17"/>
        <v>7（含）-8</v>
      </c>
      <c r="K67" s="3758" t="str">
        <f t="shared" si="17"/>
        <v>8（含）-</v>
      </c>
      <c r="L67" s="3758" t="str">
        <f t="shared" si="17"/>
        <v>（含）-</v>
      </c>
      <c r="M67" s="3619" t="str">
        <f>M68&amp;"（含）"&amp;"-"&amp;P68</f>
        <v>（含）-</v>
      </c>
      <c r="N67" s="3748"/>
      <c r="O67" s="3748"/>
      <c r="P67" s="3557"/>
      <c r="Q67" s="3557"/>
      <c r="R67" s="3694"/>
      <c r="S67" s="3694"/>
      <c r="T67" s="3694"/>
      <c r="U67" s="3694"/>
      <c r="V67" s="3694"/>
      <c r="W67" s="3694"/>
      <c r="X67" s="3694"/>
      <c r="Y67" s="3694"/>
      <c r="Z67" s="3694"/>
      <c r="AA67" s="3694"/>
      <c r="AB67" s="3694"/>
      <c r="AC67" s="3694"/>
    </row>
    <row r="68" spans="1:29" ht="15">
      <c r="A68" s="3616"/>
      <c r="B68" s="3759"/>
      <c r="C68" s="3760">
        <v>0</v>
      </c>
      <c r="D68" s="3760">
        <v>1</v>
      </c>
      <c r="E68" s="3760">
        <v>2</v>
      </c>
      <c r="F68" s="3760">
        <v>3</v>
      </c>
      <c r="G68" s="3760">
        <v>4</v>
      </c>
      <c r="H68" s="3760">
        <v>5</v>
      </c>
      <c r="I68" s="3760">
        <v>6</v>
      </c>
      <c r="J68" s="3760">
        <v>7</v>
      </c>
      <c r="K68" s="3761">
        <v>8</v>
      </c>
      <c r="L68" s="3762"/>
      <c r="M68" s="3763"/>
      <c r="N68" s="3599"/>
      <c r="O68" s="3599"/>
      <c r="P68" s="3557"/>
      <c r="Q68" s="3557"/>
      <c r="R68" s="3694"/>
      <c r="S68" s="3694"/>
      <c r="T68" s="3694"/>
      <c r="U68" s="3694"/>
      <c r="V68" s="3694"/>
      <c r="W68" s="3694"/>
      <c r="X68" s="3694"/>
      <c r="Y68" s="3694"/>
      <c r="Z68" s="3694"/>
      <c r="AA68" s="3694"/>
      <c r="AB68" s="3694"/>
      <c r="AC68" s="3694"/>
    </row>
    <row r="69" spans="1:29" ht="15.75" thickBot="1">
      <c r="A69" s="3616"/>
      <c r="B69" s="3744"/>
      <c r="C69" s="3755">
        <v>100</v>
      </c>
      <c r="D69" s="3755">
        <f t="shared" ref="D69:M69" si="18">C69-$K11</f>
        <v>98</v>
      </c>
      <c r="E69" s="3755">
        <f t="shared" si="18"/>
        <v>96</v>
      </c>
      <c r="F69" s="3755">
        <f t="shared" si="18"/>
        <v>94</v>
      </c>
      <c r="G69" s="3755">
        <f t="shared" si="18"/>
        <v>92</v>
      </c>
      <c r="H69" s="3755">
        <f t="shared" si="18"/>
        <v>90</v>
      </c>
      <c r="I69" s="3755">
        <f t="shared" si="18"/>
        <v>88</v>
      </c>
      <c r="J69" s="3755">
        <f t="shared" si="18"/>
        <v>86</v>
      </c>
      <c r="K69" s="3755">
        <f t="shared" si="18"/>
        <v>84</v>
      </c>
      <c r="L69" s="3755">
        <f t="shared" si="18"/>
        <v>82</v>
      </c>
      <c r="M69" s="3756">
        <f t="shared" si="18"/>
        <v>80</v>
      </c>
      <c r="N69" s="3748"/>
      <c r="O69" s="3748"/>
      <c r="P69" s="3557"/>
      <c r="Q69" s="3557"/>
      <c r="R69" s="3694"/>
      <c r="S69" s="3694"/>
      <c r="T69" s="3694"/>
      <c r="U69" s="3694"/>
      <c r="V69" s="3694"/>
      <c r="W69" s="3694"/>
      <c r="X69" s="3694"/>
      <c r="Y69" s="3694"/>
      <c r="Z69" s="3694"/>
      <c r="AA69" s="3694"/>
      <c r="AB69" s="3694"/>
      <c r="AC69" s="3694"/>
    </row>
    <row r="70" spans="1:29" s="3678" customFormat="1" ht="16.5" hidden="1" thickTop="1" thickBot="1">
      <c r="A70" s="3764"/>
      <c r="B70" s="3749">
        <f>B12</f>
        <v>0</v>
      </c>
      <c r="C70" s="3765"/>
      <c r="D70" s="3765"/>
      <c r="E70" s="3765"/>
      <c r="F70" s="3765"/>
      <c r="G70" s="3765"/>
      <c r="H70" s="3766"/>
      <c r="I70" s="3766"/>
      <c r="J70" s="3766"/>
      <c r="K70" s="3766"/>
      <c r="L70" s="3767"/>
      <c r="M70" s="3768"/>
      <c r="N70" s="3590"/>
      <c r="O70" s="3590"/>
      <c r="P70" s="3590"/>
      <c r="Q70" s="3590"/>
      <c r="R70" s="3769"/>
      <c r="S70" s="3769"/>
      <c r="T70" s="3769"/>
      <c r="U70" s="3769"/>
      <c r="V70" s="3769"/>
      <c r="W70" s="3769"/>
      <c r="X70" s="3769"/>
      <c r="Y70" s="3769"/>
      <c r="Z70" s="3769"/>
      <c r="AA70" s="3769"/>
      <c r="AB70" s="3769"/>
      <c r="AC70" s="3769"/>
    </row>
    <row r="71" spans="1:29" s="3678" customFormat="1" ht="16.5" hidden="1" thickTop="1" thickBot="1">
      <c r="A71" s="3764"/>
      <c r="B71" s="3754"/>
      <c r="C71" s="3770"/>
      <c r="D71" s="3745"/>
      <c r="E71" s="3745"/>
      <c r="F71" s="3745"/>
      <c r="G71" s="3745"/>
      <c r="H71" s="3745"/>
      <c r="I71" s="3745"/>
      <c r="J71" s="3745"/>
      <c r="K71" s="3745"/>
      <c r="L71" s="3745"/>
      <c r="M71" s="3771"/>
      <c r="N71" s="3748"/>
      <c r="O71" s="3748"/>
      <c r="P71" s="3590"/>
      <c r="Q71" s="3590"/>
      <c r="R71" s="3769"/>
      <c r="S71" s="3769"/>
      <c r="T71" s="3769"/>
      <c r="U71" s="3769"/>
      <c r="V71" s="3769"/>
      <c r="W71" s="3769"/>
      <c r="X71" s="3769"/>
      <c r="Y71" s="3769"/>
      <c r="Z71" s="3769"/>
      <c r="AA71" s="3769"/>
      <c r="AB71" s="3769"/>
      <c r="AC71" s="3769"/>
    </row>
    <row r="72" spans="1:29" s="3678" customFormat="1" ht="16.5" hidden="1" thickTop="1" thickBot="1">
      <c r="A72" s="3764"/>
      <c r="B72" s="3749">
        <f>B13</f>
        <v>0</v>
      </c>
      <c r="C72" s="3765"/>
      <c r="D72" s="3765"/>
      <c r="E72" s="3765"/>
      <c r="F72" s="3765"/>
      <c r="G72" s="3765"/>
      <c r="H72" s="3766"/>
      <c r="I72" s="3766"/>
      <c r="J72" s="3766"/>
      <c r="K72" s="3766"/>
      <c r="L72" s="3767"/>
      <c r="M72" s="3768"/>
      <c r="N72" s="3590"/>
      <c r="O72" s="3590"/>
      <c r="P72" s="3671"/>
      <c r="Q72" s="3671"/>
      <c r="R72" s="3769"/>
      <c r="S72" s="3769"/>
      <c r="T72" s="3769"/>
      <c r="U72" s="3769"/>
      <c r="V72" s="3769"/>
      <c r="W72" s="3769"/>
      <c r="X72" s="3769"/>
      <c r="Y72" s="3769"/>
      <c r="Z72" s="3769"/>
      <c r="AA72" s="3769"/>
      <c r="AB72" s="3769"/>
      <c r="AC72" s="3769"/>
    </row>
    <row r="73" spans="1:29" s="3678" customFormat="1" ht="16.5" hidden="1" thickTop="1" thickBot="1">
      <c r="A73" s="3764"/>
      <c r="B73" s="3754"/>
      <c r="C73" s="3770"/>
      <c r="D73" s="3745"/>
      <c r="E73" s="3745"/>
      <c r="F73" s="3745"/>
      <c r="G73" s="3770"/>
      <c r="H73" s="3772"/>
      <c r="I73" s="3772"/>
      <c r="J73" s="3772"/>
      <c r="K73" s="3772"/>
      <c r="L73" s="3772"/>
      <c r="M73" s="3773"/>
      <c r="N73" s="3590"/>
      <c r="O73" s="3590"/>
      <c r="P73" s="3590"/>
      <c r="Q73" s="3590"/>
      <c r="R73" s="3769"/>
      <c r="S73" s="3769"/>
      <c r="T73" s="3769"/>
      <c r="U73" s="3769"/>
      <c r="V73" s="3769"/>
      <c r="W73" s="3769"/>
      <c r="X73" s="3769"/>
      <c r="Y73" s="3769"/>
      <c r="Z73" s="3769"/>
      <c r="AA73" s="3769"/>
      <c r="AB73" s="3769"/>
      <c r="AC73" s="3769"/>
    </row>
    <row r="74" spans="1:29" s="3678" customFormat="1" ht="16.5" hidden="1" thickTop="1" thickBot="1">
      <c r="A74" s="3764"/>
      <c r="B74" s="3757">
        <f>B14</f>
        <v>0</v>
      </c>
      <c r="C74" s="3765"/>
      <c r="D74" s="3765"/>
      <c r="E74" s="3765"/>
      <c r="F74" s="3765"/>
      <c r="G74" s="3731"/>
      <c r="H74" s="3774"/>
      <c r="I74" s="3774"/>
      <c r="J74" s="3774"/>
      <c r="K74" s="3774"/>
      <c r="L74" s="3775"/>
      <c r="M74" s="3776"/>
      <c r="N74" s="3590"/>
      <c r="O74" s="3590"/>
      <c r="P74" s="3777"/>
      <c r="Q74" s="3590"/>
      <c r="R74" s="3769"/>
      <c r="S74" s="3769"/>
      <c r="T74" s="3769"/>
      <c r="U74" s="3769"/>
      <c r="V74" s="3769"/>
      <c r="W74" s="3769"/>
      <c r="X74" s="3769"/>
      <c r="Y74" s="3769"/>
      <c r="Z74" s="3769"/>
      <c r="AA74" s="3769"/>
      <c r="AB74" s="3769"/>
      <c r="AC74" s="3769"/>
    </row>
    <row r="75" spans="1:29" s="3678" customFormat="1" ht="16.5" hidden="1" thickTop="1" thickBot="1">
      <c r="A75" s="3778"/>
      <c r="B75" s="3779"/>
      <c r="C75" s="3780"/>
      <c r="D75" s="3780"/>
      <c r="E75" s="3780"/>
      <c r="F75" s="3780"/>
      <c r="G75" s="3780"/>
      <c r="H75" s="3781"/>
      <c r="I75" s="3781"/>
      <c r="J75" s="3781"/>
      <c r="K75" s="3781"/>
      <c r="L75" s="3781"/>
      <c r="M75" s="3782"/>
      <c r="N75" s="3590"/>
      <c r="O75" s="3590"/>
      <c r="P75" s="3590"/>
      <c r="Q75" s="3590"/>
      <c r="R75" s="3769"/>
      <c r="S75" s="3769"/>
      <c r="T75" s="3769"/>
      <c r="U75" s="3769"/>
      <c r="V75" s="3769"/>
      <c r="W75" s="3769"/>
      <c r="X75" s="3769"/>
      <c r="Y75" s="3769"/>
      <c r="Z75" s="3769"/>
      <c r="AA75" s="3769"/>
      <c r="AB75" s="3769"/>
      <c r="AC75" s="3769"/>
    </row>
    <row r="76" spans="1:29" ht="15" thickTop="1">
      <c r="A76" s="3737" t="s">
        <v>3357</v>
      </c>
      <c r="B76" s="3738" t="s">
        <v>3358</v>
      </c>
      <c r="C76" s="3717" t="s">
        <v>3359</v>
      </c>
      <c r="D76" s="3717" t="s">
        <v>3360</v>
      </c>
      <c r="E76" s="3717" t="s">
        <v>3361</v>
      </c>
      <c r="F76" s="3717" t="s">
        <v>3362</v>
      </c>
      <c r="G76" s="3717" t="s">
        <v>3363</v>
      </c>
      <c r="H76" s="3739"/>
      <c r="I76" s="3739"/>
      <c r="J76" s="3739"/>
      <c r="K76" s="3783"/>
      <c r="L76" s="3784"/>
      <c r="M76" s="3785"/>
      <c r="N76" s="3599"/>
      <c r="O76" s="3599"/>
      <c r="P76" s="3542"/>
      <c r="Q76" s="3557"/>
      <c r="R76" s="3694"/>
      <c r="S76" s="3694"/>
      <c r="T76" s="3694"/>
      <c r="U76" s="3694"/>
      <c r="V76" s="3694"/>
      <c r="W76" s="3694"/>
      <c r="X76" s="3694"/>
      <c r="Y76" s="3694"/>
      <c r="Z76" s="3694"/>
      <c r="AA76" s="3694"/>
      <c r="AB76" s="3694"/>
      <c r="AC76" s="3694"/>
    </row>
    <row r="77" spans="1:29" ht="15.75" thickBot="1">
      <c r="A77" s="3616"/>
      <c r="B77" s="3754"/>
      <c r="C77" s="3755">
        <v>100</v>
      </c>
      <c r="D77" s="3755">
        <f>C77-$K15</f>
        <v>98</v>
      </c>
      <c r="E77" s="3755">
        <f>D77-$K15</f>
        <v>96</v>
      </c>
      <c r="F77" s="3755">
        <f>E77-$K15</f>
        <v>94</v>
      </c>
      <c r="G77" s="3755">
        <f>F77-$K15</f>
        <v>92</v>
      </c>
      <c r="H77" s="3755"/>
      <c r="I77" s="3755"/>
      <c r="J77" s="3755"/>
      <c r="K77" s="3755"/>
      <c r="L77" s="3755"/>
      <c r="M77" s="3756"/>
      <c r="N77" s="3748"/>
      <c r="O77" s="3748"/>
      <c r="P77" s="3557"/>
      <c r="Q77" s="3557"/>
      <c r="R77" s="3694"/>
      <c r="S77" s="3694"/>
      <c r="T77" s="3694"/>
      <c r="U77" s="3694"/>
      <c r="V77" s="3694"/>
      <c r="W77" s="3694"/>
      <c r="X77" s="3694"/>
      <c r="Y77" s="3694"/>
      <c r="Z77" s="3694"/>
      <c r="AA77" s="3694"/>
      <c r="AB77" s="3694"/>
      <c r="AC77" s="3694"/>
    </row>
    <row r="78" spans="1:29" ht="15.75" thickTop="1">
      <c r="A78" s="3616"/>
      <c r="B78" s="3749" t="s">
        <v>3364</v>
      </c>
      <c r="C78" s="3786" t="s">
        <v>3359</v>
      </c>
      <c r="D78" s="3786" t="s">
        <v>3360</v>
      </c>
      <c r="E78" s="3786" t="s">
        <v>3361</v>
      </c>
      <c r="F78" s="3786" t="s">
        <v>3362</v>
      </c>
      <c r="G78" s="3786" t="s">
        <v>3363</v>
      </c>
      <c r="H78" s="3750"/>
      <c r="I78" s="3750"/>
      <c r="J78" s="3750"/>
      <c r="K78" s="3751"/>
      <c r="L78" s="3752"/>
      <c r="M78" s="3753"/>
      <c r="N78" s="3599"/>
      <c r="O78" s="3599"/>
      <c r="P78" s="3557"/>
      <c r="Q78" s="3557"/>
      <c r="R78" s="3694"/>
      <c r="S78" s="3694"/>
      <c r="T78" s="3694"/>
      <c r="U78" s="3694"/>
      <c r="V78" s="3694"/>
      <c r="W78" s="3694"/>
      <c r="X78" s="3694"/>
      <c r="Y78" s="3694"/>
      <c r="Z78" s="3694"/>
      <c r="AA78" s="3694"/>
      <c r="AB78" s="3694"/>
      <c r="AC78" s="3694"/>
    </row>
    <row r="79" spans="1:29" ht="15.75" thickBot="1">
      <c r="A79" s="3616"/>
      <c r="B79" s="3754"/>
      <c r="C79" s="3755">
        <v>100</v>
      </c>
      <c r="D79" s="3755">
        <f>C79-$K17</f>
        <v>98</v>
      </c>
      <c r="E79" s="3755">
        <f>D79-$K17</f>
        <v>96</v>
      </c>
      <c r="F79" s="3755">
        <f>E79-$K17</f>
        <v>94</v>
      </c>
      <c r="G79" s="3755">
        <f>F79-$K17</f>
        <v>92</v>
      </c>
      <c r="H79" s="3755"/>
      <c r="I79" s="3755"/>
      <c r="J79" s="3755"/>
      <c r="K79" s="3755"/>
      <c r="L79" s="3755"/>
      <c r="M79" s="3756"/>
      <c r="N79" s="3748"/>
      <c r="O79" s="3748"/>
      <c r="P79" s="3557"/>
      <c r="Q79" s="3557"/>
      <c r="R79" s="3694"/>
      <c r="S79" s="3694"/>
      <c r="T79" s="3694"/>
      <c r="U79" s="3694"/>
      <c r="V79" s="3694"/>
      <c r="W79" s="3694"/>
      <c r="X79" s="3694"/>
      <c r="Y79" s="3694"/>
      <c r="Z79" s="3694"/>
      <c r="AA79" s="3694"/>
      <c r="AB79" s="3694"/>
      <c r="AC79" s="3694"/>
    </row>
    <row r="80" spans="1:29" ht="15.75" thickTop="1">
      <c r="A80" s="3616"/>
      <c r="B80" s="3787" t="s">
        <v>3325</v>
      </c>
      <c r="C80" s="3786" t="s">
        <v>3359</v>
      </c>
      <c r="D80" s="3786" t="s">
        <v>3360</v>
      </c>
      <c r="E80" s="3786" t="s">
        <v>3361</v>
      </c>
      <c r="F80" s="3786" t="s">
        <v>3362</v>
      </c>
      <c r="G80" s="3786" t="s">
        <v>3363</v>
      </c>
      <c r="H80" s="3750"/>
      <c r="I80" s="3750"/>
      <c r="J80" s="3750"/>
      <c r="K80" s="3751"/>
      <c r="L80" s="3752"/>
      <c r="M80" s="3753"/>
      <c r="N80" s="3599"/>
      <c r="O80" s="3599"/>
      <c r="P80" s="3557"/>
      <c r="Q80" s="3557"/>
      <c r="R80" s="3694"/>
      <c r="S80" s="3694"/>
      <c r="T80" s="3694"/>
      <c r="U80" s="3694"/>
      <c r="V80" s="3694"/>
      <c r="W80" s="3694"/>
      <c r="X80" s="3694"/>
      <c r="Y80" s="3694"/>
      <c r="Z80" s="3694"/>
      <c r="AA80" s="3694"/>
      <c r="AB80" s="3694"/>
      <c r="AC80" s="3694"/>
    </row>
    <row r="81" spans="1:29" ht="15.75" thickBot="1">
      <c r="A81" s="3616"/>
      <c r="B81" s="3754"/>
      <c r="C81" s="3755">
        <v>100</v>
      </c>
      <c r="D81" s="3755">
        <f>C81-$K19</f>
        <v>98</v>
      </c>
      <c r="E81" s="3755">
        <f>D81-$K19</f>
        <v>96</v>
      </c>
      <c r="F81" s="3755">
        <f>E81-$K19</f>
        <v>94</v>
      </c>
      <c r="G81" s="3755">
        <f>F81-$K19</f>
        <v>92</v>
      </c>
      <c r="H81" s="3755"/>
      <c r="I81" s="3755"/>
      <c r="J81" s="3755"/>
      <c r="K81" s="3755"/>
      <c r="L81" s="3755"/>
      <c r="M81" s="3756"/>
      <c r="N81" s="3748"/>
      <c r="O81" s="3748"/>
      <c r="P81" s="3557"/>
      <c r="Q81" s="3557"/>
      <c r="R81" s="3694"/>
      <c r="S81" s="3694"/>
      <c r="T81" s="3694"/>
      <c r="U81" s="3694"/>
      <c r="V81" s="3694"/>
      <c r="W81" s="3694"/>
      <c r="X81" s="3694"/>
      <c r="Y81" s="3694"/>
      <c r="Z81" s="3694"/>
      <c r="AA81" s="3694"/>
      <c r="AB81" s="3694"/>
      <c r="AC81" s="3694"/>
    </row>
    <row r="82" spans="1:29" ht="15.75" thickTop="1">
      <c r="A82" s="3616"/>
      <c r="B82" s="3788" t="s">
        <v>3326</v>
      </c>
      <c r="C82" s="3789" t="s">
        <v>3365</v>
      </c>
      <c r="D82" s="3789" t="s">
        <v>3158</v>
      </c>
      <c r="E82" s="3789" t="s">
        <v>3159</v>
      </c>
      <c r="F82" s="3789" t="s">
        <v>3160</v>
      </c>
      <c r="G82" s="3789" t="s">
        <v>3161</v>
      </c>
      <c r="H82" s="3750"/>
      <c r="I82" s="3750"/>
      <c r="J82" s="3750"/>
      <c r="K82" s="3750"/>
      <c r="L82" s="3750"/>
      <c r="M82" s="3790"/>
      <c r="N82" s="3748"/>
      <c r="O82" s="3748"/>
      <c r="P82" s="3557"/>
      <c r="Q82" s="3557"/>
      <c r="R82" s="3694"/>
      <c r="S82" s="3694"/>
      <c r="T82" s="3694"/>
      <c r="U82" s="3694"/>
      <c r="V82" s="3694"/>
      <c r="W82" s="3694"/>
      <c r="X82" s="3694"/>
      <c r="Y82" s="3694"/>
      <c r="Z82" s="3694"/>
      <c r="AA82" s="3694"/>
      <c r="AB82" s="3694"/>
      <c r="AC82" s="3694"/>
    </row>
    <row r="83" spans="1:29" ht="15.75" thickBot="1">
      <c r="A83" s="3616"/>
      <c r="B83" s="3757"/>
      <c r="C83" s="3755">
        <v>100</v>
      </c>
      <c r="D83" s="3755">
        <f>C83-$K21</f>
        <v>99</v>
      </c>
      <c r="E83" s="3755">
        <f>D83-$K21</f>
        <v>98</v>
      </c>
      <c r="F83" s="3755">
        <f>E83-$K21</f>
        <v>97</v>
      </c>
      <c r="G83" s="3755">
        <f>F83-$K21</f>
        <v>96</v>
      </c>
      <c r="H83" s="3791"/>
      <c r="I83" s="3791"/>
      <c r="J83" s="3791"/>
      <c r="K83" s="3791"/>
      <c r="L83" s="3791"/>
      <c r="M83" s="3623"/>
      <c r="N83" s="3748"/>
      <c r="O83" s="3748"/>
      <c r="P83" s="3557"/>
      <c r="Q83" s="3557"/>
      <c r="R83" s="3694"/>
      <c r="S83" s="3694"/>
      <c r="T83" s="3694"/>
      <c r="U83" s="3694"/>
      <c r="V83" s="3694"/>
      <c r="W83" s="3694"/>
      <c r="X83" s="3694"/>
      <c r="Y83" s="3694"/>
      <c r="Z83" s="3694"/>
      <c r="AA83" s="3694"/>
      <c r="AB83" s="3694"/>
      <c r="AC83" s="3694"/>
    </row>
    <row r="84" spans="1:29" ht="15.75" thickTop="1">
      <c r="A84" s="3616"/>
      <c r="B84" s="3749" t="s">
        <v>3366</v>
      </c>
      <c r="C84" s="3786" t="s">
        <v>3359</v>
      </c>
      <c r="D84" s="3786" t="s">
        <v>3360</v>
      </c>
      <c r="E84" s="3786" t="s">
        <v>3361</v>
      </c>
      <c r="F84" s="3786" t="s">
        <v>3362</v>
      </c>
      <c r="G84" s="3786" t="s">
        <v>3363</v>
      </c>
      <c r="H84" s="3750"/>
      <c r="I84" s="3750"/>
      <c r="J84" s="3750"/>
      <c r="K84" s="3751"/>
      <c r="L84" s="3752"/>
      <c r="M84" s="3753"/>
      <c r="N84" s="3599"/>
      <c r="O84" s="3599"/>
      <c r="P84" s="3557"/>
      <c r="Q84" s="3557"/>
      <c r="R84" s="3694"/>
      <c r="S84" s="3694"/>
      <c r="T84" s="3694"/>
      <c r="U84" s="3694"/>
      <c r="V84" s="3694"/>
      <c r="W84" s="3694"/>
      <c r="X84" s="3694"/>
      <c r="Y84" s="3694"/>
      <c r="Z84" s="3694"/>
      <c r="AA84" s="3694"/>
      <c r="AB84" s="3694"/>
      <c r="AC84" s="3694"/>
    </row>
    <row r="85" spans="1:29" ht="15.75" thickBot="1">
      <c r="A85" s="3616"/>
      <c r="B85" s="3754"/>
      <c r="C85" s="3755">
        <v>100</v>
      </c>
      <c r="D85" s="3755">
        <f>C85-$K23</f>
        <v>98</v>
      </c>
      <c r="E85" s="3755">
        <f>D85-$K23</f>
        <v>96</v>
      </c>
      <c r="F85" s="3755">
        <f>E85-$K23</f>
        <v>94</v>
      </c>
      <c r="G85" s="3755">
        <f>F85-$K23</f>
        <v>92</v>
      </c>
      <c r="H85" s="3755"/>
      <c r="I85" s="3755"/>
      <c r="J85" s="3755"/>
      <c r="K85" s="3755"/>
      <c r="L85" s="3755"/>
      <c r="M85" s="3756"/>
      <c r="N85" s="3748"/>
      <c r="O85" s="3748"/>
      <c r="P85" s="3557"/>
      <c r="Q85" s="3557"/>
      <c r="R85" s="3694"/>
      <c r="S85" s="3694"/>
      <c r="T85" s="3694"/>
      <c r="U85" s="3694"/>
      <c r="V85" s="3694"/>
      <c r="W85" s="3694"/>
      <c r="X85" s="3694"/>
      <c r="Y85" s="3694"/>
      <c r="Z85" s="3694"/>
      <c r="AA85" s="3694"/>
      <c r="AB85" s="3694"/>
      <c r="AC85" s="3694"/>
    </row>
    <row r="86" spans="1:29" s="3563" customFormat="1" ht="16.5" hidden="1" thickTop="1" thickBot="1">
      <c r="A86" s="3645"/>
      <c r="B86" s="3749" t="s">
        <v>3327</v>
      </c>
      <c r="C86" s="3765"/>
      <c r="D86" s="3765"/>
      <c r="E86" s="3765"/>
      <c r="F86" s="3765"/>
      <c r="G86" s="3765"/>
      <c r="H86" s="3765"/>
      <c r="I86" s="3765"/>
      <c r="J86" s="3765"/>
      <c r="K86" s="3765"/>
      <c r="L86" s="3792"/>
      <c r="M86" s="3793"/>
      <c r="N86" s="3557"/>
      <c r="O86" s="3557"/>
      <c r="P86" s="3557"/>
      <c r="Q86" s="3557"/>
      <c r="R86" s="3718"/>
      <c r="S86" s="3718"/>
      <c r="T86" s="3718"/>
      <c r="U86" s="3718"/>
      <c r="V86" s="3718"/>
      <c r="W86" s="3718"/>
      <c r="X86" s="3718"/>
      <c r="Y86" s="3718"/>
      <c r="Z86" s="3718"/>
      <c r="AA86" s="3718"/>
      <c r="AB86" s="3718"/>
      <c r="AC86" s="3718"/>
    </row>
    <row r="87" spans="1:29" s="3563" customFormat="1" ht="16.5" hidden="1" thickTop="1" thickBot="1">
      <c r="A87" s="3645"/>
      <c r="B87" s="3754"/>
      <c r="C87" s="3794">
        <v>100</v>
      </c>
      <c r="D87" s="3755">
        <f t="shared" ref="D87:M87" si="19">C87-$K25</f>
        <v>100</v>
      </c>
      <c r="E87" s="3755">
        <f t="shared" si="19"/>
        <v>100</v>
      </c>
      <c r="F87" s="3755">
        <f t="shared" si="19"/>
        <v>100</v>
      </c>
      <c r="G87" s="3755">
        <f t="shared" si="19"/>
        <v>100</v>
      </c>
      <c r="H87" s="3755">
        <f t="shared" si="19"/>
        <v>100</v>
      </c>
      <c r="I87" s="3755">
        <f t="shared" si="19"/>
        <v>100</v>
      </c>
      <c r="J87" s="3755">
        <f t="shared" si="19"/>
        <v>100</v>
      </c>
      <c r="K87" s="3755">
        <f t="shared" si="19"/>
        <v>100</v>
      </c>
      <c r="L87" s="3755">
        <f t="shared" si="19"/>
        <v>100</v>
      </c>
      <c r="M87" s="3755">
        <f t="shared" si="19"/>
        <v>100</v>
      </c>
      <c r="N87" s="3748"/>
      <c r="O87" s="3748"/>
      <c r="P87" s="3557"/>
      <c r="Q87" s="3557"/>
      <c r="R87" s="3718"/>
      <c r="S87" s="3718"/>
      <c r="T87" s="3718"/>
      <c r="U87" s="3718"/>
      <c r="V87" s="3718"/>
      <c r="W87" s="3718"/>
      <c r="X87" s="3718"/>
      <c r="Y87" s="3718"/>
      <c r="Z87" s="3718"/>
      <c r="AA87" s="3718"/>
      <c r="AB87" s="3718"/>
      <c r="AC87" s="3718"/>
    </row>
    <row r="88" spans="1:29" s="3563" customFormat="1" ht="16.5" hidden="1" thickTop="1" thickBot="1">
      <c r="A88" s="3645"/>
      <c r="B88" s="3749" t="str">
        <f>B26</f>
        <v>平面位置/可视性</v>
      </c>
      <c r="C88" s="3765"/>
      <c r="D88" s="3765"/>
      <c r="E88" s="3765"/>
      <c r="F88" s="3795"/>
      <c r="G88" s="3765"/>
      <c r="H88" s="3765"/>
      <c r="I88" s="3765"/>
      <c r="J88" s="3765"/>
      <c r="K88" s="3765"/>
      <c r="L88" s="3765"/>
      <c r="M88" s="3793"/>
      <c r="N88" s="3557"/>
      <c r="O88" s="3557"/>
      <c r="P88" s="3557"/>
      <c r="Q88" s="3557"/>
      <c r="R88" s="3718"/>
      <c r="S88" s="3718"/>
      <c r="T88" s="3718"/>
      <c r="U88" s="3718"/>
      <c r="V88" s="3718"/>
      <c r="W88" s="3718"/>
      <c r="X88" s="3718"/>
      <c r="Y88" s="3718"/>
      <c r="Z88" s="3718"/>
      <c r="AA88" s="3718"/>
      <c r="AB88" s="3718"/>
      <c r="AC88" s="3718"/>
    </row>
    <row r="89" spans="1:29" s="3563" customFormat="1" ht="16.5" hidden="1" thickTop="1" thickBot="1">
      <c r="A89" s="3645"/>
      <c r="B89" s="3754"/>
      <c r="C89" s="3770"/>
      <c r="D89" s="3745"/>
      <c r="E89" s="3745"/>
      <c r="F89" s="3745"/>
      <c r="G89" s="3745"/>
      <c r="H89" s="3745"/>
      <c r="I89" s="3745"/>
      <c r="J89" s="3745"/>
      <c r="K89" s="3745"/>
      <c r="L89" s="3745"/>
      <c r="M89" s="3745"/>
      <c r="N89" s="3748"/>
      <c r="O89" s="3748"/>
      <c r="P89" s="3557"/>
      <c r="Q89" s="3557"/>
      <c r="R89" s="3718"/>
      <c r="S89" s="3718"/>
      <c r="T89" s="3718"/>
      <c r="U89" s="3718"/>
      <c r="V89" s="3718"/>
      <c r="W89" s="3718"/>
      <c r="X89" s="3718"/>
      <c r="Y89" s="3718"/>
      <c r="Z89" s="3718"/>
      <c r="AA89" s="3718"/>
      <c r="AB89" s="3718"/>
      <c r="AC89" s="3718"/>
    </row>
    <row r="90" spans="1:29" s="3678" customFormat="1" ht="15.75" thickTop="1">
      <c r="A90" s="3764"/>
      <c r="B90" s="3749" t="str">
        <f>B27</f>
        <v>人流量</v>
      </c>
      <c r="C90" s="3796" t="s">
        <v>3367</v>
      </c>
      <c r="D90" s="3796" t="s">
        <v>3368</v>
      </c>
      <c r="E90" s="3796" t="s">
        <v>3323</v>
      </c>
      <c r="F90" s="3796" t="s">
        <v>3369</v>
      </c>
      <c r="G90" s="3796" t="s">
        <v>3370</v>
      </c>
      <c r="H90" s="3766"/>
      <c r="I90" s="3766"/>
      <c r="J90" s="3766"/>
      <c r="K90" s="3766"/>
      <c r="L90" s="3767"/>
      <c r="M90" s="3768"/>
      <c r="N90" s="3590"/>
      <c r="O90" s="3590"/>
      <c r="P90" s="3590"/>
      <c r="Q90" s="3590"/>
      <c r="R90" s="3769"/>
      <c r="S90" s="3769"/>
      <c r="T90" s="3769"/>
      <c r="U90" s="3769"/>
      <c r="V90" s="3769"/>
      <c r="W90" s="3769"/>
      <c r="X90" s="3769"/>
      <c r="Y90" s="3769"/>
      <c r="Z90" s="3769"/>
      <c r="AA90" s="3769"/>
      <c r="AB90" s="3769"/>
      <c r="AC90" s="3769"/>
    </row>
    <row r="91" spans="1:29" s="3678" customFormat="1" ht="15.75" thickBot="1">
      <c r="A91" s="3764"/>
      <c r="B91" s="3754"/>
      <c r="C91" s="3794">
        <v>100</v>
      </c>
      <c r="D91" s="3755">
        <f>C91-$K27</f>
        <v>98</v>
      </c>
      <c r="E91" s="3755">
        <f t="shared" ref="E91:M91" si="20">D91-$K27</f>
        <v>96</v>
      </c>
      <c r="F91" s="3755">
        <f t="shared" si="20"/>
        <v>94</v>
      </c>
      <c r="G91" s="3755">
        <f t="shared" si="20"/>
        <v>92</v>
      </c>
      <c r="H91" s="3755">
        <f t="shared" si="20"/>
        <v>90</v>
      </c>
      <c r="I91" s="3755">
        <f t="shared" si="20"/>
        <v>88</v>
      </c>
      <c r="J91" s="3755">
        <f t="shared" si="20"/>
        <v>86</v>
      </c>
      <c r="K91" s="3755">
        <f t="shared" si="20"/>
        <v>84</v>
      </c>
      <c r="L91" s="3755">
        <f t="shared" si="20"/>
        <v>82</v>
      </c>
      <c r="M91" s="3755">
        <f t="shared" si="20"/>
        <v>80</v>
      </c>
      <c r="N91" s="3590"/>
      <c r="O91" s="3590"/>
      <c r="P91" s="3590"/>
      <c r="Q91" s="3590"/>
      <c r="R91" s="3769"/>
      <c r="S91" s="3769"/>
      <c r="T91" s="3769"/>
      <c r="U91" s="3769"/>
      <c r="V91" s="3769"/>
      <c r="W91" s="3769"/>
      <c r="X91" s="3769"/>
      <c r="Y91" s="3769"/>
      <c r="Z91" s="3769"/>
      <c r="AA91" s="3769"/>
      <c r="AB91" s="3769"/>
      <c r="AC91" s="3769"/>
    </row>
    <row r="92" spans="1:29" ht="15.75" thickTop="1">
      <c r="A92" s="3616"/>
      <c r="B92" s="3749" t="str">
        <f>B28</f>
        <v>楼层</v>
      </c>
      <c r="C92" s="3765">
        <v>1</v>
      </c>
      <c r="D92" s="3765" t="s">
        <v>3371</v>
      </c>
      <c r="E92" s="3765">
        <v>2</v>
      </c>
      <c r="F92" s="3765">
        <v>3</v>
      </c>
      <c r="G92" s="3765">
        <v>4</v>
      </c>
      <c r="H92" s="3765"/>
      <c r="I92" s="3765"/>
      <c r="J92" s="3765"/>
      <c r="K92" s="3765"/>
      <c r="L92" s="3792"/>
      <c r="M92" s="3793"/>
      <c r="N92" s="3599"/>
      <c r="O92" s="3599"/>
      <c r="P92" s="3557"/>
      <c r="Q92" s="3557"/>
      <c r="R92" s="3694"/>
      <c r="S92" s="3694"/>
      <c r="T92" s="3694"/>
      <c r="U92" s="3694"/>
      <c r="V92" s="3694"/>
      <c r="W92" s="3694"/>
      <c r="X92" s="3694"/>
      <c r="Y92" s="3694"/>
      <c r="Z92" s="3694"/>
      <c r="AA92" s="3694"/>
      <c r="AB92" s="3694"/>
      <c r="AC92" s="3694"/>
    </row>
    <row r="93" spans="1:29" ht="15.75" thickBot="1">
      <c r="A93" s="3616"/>
      <c r="B93" s="3754"/>
      <c r="C93" s="3745">
        <v>100</v>
      </c>
      <c r="D93" s="3745">
        <v>90</v>
      </c>
      <c r="E93" s="3745">
        <v>80</v>
      </c>
      <c r="F93" s="3745">
        <v>60</v>
      </c>
      <c r="G93" s="3745">
        <v>50</v>
      </c>
      <c r="H93" s="3745"/>
      <c r="I93" s="3745"/>
      <c r="J93" s="3745"/>
      <c r="K93" s="3745"/>
      <c r="L93" s="3745"/>
      <c r="M93" s="3771"/>
      <c r="N93" s="3748"/>
      <c r="O93" s="3748"/>
      <c r="P93" s="3557"/>
      <c r="Q93" s="3557"/>
      <c r="R93" s="3694"/>
      <c r="S93" s="3694"/>
      <c r="T93" s="3694"/>
      <c r="U93" s="3694"/>
      <c r="V93" s="3694"/>
      <c r="W93" s="3694"/>
      <c r="X93" s="3694"/>
      <c r="Y93" s="3694"/>
      <c r="Z93" s="3694"/>
      <c r="AA93" s="3694"/>
      <c r="AB93" s="3694"/>
      <c r="AC93" s="3694"/>
    </row>
    <row r="94" spans="1:29" ht="15.75" thickTop="1">
      <c r="A94" s="3616"/>
      <c r="B94" s="3749" t="str">
        <f>B29</f>
        <v>临街道路级别</v>
      </c>
      <c r="C94" s="3796" t="s">
        <v>3149</v>
      </c>
      <c r="D94" s="3796" t="s">
        <v>3372</v>
      </c>
      <c r="E94" s="3796" t="s">
        <v>3373</v>
      </c>
      <c r="F94" s="3796" t="s">
        <v>3374</v>
      </c>
      <c r="G94" s="3796" t="s">
        <v>3375</v>
      </c>
      <c r="H94" s="3797"/>
      <c r="I94" s="3797"/>
      <c r="J94" s="3797"/>
      <c r="K94" s="3798"/>
      <c r="L94" s="3799"/>
      <c r="M94" s="3800"/>
      <c r="N94" s="3599"/>
      <c r="O94" s="3599"/>
      <c r="P94" s="3557"/>
      <c r="Q94" s="3557"/>
      <c r="R94" s="3694"/>
      <c r="S94" s="3694"/>
      <c r="T94" s="3694"/>
      <c r="U94" s="3694"/>
      <c r="V94" s="3694"/>
      <c r="W94" s="3694"/>
      <c r="X94" s="3694"/>
      <c r="Y94" s="3694"/>
      <c r="Z94" s="3694"/>
      <c r="AA94" s="3694"/>
      <c r="AB94" s="3694"/>
      <c r="AC94" s="3694"/>
    </row>
    <row r="95" spans="1:29" ht="15.75" thickBot="1">
      <c r="A95" s="3616"/>
      <c r="B95" s="3754"/>
      <c r="C95" s="3770">
        <v>100</v>
      </c>
      <c r="D95" s="3770">
        <v>98</v>
      </c>
      <c r="E95" s="3770">
        <v>96</v>
      </c>
      <c r="F95" s="3770">
        <v>94</v>
      </c>
      <c r="G95" s="3770">
        <v>92</v>
      </c>
      <c r="H95" s="3745"/>
      <c r="I95" s="3745"/>
      <c r="J95" s="3745"/>
      <c r="K95" s="3745"/>
      <c r="L95" s="3745"/>
      <c r="M95" s="3771"/>
      <c r="N95" s="3748"/>
      <c r="O95" s="3748"/>
      <c r="P95" s="3557"/>
      <c r="Q95" s="3557"/>
      <c r="R95" s="3694"/>
      <c r="S95" s="3694"/>
      <c r="T95" s="3694"/>
      <c r="U95" s="3694"/>
      <c r="V95" s="3694"/>
      <c r="W95" s="3694"/>
      <c r="X95" s="3694"/>
      <c r="Y95" s="3694"/>
      <c r="Z95" s="3694"/>
      <c r="AA95" s="3694"/>
      <c r="AB95" s="3694"/>
      <c r="AC95" s="3694"/>
    </row>
    <row r="96" spans="1:29" ht="16.5" hidden="1" thickTop="1" thickBot="1">
      <c r="A96" s="3616"/>
      <c r="B96" s="3749">
        <f>B30</f>
        <v>0</v>
      </c>
      <c r="C96" s="3765"/>
      <c r="D96" s="3765"/>
      <c r="E96" s="3765"/>
      <c r="F96" s="3765"/>
      <c r="G96" s="3797"/>
      <c r="H96" s="3797"/>
      <c r="I96" s="3797"/>
      <c r="J96" s="3797"/>
      <c r="K96" s="3798"/>
      <c r="L96" s="3799"/>
      <c r="M96" s="3800"/>
      <c r="N96" s="3599"/>
      <c r="O96" s="3599"/>
      <c r="P96" s="3557"/>
      <c r="Q96" s="3557"/>
      <c r="R96" s="3694"/>
      <c r="S96" s="3694"/>
      <c r="T96" s="3694"/>
      <c r="U96" s="3694"/>
      <c r="V96" s="3694"/>
      <c r="W96" s="3694"/>
      <c r="X96" s="3694"/>
      <c r="Y96" s="3694"/>
      <c r="Z96" s="3694"/>
      <c r="AA96" s="3694"/>
      <c r="AB96" s="3694"/>
      <c r="AC96" s="3694"/>
    </row>
    <row r="97" spans="1:29" ht="16.5" hidden="1" thickTop="1" thickBot="1">
      <c r="A97" s="3616"/>
      <c r="B97" s="3754"/>
      <c r="C97" s="3770"/>
      <c r="D97" s="3745"/>
      <c r="E97" s="3745"/>
      <c r="F97" s="3745"/>
      <c r="G97" s="3745"/>
      <c r="H97" s="3745"/>
      <c r="I97" s="3745"/>
      <c r="J97" s="3745"/>
      <c r="K97" s="3745"/>
      <c r="L97" s="3745"/>
      <c r="M97" s="3771"/>
      <c r="N97" s="3748"/>
      <c r="O97" s="3748"/>
      <c r="P97" s="3557"/>
      <c r="Q97" s="3557"/>
      <c r="R97" s="3694"/>
      <c r="S97" s="3694"/>
      <c r="T97" s="3694"/>
      <c r="U97" s="3694"/>
      <c r="V97" s="3694"/>
      <c r="W97" s="3694"/>
      <c r="X97" s="3694"/>
      <c r="Y97" s="3694"/>
      <c r="Z97" s="3694"/>
      <c r="AA97" s="3694"/>
      <c r="AB97" s="3694"/>
      <c r="AC97" s="3694"/>
    </row>
    <row r="98" spans="1:29" ht="16.5" hidden="1" thickTop="1" thickBot="1">
      <c r="A98" s="3616"/>
      <c r="B98" s="3757">
        <f>B31</f>
        <v>0</v>
      </c>
      <c r="C98" s="3765"/>
      <c r="D98" s="3765"/>
      <c r="E98" s="3765"/>
      <c r="F98" s="3765"/>
      <c r="G98" s="3801"/>
      <c r="H98" s="3801"/>
      <c r="I98" s="3801"/>
      <c r="J98" s="3801"/>
      <c r="K98" s="3802"/>
      <c r="L98" s="3803"/>
      <c r="M98" s="3804"/>
      <c r="N98" s="3599"/>
      <c r="O98" s="3599"/>
      <c r="P98" s="3557"/>
      <c r="Q98" s="3557"/>
      <c r="R98" s="3694"/>
      <c r="S98" s="3694"/>
      <c r="T98" s="3694"/>
      <c r="U98" s="3694"/>
      <c r="V98" s="3694"/>
      <c r="W98" s="3694"/>
      <c r="X98" s="3694"/>
      <c r="Y98" s="3694"/>
      <c r="Z98" s="3694"/>
      <c r="AA98" s="3694"/>
      <c r="AB98" s="3694"/>
      <c r="AC98" s="3694"/>
    </row>
    <row r="99" spans="1:29" ht="16.5" hidden="1" thickTop="1" thickBot="1">
      <c r="A99" s="3650"/>
      <c r="B99" s="3779"/>
      <c r="C99" s="3780"/>
      <c r="D99" s="3780"/>
      <c r="E99" s="3780"/>
      <c r="F99" s="3780"/>
      <c r="G99" s="3805"/>
      <c r="H99" s="3805"/>
      <c r="I99" s="3805"/>
      <c r="J99" s="3805"/>
      <c r="K99" s="3805"/>
      <c r="L99" s="3805"/>
      <c r="M99" s="3806"/>
      <c r="N99" s="3748"/>
      <c r="O99" s="3748"/>
      <c r="P99" s="3557"/>
      <c r="Q99" s="3557"/>
      <c r="R99" s="3694"/>
      <c r="S99" s="3694"/>
      <c r="T99" s="3694"/>
      <c r="U99" s="3694"/>
      <c r="V99" s="3694"/>
      <c r="W99" s="3694"/>
      <c r="X99" s="3694"/>
      <c r="Y99" s="3694"/>
      <c r="Z99" s="3694"/>
      <c r="AA99" s="3694"/>
      <c r="AB99" s="3694"/>
      <c r="AC99" s="3694"/>
    </row>
    <row r="100" spans="1:29" ht="15" thickTop="1">
      <c r="A100" s="3737" t="s">
        <v>3376</v>
      </c>
      <c r="B100" s="3738" t="s">
        <v>3333</v>
      </c>
      <c r="C100" s="3807" t="s">
        <v>3377</v>
      </c>
      <c r="D100" s="3807" t="s">
        <v>3378</v>
      </c>
      <c r="E100" s="3807" t="s">
        <v>3379</v>
      </c>
      <c r="F100" s="3740"/>
      <c r="G100" s="3740"/>
      <c r="H100" s="3740"/>
      <c r="I100" s="3740"/>
      <c r="J100" s="3740"/>
      <c r="K100" s="3741"/>
      <c r="L100" s="3742"/>
      <c r="M100" s="3743"/>
      <c r="N100" s="3599"/>
      <c r="O100" s="3599"/>
      <c r="P100" s="3557"/>
      <c r="Q100" s="3557"/>
      <c r="R100" s="3694"/>
      <c r="S100" s="3694"/>
      <c r="T100" s="3694"/>
      <c r="U100" s="3694"/>
      <c r="V100" s="3694"/>
      <c r="W100" s="3694"/>
      <c r="X100" s="3694"/>
      <c r="Y100" s="3694"/>
      <c r="Z100" s="3694"/>
      <c r="AA100" s="3694"/>
      <c r="AB100" s="3694"/>
      <c r="AC100" s="3694"/>
    </row>
    <row r="101" spans="1:29" ht="15.75" thickBot="1">
      <c r="A101" s="3616"/>
      <c r="B101" s="3754"/>
      <c r="C101" s="3755">
        <v>100</v>
      </c>
      <c r="D101" s="3755">
        <f t="shared" ref="D101:M101" si="21">C101-$K32</f>
        <v>98</v>
      </c>
      <c r="E101" s="3755">
        <f t="shared" si="21"/>
        <v>96</v>
      </c>
      <c r="F101" s="3755">
        <f t="shared" si="21"/>
        <v>94</v>
      </c>
      <c r="G101" s="3755">
        <f t="shared" si="21"/>
        <v>92</v>
      </c>
      <c r="H101" s="3755">
        <f t="shared" si="21"/>
        <v>90</v>
      </c>
      <c r="I101" s="3755">
        <f t="shared" si="21"/>
        <v>88</v>
      </c>
      <c r="J101" s="3755">
        <f t="shared" si="21"/>
        <v>86</v>
      </c>
      <c r="K101" s="3755">
        <f t="shared" si="21"/>
        <v>84</v>
      </c>
      <c r="L101" s="3755">
        <f t="shared" si="21"/>
        <v>82</v>
      </c>
      <c r="M101" s="3756">
        <f t="shared" si="21"/>
        <v>80</v>
      </c>
      <c r="N101" s="3748"/>
      <c r="O101" s="3748"/>
      <c r="P101" s="3557"/>
      <c r="Q101" s="3557"/>
      <c r="R101" s="3694"/>
      <c r="S101" s="3694"/>
      <c r="T101" s="3694"/>
      <c r="U101" s="3694"/>
      <c r="V101" s="3694"/>
      <c r="W101" s="3694"/>
      <c r="X101" s="3694"/>
      <c r="Y101" s="3694"/>
      <c r="Z101" s="3694"/>
      <c r="AA101" s="3694"/>
      <c r="AB101" s="3694"/>
      <c r="AC101" s="3694"/>
    </row>
    <row r="102" spans="1:29" ht="29.25" thickTop="1">
      <c r="A102" s="3616"/>
      <c r="B102" s="3749" t="s">
        <v>3380</v>
      </c>
      <c r="C102" s="3786" t="str">
        <f>C103&amp;"(含)"&amp;"-"&amp;D103</f>
        <v>0(含)-20000</v>
      </c>
      <c r="D102" s="3786" t="str">
        <f t="shared" ref="D102:L102" si="22">D103&amp;"(含)"&amp;"-"&amp;E103</f>
        <v>20000(含)-40000</v>
      </c>
      <c r="E102" s="3786" t="str">
        <f t="shared" si="22"/>
        <v>40000(含)-60000</v>
      </c>
      <c r="F102" s="3786" t="str">
        <f t="shared" si="22"/>
        <v>60000(含)-80000</v>
      </c>
      <c r="G102" s="3786" t="str">
        <f t="shared" si="22"/>
        <v>80000(含)-100000</v>
      </c>
      <c r="H102" s="3786" t="str">
        <f t="shared" si="22"/>
        <v>100000(含)-120000</v>
      </c>
      <c r="I102" s="3786" t="str">
        <f t="shared" si="22"/>
        <v>120000(含)-</v>
      </c>
      <c r="J102" s="3786" t="str">
        <f t="shared" si="22"/>
        <v>(含)-</v>
      </c>
      <c r="K102" s="3786" t="str">
        <f t="shared" si="22"/>
        <v>(含)-</v>
      </c>
      <c r="L102" s="3786" t="str">
        <f t="shared" si="22"/>
        <v>(含)-</v>
      </c>
      <c r="M102" s="3930" t="str">
        <f>M103&amp;"(含)"&amp;"-"&amp;P103</f>
        <v>(含)-</v>
      </c>
      <c r="N102" s="3557"/>
      <c r="O102" s="3557"/>
      <c r="P102" s="3557"/>
      <c r="Q102" s="3557"/>
      <c r="R102" s="3694"/>
      <c r="S102" s="3694"/>
      <c r="T102" s="3694"/>
      <c r="U102" s="3694"/>
      <c r="V102" s="3694"/>
      <c r="W102" s="3694"/>
      <c r="X102" s="3694"/>
      <c r="Y102" s="3694"/>
      <c r="Z102" s="3694"/>
      <c r="AA102" s="3694"/>
      <c r="AB102" s="3694"/>
      <c r="AC102" s="3694"/>
    </row>
    <row r="103" spans="1:29" s="3678" customFormat="1">
      <c r="A103" s="3669"/>
      <c r="B103" s="3808"/>
      <c r="C103" s="3809">
        <v>0</v>
      </c>
      <c r="D103" s="3809">
        <v>20000</v>
      </c>
      <c r="E103" s="3809">
        <v>40000</v>
      </c>
      <c r="F103" s="3809">
        <v>60000</v>
      </c>
      <c r="G103" s="3809">
        <v>80000</v>
      </c>
      <c r="H103" s="3809">
        <v>100000</v>
      </c>
      <c r="I103" s="3809">
        <v>120000</v>
      </c>
      <c r="J103" s="3810"/>
      <c r="K103" s="3810"/>
      <c r="L103" s="3811"/>
      <c r="M103" s="3812"/>
      <c r="N103" s="3590"/>
      <c r="O103" s="3590"/>
      <c r="P103" s="3590"/>
      <c r="Q103" s="3590"/>
      <c r="R103" s="3769"/>
      <c r="S103" s="3769"/>
      <c r="T103" s="3769"/>
      <c r="U103" s="3769"/>
      <c r="V103" s="3769"/>
      <c r="W103" s="3769"/>
      <c r="X103" s="3769"/>
      <c r="Y103" s="3769"/>
      <c r="Z103" s="3769"/>
      <c r="AA103" s="3769"/>
      <c r="AB103" s="3769"/>
      <c r="AC103" s="3769"/>
    </row>
    <row r="104" spans="1:29" s="3678" customFormat="1" ht="15.75" thickBot="1">
      <c r="A104" s="3764"/>
      <c r="B104" s="3754"/>
      <c r="C104" s="3770">
        <v>100</v>
      </c>
      <c r="D104" s="3745">
        <v>102</v>
      </c>
      <c r="E104" s="3745">
        <v>104</v>
      </c>
      <c r="F104" s="3745">
        <v>106</v>
      </c>
      <c r="G104" s="3745">
        <v>108</v>
      </c>
      <c r="H104" s="3745">
        <v>110</v>
      </c>
      <c r="I104" s="3745">
        <v>112</v>
      </c>
      <c r="J104" s="3745"/>
      <c r="K104" s="3745"/>
      <c r="L104" s="3745"/>
      <c r="M104" s="3771"/>
      <c r="N104" s="3748"/>
      <c r="O104" s="3748"/>
      <c r="P104" s="3590"/>
      <c r="Q104" s="3590"/>
      <c r="R104" s="3769"/>
      <c r="S104" s="3769"/>
      <c r="T104" s="3769"/>
      <c r="U104" s="3769"/>
      <c r="V104" s="3769"/>
      <c r="W104" s="3769"/>
      <c r="X104" s="3769"/>
      <c r="Y104" s="3769"/>
      <c r="Z104" s="3769"/>
      <c r="AA104" s="3769"/>
      <c r="AB104" s="3769"/>
      <c r="AC104" s="3769"/>
    </row>
    <row r="105" spans="1:29" ht="15" thickTop="1">
      <c r="A105" s="3679"/>
      <c r="B105" s="3749" t="s">
        <v>3381</v>
      </c>
      <c r="C105" s="3796" t="s">
        <v>3382</v>
      </c>
      <c r="D105" s="3796" t="s">
        <v>3383</v>
      </c>
      <c r="E105" s="3797"/>
      <c r="F105" s="3797"/>
      <c r="G105" s="3797"/>
      <c r="H105" s="3797"/>
      <c r="I105" s="3797"/>
      <c r="J105" s="3797"/>
      <c r="K105" s="3798"/>
      <c r="L105" s="3799"/>
      <c r="M105" s="3800"/>
      <c r="N105" s="3599"/>
      <c r="O105" s="3599"/>
      <c r="P105" s="3557"/>
      <c r="Q105" s="3557"/>
      <c r="R105" s="3694"/>
      <c r="S105" s="3694"/>
      <c r="T105" s="3694"/>
      <c r="U105" s="3694"/>
      <c r="V105" s="3694"/>
      <c r="W105" s="3694"/>
      <c r="X105" s="3694"/>
      <c r="Y105" s="3694"/>
      <c r="Z105" s="3694"/>
      <c r="AA105" s="3694"/>
      <c r="AB105" s="3694"/>
      <c r="AC105" s="3694"/>
    </row>
    <row r="106" spans="1:29" ht="15.75" thickBot="1">
      <c r="A106" s="3616"/>
      <c r="B106" s="3754"/>
      <c r="C106" s="3755">
        <v>100</v>
      </c>
      <c r="D106" s="3755">
        <f t="shared" ref="D106:M106" si="23">C106-$K34</f>
        <v>98</v>
      </c>
      <c r="E106" s="3755">
        <f t="shared" si="23"/>
        <v>96</v>
      </c>
      <c r="F106" s="3755">
        <f t="shared" si="23"/>
        <v>94</v>
      </c>
      <c r="G106" s="3755">
        <f t="shared" si="23"/>
        <v>92</v>
      </c>
      <c r="H106" s="3755">
        <f t="shared" si="23"/>
        <v>90</v>
      </c>
      <c r="I106" s="3755">
        <f t="shared" si="23"/>
        <v>88</v>
      </c>
      <c r="J106" s="3755">
        <f t="shared" si="23"/>
        <v>86</v>
      </c>
      <c r="K106" s="3755">
        <f t="shared" si="23"/>
        <v>84</v>
      </c>
      <c r="L106" s="3755">
        <f t="shared" si="23"/>
        <v>82</v>
      </c>
      <c r="M106" s="3756">
        <f t="shared" si="23"/>
        <v>80</v>
      </c>
      <c r="N106" s="3748"/>
      <c r="O106" s="3748"/>
      <c r="P106" s="3557"/>
      <c r="Q106" s="3557"/>
      <c r="R106" s="3694"/>
      <c r="S106" s="3694"/>
      <c r="T106" s="3694"/>
      <c r="U106" s="3694"/>
      <c r="V106" s="3694"/>
      <c r="W106" s="3694"/>
      <c r="X106" s="3694"/>
      <c r="Y106" s="3694"/>
      <c r="Z106" s="3694"/>
      <c r="AA106" s="3694"/>
      <c r="AB106" s="3694"/>
      <c r="AC106" s="3694"/>
    </row>
    <row r="107" spans="1:29" ht="15" thickTop="1">
      <c r="A107" s="3679"/>
      <c r="B107" s="3749" t="s">
        <v>3335</v>
      </c>
      <c r="C107" s="3796" t="s">
        <v>3384</v>
      </c>
      <c r="D107" s="3796" t="s">
        <v>3385</v>
      </c>
      <c r="E107" s="3796" t="s">
        <v>3386</v>
      </c>
      <c r="F107" s="3813" t="s">
        <v>3387</v>
      </c>
      <c r="G107" s="3797"/>
      <c r="H107" s="3797"/>
      <c r="I107" s="3797"/>
      <c r="J107" s="3797"/>
      <c r="K107" s="3798"/>
      <c r="L107" s="3799"/>
      <c r="M107" s="3800"/>
      <c r="N107" s="3599"/>
      <c r="O107" s="3599"/>
      <c r="P107" s="3557"/>
      <c r="Q107" s="3557"/>
      <c r="R107" s="3694"/>
      <c r="S107" s="3694"/>
      <c r="T107" s="3694"/>
      <c r="U107" s="3694"/>
      <c r="V107" s="3694"/>
      <c r="W107" s="3694"/>
      <c r="X107" s="3694"/>
      <c r="Y107" s="3694"/>
      <c r="Z107" s="3694"/>
      <c r="AA107" s="3694"/>
      <c r="AB107" s="3694"/>
      <c r="AC107" s="3694"/>
    </row>
    <row r="108" spans="1:29" ht="15.75" thickBot="1">
      <c r="A108" s="3616"/>
      <c r="B108" s="3754"/>
      <c r="C108" s="3755">
        <v>100</v>
      </c>
      <c r="D108" s="3755">
        <f t="shared" ref="D108:M108" si="24">C108-$K35</f>
        <v>98</v>
      </c>
      <c r="E108" s="3755">
        <f t="shared" si="24"/>
        <v>96</v>
      </c>
      <c r="F108" s="3755">
        <f t="shared" si="24"/>
        <v>94</v>
      </c>
      <c r="G108" s="3755">
        <f t="shared" si="24"/>
        <v>92</v>
      </c>
      <c r="H108" s="3755">
        <f t="shared" si="24"/>
        <v>90</v>
      </c>
      <c r="I108" s="3755">
        <f t="shared" si="24"/>
        <v>88</v>
      </c>
      <c r="J108" s="3755">
        <f t="shared" si="24"/>
        <v>86</v>
      </c>
      <c r="K108" s="3755">
        <f t="shared" si="24"/>
        <v>84</v>
      </c>
      <c r="L108" s="3755">
        <f t="shared" si="24"/>
        <v>82</v>
      </c>
      <c r="M108" s="3756">
        <f t="shared" si="24"/>
        <v>80</v>
      </c>
      <c r="N108" s="3748"/>
      <c r="O108" s="3748"/>
      <c r="P108" s="3557"/>
      <c r="Q108" s="3557"/>
      <c r="R108" s="3694"/>
      <c r="S108" s="3694"/>
      <c r="T108" s="3694"/>
      <c r="U108" s="3694"/>
      <c r="V108" s="3694"/>
      <c r="W108" s="3694"/>
      <c r="X108" s="3694"/>
      <c r="Y108" s="3694"/>
      <c r="Z108" s="3694"/>
      <c r="AA108" s="3694"/>
      <c r="AB108" s="3694"/>
      <c r="AC108" s="3694"/>
    </row>
    <row r="109" spans="1:29" ht="15.75" hidden="1" thickTop="1" thickBot="1">
      <c r="A109" s="3679"/>
      <c r="B109" s="3749" t="s">
        <v>3336</v>
      </c>
      <c r="C109" s="3786" t="str">
        <f>C110&amp;"(含)"&amp;"-"&amp;D110</f>
        <v>0.5(含)-0.6</v>
      </c>
      <c r="D109" s="3786" t="str">
        <f>D110&amp;"(含)"&amp;"-"&amp;E110</f>
        <v>0.6(含)-0.7</v>
      </c>
      <c r="E109" s="3786" t="str">
        <f>E110&amp;"(含)"&amp;"-"&amp;F110</f>
        <v>0.7(含)-0.8</v>
      </c>
      <c r="F109" s="3786" t="str">
        <f>F110&amp;"(含)"&amp;"-"&amp;G110</f>
        <v>0.8(含)-0.9</v>
      </c>
      <c r="G109" s="3786" t="str">
        <f>G110&amp;"(含)"&amp;"-"&amp;ROUND(H110,0)</f>
        <v>0.9(含)-1</v>
      </c>
      <c r="H109" s="3786"/>
      <c r="I109" s="3797"/>
      <c r="J109" s="3797"/>
      <c r="K109" s="3798"/>
      <c r="L109" s="3799"/>
      <c r="M109" s="3800"/>
      <c r="N109" s="3599"/>
      <c r="O109" s="3599"/>
      <c r="P109" s="3557"/>
      <c r="Q109" s="3557"/>
      <c r="R109" s="3694"/>
      <c r="S109" s="3694"/>
      <c r="T109" s="3694"/>
      <c r="U109" s="3694"/>
      <c r="V109" s="3694"/>
      <c r="W109" s="3694"/>
      <c r="X109" s="3694"/>
      <c r="Y109" s="3694"/>
      <c r="Z109" s="3694"/>
      <c r="AA109" s="3694"/>
      <c r="AB109" s="3694"/>
      <c r="AC109" s="3694"/>
    </row>
    <row r="110" spans="1:29" ht="15.75" hidden="1" thickTop="1" thickBot="1">
      <c r="A110" s="3679"/>
      <c r="B110" s="3757"/>
      <c r="C110" s="3576">
        <v>0.5</v>
      </c>
      <c r="D110" s="3576">
        <v>0.6</v>
      </c>
      <c r="E110" s="3576">
        <v>0.7</v>
      </c>
      <c r="F110" s="3576">
        <v>0.8</v>
      </c>
      <c r="G110" s="3576">
        <v>0.9</v>
      </c>
      <c r="H110" s="3576">
        <v>1.0001</v>
      </c>
      <c r="I110" s="3931"/>
      <c r="J110" s="3931"/>
      <c r="K110" s="3932"/>
      <c r="L110" s="3933"/>
      <c r="M110" s="3934"/>
      <c r="N110" s="3599"/>
      <c r="O110" s="3599"/>
      <c r="P110" s="3557"/>
      <c r="Q110" s="3557"/>
      <c r="R110" s="3694"/>
      <c r="S110" s="3694"/>
      <c r="T110" s="3694"/>
      <c r="U110" s="3694"/>
      <c r="V110" s="3694"/>
      <c r="W110" s="3694"/>
      <c r="X110" s="3694"/>
      <c r="Y110" s="3694"/>
      <c r="Z110" s="3694"/>
      <c r="AA110" s="3694"/>
      <c r="AB110" s="3694"/>
      <c r="AC110" s="3694"/>
    </row>
    <row r="111" spans="1:29" ht="16.5" hidden="1" thickTop="1" thickBot="1">
      <c r="A111" s="3616"/>
      <c r="B111" s="3754"/>
      <c r="C111" s="3794">
        <v>100</v>
      </c>
      <c r="D111" s="3755">
        <f>C111+$K36</f>
        <v>101</v>
      </c>
      <c r="E111" s="3755">
        <f t="shared" ref="E111:M111" si="25">D111+$K36</f>
        <v>102</v>
      </c>
      <c r="F111" s="3755">
        <f t="shared" si="25"/>
        <v>103</v>
      </c>
      <c r="G111" s="3755">
        <f t="shared" si="25"/>
        <v>104</v>
      </c>
      <c r="H111" s="3755">
        <f t="shared" si="25"/>
        <v>105</v>
      </c>
      <c r="I111" s="3755">
        <f t="shared" si="25"/>
        <v>106</v>
      </c>
      <c r="J111" s="3755">
        <f t="shared" si="25"/>
        <v>107</v>
      </c>
      <c r="K111" s="3755">
        <f t="shared" si="25"/>
        <v>108</v>
      </c>
      <c r="L111" s="3755">
        <f t="shared" si="25"/>
        <v>109</v>
      </c>
      <c r="M111" s="3755">
        <f t="shared" si="25"/>
        <v>110</v>
      </c>
      <c r="N111" s="3748"/>
      <c r="O111" s="3748"/>
      <c r="P111" s="3557"/>
      <c r="Q111" s="3557"/>
      <c r="R111" s="3694"/>
      <c r="S111" s="3694"/>
      <c r="T111" s="3694"/>
      <c r="U111" s="3694"/>
      <c r="V111" s="3694"/>
      <c r="W111" s="3694"/>
      <c r="X111" s="3694"/>
      <c r="Y111" s="3694"/>
      <c r="Z111" s="3694"/>
      <c r="AA111" s="3694"/>
      <c r="AB111" s="3694"/>
      <c r="AC111" s="3694"/>
    </row>
    <row r="112" spans="1:29" s="3678" customFormat="1" ht="15.75" hidden="1" thickTop="1" thickBot="1">
      <c r="A112" s="3669"/>
      <c r="B112" s="3787" t="s">
        <v>3388</v>
      </c>
      <c r="C112" s="3765"/>
      <c r="D112" s="3765"/>
      <c r="E112" s="3765"/>
      <c r="F112" s="3765"/>
      <c r="G112" s="3765"/>
      <c r="H112" s="3797"/>
      <c r="I112" s="3797"/>
      <c r="J112" s="3797"/>
      <c r="K112" s="3798"/>
      <c r="L112" s="3799"/>
      <c r="M112" s="3800"/>
      <c r="N112" s="3590"/>
      <c r="O112" s="3590"/>
      <c r="P112" s="3590"/>
      <c r="Q112" s="3590"/>
      <c r="R112" s="3769"/>
      <c r="S112" s="3769"/>
      <c r="T112" s="3769"/>
      <c r="U112" s="3769"/>
      <c r="V112" s="3769"/>
      <c r="W112" s="3769"/>
      <c r="X112" s="3769"/>
      <c r="Y112" s="3769"/>
      <c r="Z112" s="3769"/>
      <c r="AA112" s="3769"/>
      <c r="AB112" s="3769"/>
      <c r="AC112" s="3769"/>
    </row>
    <row r="113" spans="1:29" s="3678" customFormat="1" ht="16.5" hidden="1" thickTop="1" thickBot="1">
      <c r="A113" s="3764"/>
      <c r="B113" s="3754"/>
      <c r="C113" s="3755">
        <v>100</v>
      </c>
      <c r="D113" s="3755">
        <f>C113-$K37</f>
        <v>100</v>
      </c>
      <c r="E113" s="3755">
        <f t="shared" ref="E113:M113" si="26">D113-$K37</f>
        <v>100</v>
      </c>
      <c r="F113" s="3755">
        <f t="shared" si="26"/>
        <v>100</v>
      </c>
      <c r="G113" s="3755">
        <f t="shared" si="26"/>
        <v>100</v>
      </c>
      <c r="H113" s="3755">
        <f t="shared" si="26"/>
        <v>100</v>
      </c>
      <c r="I113" s="3755">
        <f t="shared" si="26"/>
        <v>100</v>
      </c>
      <c r="J113" s="3755">
        <f t="shared" si="26"/>
        <v>100</v>
      </c>
      <c r="K113" s="3755">
        <f t="shared" si="26"/>
        <v>100</v>
      </c>
      <c r="L113" s="3755">
        <f t="shared" si="26"/>
        <v>100</v>
      </c>
      <c r="M113" s="3755">
        <f t="shared" si="26"/>
        <v>100</v>
      </c>
      <c r="N113" s="3590"/>
      <c r="O113" s="3590"/>
      <c r="P113" s="3590"/>
      <c r="Q113" s="3590"/>
      <c r="R113" s="3769"/>
      <c r="S113" s="3769"/>
      <c r="T113" s="3769"/>
      <c r="U113" s="3769"/>
      <c r="V113" s="3769"/>
      <c r="W113" s="3769"/>
      <c r="X113" s="3769"/>
      <c r="Y113" s="3769"/>
      <c r="Z113" s="3769"/>
      <c r="AA113" s="3769"/>
      <c r="AB113" s="3769"/>
      <c r="AC113" s="3769"/>
    </row>
    <row r="114" spans="1:29" ht="15" thickTop="1">
      <c r="A114" s="3679"/>
      <c r="B114" s="3749" t="s">
        <v>3389</v>
      </c>
      <c r="C114" s="3796" t="s">
        <v>3390</v>
      </c>
      <c r="D114" s="3796" t="s">
        <v>3391</v>
      </c>
      <c r="E114" s="3797"/>
      <c r="F114" s="3797"/>
      <c r="G114" s="3797"/>
      <c r="H114" s="3797"/>
      <c r="I114" s="3797"/>
      <c r="J114" s="3797"/>
      <c r="K114" s="3798"/>
      <c r="L114" s="3799"/>
      <c r="M114" s="3800"/>
      <c r="N114" s="3599"/>
      <c r="O114" s="3599"/>
      <c r="P114" s="3557"/>
      <c r="Q114" s="3557"/>
      <c r="R114" s="3694"/>
      <c r="S114" s="3694"/>
      <c r="T114" s="3694"/>
      <c r="U114" s="3694"/>
      <c r="V114" s="3694"/>
      <c r="W114" s="3694"/>
      <c r="X114" s="3694"/>
      <c r="Y114" s="3694"/>
      <c r="Z114" s="3694"/>
      <c r="AA114" s="3694"/>
      <c r="AB114" s="3694"/>
      <c r="AC114" s="3694"/>
    </row>
    <row r="115" spans="1:29" ht="15.75" thickBot="1">
      <c r="A115" s="3616"/>
      <c r="B115" s="3754"/>
      <c r="C115" s="3755">
        <v>100</v>
      </c>
      <c r="D115" s="3755">
        <f t="shared" ref="D115:M115" si="27">C115-$K38</f>
        <v>98</v>
      </c>
      <c r="E115" s="3755">
        <f t="shared" si="27"/>
        <v>96</v>
      </c>
      <c r="F115" s="3755">
        <f t="shared" si="27"/>
        <v>94</v>
      </c>
      <c r="G115" s="3755">
        <f t="shared" si="27"/>
        <v>92</v>
      </c>
      <c r="H115" s="3755">
        <f t="shared" si="27"/>
        <v>90</v>
      </c>
      <c r="I115" s="3755">
        <f t="shared" si="27"/>
        <v>88</v>
      </c>
      <c r="J115" s="3755">
        <f t="shared" si="27"/>
        <v>86</v>
      </c>
      <c r="K115" s="3755">
        <f t="shared" si="27"/>
        <v>84</v>
      </c>
      <c r="L115" s="3755">
        <f t="shared" si="27"/>
        <v>82</v>
      </c>
      <c r="M115" s="3756">
        <f t="shared" si="27"/>
        <v>80</v>
      </c>
      <c r="N115" s="3748"/>
      <c r="O115" s="3748"/>
      <c r="P115" s="3557"/>
      <c r="Q115" s="3557"/>
      <c r="R115" s="3694"/>
      <c r="S115" s="3694"/>
      <c r="T115" s="3694"/>
      <c r="U115" s="3694"/>
      <c r="V115" s="3694"/>
      <c r="W115" s="3694"/>
      <c r="X115" s="3694"/>
      <c r="Y115" s="3694"/>
      <c r="Z115" s="3694"/>
      <c r="AA115" s="3694"/>
      <c r="AB115" s="3694"/>
      <c r="AC115" s="3694"/>
    </row>
    <row r="116" spans="1:29" ht="15" thickTop="1">
      <c r="A116" s="3679"/>
      <c r="B116" s="3749" t="s">
        <v>3392</v>
      </c>
      <c r="C116" s="3796" t="s">
        <v>3393</v>
      </c>
      <c r="D116" s="3796" t="s">
        <v>3394</v>
      </c>
      <c r="E116" s="3765"/>
      <c r="F116" s="3765"/>
      <c r="G116" s="3765"/>
      <c r="H116" s="3797"/>
      <c r="I116" s="3797"/>
      <c r="J116" s="3797"/>
      <c r="K116" s="3798"/>
      <c r="L116" s="3799"/>
      <c r="M116" s="3800"/>
      <c r="N116" s="3599"/>
      <c r="O116" s="3599"/>
      <c r="P116" s="3557"/>
      <c r="Q116" s="3557"/>
      <c r="R116" s="3694"/>
      <c r="S116" s="3694"/>
      <c r="T116" s="3694"/>
      <c r="U116" s="3694"/>
      <c r="V116" s="3694"/>
      <c r="W116" s="3694"/>
      <c r="X116" s="3694"/>
      <c r="Y116" s="3694"/>
      <c r="Z116" s="3694"/>
      <c r="AA116" s="3694"/>
      <c r="AB116" s="3694"/>
      <c r="AC116" s="3694"/>
    </row>
    <row r="117" spans="1:29" ht="15.75" thickBot="1">
      <c r="A117" s="3616"/>
      <c r="B117" s="3754"/>
      <c r="C117" s="3755">
        <v>100</v>
      </c>
      <c r="D117" s="3755">
        <f>C117-$K39</f>
        <v>98</v>
      </c>
      <c r="E117" s="3755">
        <f>D117-$K39</f>
        <v>96</v>
      </c>
      <c r="F117" s="3755">
        <f>E117-$K39</f>
        <v>94</v>
      </c>
      <c r="G117" s="3755">
        <f>F117-$K39</f>
        <v>92</v>
      </c>
      <c r="H117" s="3755"/>
      <c r="I117" s="3755"/>
      <c r="J117" s="3755"/>
      <c r="K117" s="3755"/>
      <c r="L117" s="3755"/>
      <c r="M117" s="3756"/>
      <c r="N117" s="3748"/>
      <c r="O117" s="3748"/>
      <c r="P117" s="3557"/>
      <c r="Q117" s="3557"/>
      <c r="R117" s="3694"/>
      <c r="S117" s="3694"/>
      <c r="T117" s="3694"/>
      <c r="U117" s="3694"/>
      <c r="V117" s="3694"/>
      <c r="W117" s="3694"/>
      <c r="X117" s="3694"/>
      <c r="Y117" s="3694"/>
      <c r="Z117" s="3694"/>
      <c r="AA117" s="3694"/>
      <c r="AB117" s="3694"/>
      <c r="AC117" s="3694"/>
    </row>
    <row r="118" spans="1:29" ht="15" thickTop="1">
      <c r="A118" s="3679"/>
      <c r="B118" s="3749" t="s">
        <v>3395</v>
      </c>
      <c r="C118" s="3935" t="s">
        <v>3396</v>
      </c>
      <c r="D118" s="3935" t="s">
        <v>3397</v>
      </c>
      <c r="E118" s="3935" t="s">
        <v>3398</v>
      </c>
      <c r="F118" s="3935"/>
      <c r="G118" s="3935"/>
      <c r="H118" s="3766"/>
      <c r="I118" s="3766"/>
      <c r="J118" s="3766"/>
      <c r="K118" s="3766"/>
      <c r="L118" s="3767"/>
      <c r="M118" s="3768"/>
      <c r="N118" s="3599"/>
      <c r="O118" s="3599"/>
      <c r="P118" s="3557"/>
      <c r="Q118" s="3557"/>
      <c r="R118" s="3694"/>
      <c r="S118" s="3694"/>
      <c r="T118" s="3694"/>
      <c r="U118" s="3694"/>
      <c r="V118" s="3694"/>
      <c r="W118" s="3694"/>
      <c r="X118" s="3694"/>
      <c r="Y118" s="3694"/>
      <c r="Z118" s="3694"/>
      <c r="AA118" s="3694"/>
      <c r="AB118" s="3694"/>
      <c r="AC118" s="3694"/>
    </row>
    <row r="119" spans="1:29" ht="15.75" thickBot="1">
      <c r="A119" s="3616"/>
      <c r="B119" s="3754"/>
      <c r="C119" s="3770">
        <v>100</v>
      </c>
      <c r="D119" s="3745">
        <v>95</v>
      </c>
      <c r="E119" s="3745">
        <v>90</v>
      </c>
      <c r="F119" s="3745"/>
      <c r="G119" s="3745"/>
      <c r="H119" s="3745"/>
      <c r="I119" s="3745"/>
      <c r="J119" s="3745"/>
      <c r="K119" s="3745"/>
      <c r="L119" s="3745"/>
      <c r="M119" s="3771"/>
      <c r="N119" s="3748"/>
      <c r="O119" s="3748"/>
      <c r="P119" s="3557"/>
      <c r="Q119" s="3557"/>
      <c r="R119" s="3694"/>
      <c r="S119" s="3694"/>
      <c r="T119" s="3694"/>
      <c r="U119" s="3694"/>
      <c r="V119" s="3694"/>
      <c r="W119" s="3694"/>
      <c r="X119" s="3694"/>
      <c r="Y119" s="3694"/>
      <c r="Z119" s="3694"/>
      <c r="AA119" s="3694"/>
      <c r="AB119" s="3694"/>
      <c r="AC119" s="3694"/>
    </row>
    <row r="120" spans="1:29" s="3678" customFormat="1" ht="15.75" hidden="1" thickTop="1" thickBot="1">
      <c r="A120" s="3669"/>
      <c r="B120" s="3749" t="s">
        <v>3399</v>
      </c>
      <c r="C120" s="3797"/>
      <c r="D120" s="3797"/>
      <c r="E120" s="3797"/>
      <c r="F120" s="3797"/>
      <c r="G120" s="3766"/>
      <c r="H120" s="3766"/>
      <c r="I120" s="3766"/>
      <c r="J120" s="3766"/>
      <c r="K120" s="3766"/>
      <c r="L120" s="3767"/>
      <c r="M120" s="3768"/>
      <c r="N120" s="3590"/>
      <c r="O120" s="3590"/>
      <c r="P120" s="3590"/>
      <c r="Q120" s="3590"/>
      <c r="R120" s="3769"/>
      <c r="S120" s="3769"/>
      <c r="T120" s="3769"/>
      <c r="U120" s="3769"/>
      <c r="V120" s="3769"/>
      <c r="W120" s="3769"/>
      <c r="X120" s="3769"/>
      <c r="Y120" s="3769"/>
      <c r="Z120" s="3769"/>
      <c r="AA120" s="3769"/>
      <c r="AB120" s="3769"/>
      <c r="AC120" s="3769"/>
    </row>
    <row r="121" spans="1:29" s="3678" customFormat="1" ht="16.5" hidden="1" thickTop="1" thickBot="1">
      <c r="A121" s="3764"/>
      <c r="B121" s="3744"/>
      <c r="C121" s="3794">
        <v>100</v>
      </c>
      <c r="D121" s="3755">
        <f>C121-$K41</f>
        <v>100</v>
      </c>
      <c r="E121" s="3755">
        <f t="shared" ref="E121:M121" si="28">D121-$K41</f>
        <v>100</v>
      </c>
      <c r="F121" s="3755">
        <f t="shared" si="28"/>
        <v>100</v>
      </c>
      <c r="G121" s="3755">
        <f t="shared" si="28"/>
        <v>100</v>
      </c>
      <c r="H121" s="3755">
        <f t="shared" si="28"/>
        <v>100</v>
      </c>
      <c r="I121" s="3755">
        <f t="shared" si="28"/>
        <v>100</v>
      </c>
      <c r="J121" s="3755">
        <f t="shared" si="28"/>
        <v>100</v>
      </c>
      <c r="K121" s="3755">
        <f t="shared" si="28"/>
        <v>100</v>
      </c>
      <c r="L121" s="3755">
        <f t="shared" si="28"/>
        <v>100</v>
      </c>
      <c r="M121" s="3756">
        <f t="shared" si="28"/>
        <v>100</v>
      </c>
      <c r="N121" s="3590"/>
      <c r="O121" s="3590"/>
      <c r="P121" s="3590"/>
      <c r="Q121" s="3590"/>
      <c r="R121" s="3769"/>
      <c r="S121" s="3769"/>
      <c r="T121" s="3769"/>
      <c r="U121" s="3769"/>
      <c r="V121" s="3769"/>
      <c r="W121" s="3769"/>
      <c r="X121" s="3769"/>
      <c r="Y121" s="3769"/>
      <c r="Z121" s="3769"/>
      <c r="AA121" s="3769"/>
      <c r="AB121" s="3769"/>
      <c r="AC121" s="3769"/>
    </row>
    <row r="122" spans="1:29" ht="15" thickTop="1">
      <c r="A122" s="3679"/>
      <c r="B122" s="3749" t="s">
        <v>3400</v>
      </c>
      <c r="C122" s="3796" t="s">
        <v>3384</v>
      </c>
      <c r="D122" s="3796" t="s">
        <v>3385</v>
      </c>
      <c r="E122" s="3796" t="s">
        <v>3386</v>
      </c>
      <c r="F122" s="3813" t="s">
        <v>3387</v>
      </c>
      <c r="G122" s="3797"/>
      <c r="H122" s="3797"/>
      <c r="I122" s="3797"/>
      <c r="J122" s="3797"/>
      <c r="K122" s="3798"/>
      <c r="L122" s="3799"/>
      <c r="M122" s="3800"/>
      <c r="N122" s="3599"/>
      <c r="O122" s="3599"/>
      <c r="P122" s="3557"/>
      <c r="Q122" s="3557"/>
      <c r="R122" s="3694"/>
      <c r="S122" s="3694"/>
      <c r="T122" s="3694"/>
      <c r="U122" s="3694"/>
      <c r="V122" s="3694"/>
      <c r="W122" s="3694"/>
      <c r="X122" s="3694"/>
      <c r="Y122" s="3694"/>
      <c r="Z122" s="3694"/>
      <c r="AA122" s="3694"/>
      <c r="AB122" s="3694"/>
      <c r="AC122" s="3694"/>
    </row>
    <row r="123" spans="1:29" ht="15.75" thickBot="1">
      <c r="A123" s="3616"/>
      <c r="B123" s="3754"/>
      <c r="C123" s="3755">
        <v>100</v>
      </c>
      <c r="D123" s="3755">
        <f t="shared" ref="D123:M123" si="29">C123-$K42</f>
        <v>98</v>
      </c>
      <c r="E123" s="3755">
        <f t="shared" si="29"/>
        <v>96</v>
      </c>
      <c r="F123" s="3755">
        <f t="shared" si="29"/>
        <v>94</v>
      </c>
      <c r="G123" s="3755">
        <f t="shared" si="29"/>
        <v>92</v>
      </c>
      <c r="H123" s="3755">
        <f t="shared" si="29"/>
        <v>90</v>
      </c>
      <c r="I123" s="3755">
        <f t="shared" si="29"/>
        <v>88</v>
      </c>
      <c r="J123" s="3755">
        <f t="shared" si="29"/>
        <v>86</v>
      </c>
      <c r="K123" s="3755">
        <f t="shared" si="29"/>
        <v>84</v>
      </c>
      <c r="L123" s="3755">
        <f t="shared" si="29"/>
        <v>82</v>
      </c>
      <c r="M123" s="3756">
        <f t="shared" si="29"/>
        <v>80</v>
      </c>
      <c r="N123" s="3748"/>
      <c r="O123" s="3748"/>
      <c r="P123" s="3557"/>
      <c r="Q123" s="3557"/>
      <c r="R123" s="3694"/>
      <c r="S123" s="3694"/>
      <c r="T123" s="3694"/>
      <c r="U123" s="3694"/>
      <c r="V123" s="3694"/>
      <c r="W123" s="3694"/>
      <c r="X123" s="3694"/>
      <c r="Y123" s="3694"/>
      <c r="Z123" s="3694"/>
      <c r="AA123" s="3694"/>
      <c r="AB123" s="3694"/>
      <c r="AC123" s="3694"/>
    </row>
    <row r="124" spans="1:29" ht="27.75" hidden="1" thickTop="1">
      <c r="A124" s="3679"/>
      <c r="B124" s="3749" t="s">
        <v>3401</v>
      </c>
      <c r="C124" s="3786" t="s">
        <v>3359</v>
      </c>
      <c r="D124" s="3786" t="s">
        <v>3360</v>
      </c>
      <c r="E124" s="3786" t="s">
        <v>3361</v>
      </c>
      <c r="F124" s="3786" t="s">
        <v>3362</v>
      </c>
      <c r="G124" s="3786" t="s">
        <v>3363</v>
      </c>
      <c r="H124" s="3750"/>
      <c r="I124" s="3750"/>
      <c r="J124" s="3750"/>
      <c r="K124" s="3751"/>
      <c r="L124" s="3752"/>
      <c r="M124" s="3753"/>
      <c r="N124" s="3599"/>
      <c r="O124" s="3599"/>
      <c r="P124" s="3590"/>
      <c r="Q124" s="3557"/>
      <c r="R124" s="3694"/>
      <c r="S124" s="3694"/>
      <c r="T124" s="3694"/>
      <c r="U124" s="3694"/>
      <c r="V124" s="3694"/>
      <c r="W124" s="3694"/>
      <c r="X124" s="3694"/>
      <c r="Y124" s="3694"/>
      <c r="Z124" s="3694"/>
      <c r="AA124" s="3694"/>
      <c r="AB124" s="3694"/>
      <c r="AC124" s="3694"/>
    </row>
    <row r="125" spans="1:29" ht="16.5" hidden="1" thickTop="1" thickBot="1">
      <c r="A125" s="3616"/>
      <c r="B125" s="3754"/>
      <c r="C125" s="3755">
        <v>100</v>
      </c>
      <c r="D125" s="3755">
        <f>C125-$K43</f>
        <v>100</v>
      </c>
      <c r="E125" s="3755">
        <f>D125-$K43</f>
        <v>100</v>
      </c>
      <c r="F125" s="3755">
        <f>E125-$K43</f>
        <v>100</v>
      </c>
      <c r="G125" s="3755">
        <f>F125-$K43</f>
        <v>100</v>
      </c>
      <c r="H125" s="3755"/>
      <c r="I125" s="3755"/>
      <c r="J125" s="3755"/>
      <c r="K125" s="3755"/>
      <c r="L125" s="3755"/>
      <c r="M125" s="3756"/>
      <c r="N125" s="3748"/>
      <c r="O125" s="3748"/>
      <c r="P125" s="3557"/>
      <c r="Q125" s="3557"/>
      <c r="R125" s="3694"/>
      <c r="S125" s="3694"/>
      <c r="T125" s="3694"/>
      <c r="U125" s="3694"/>
      <c r="V125" s="3694"/>
      <c r="W125" s="3694"/>
      <c r="X125" s="3694"/>
      <c r="Y125" s="3694"/>
      <c r="Z125" s="3694"/>
      <c r="AA125" s="3694"/>
      <c r="AB125" s="3694"/>
      <c r="AC125" s="3694"/>
    </row>
    <row r="126" spans="1:29" s="3678" customFormat="1" ht="15" hidden="1" thickTop="1">
      <c r="A126" s="3669"/>
      <c r="B126" s="3749">
        <f>B44</f>
        <v>111</v>
      </c>
      <c r="C126" s="3765"/>
      <c r="D126" s="3765"/>
      <c r="E126" s="3765"/>
      <c r="F126" s="3765"/>
      <c r="G126" s="3765"/>
      <c r="H126" s="3766"/>
      <c r="I126" s="3766"/>
      <c r="J126" s="3766"/>
      <c r="K126" s="3766"/>
      <c r="L126" s="3767"/>
      <c r="M126" s="3768"/>
      <c r="N126" s="3590"/>
      <c r="O126" s="3590"/>
      <c r="P126" s="3590"/>
      <c r="Q126" s="3590"/>
      <c r="R126" s="3769"/>
      <c r="S126" s="3769"/>
      <c r="T126" s="3769"/>
      <c r="U126" s="3769"/>
      <c r="V126" s="3769"/>
      <c r="W126" s="3769"/>
      <c r="X126" s="3769"/>
      <c r="Y126" s="3769"/>
      <c r="Z126" s="3769"/>
      <c r="AA126" s="3769"/>
      <c r="AB126" s="3769"/>
      <c r="AC126" s="3769"/>
    </row>
    <row r="127" spans="1:29" s="3678" customFormat="1" ht="16.5" hidden="1" thickTop="1" thickBot="1">
      <c r="A127" s="3764"/>
      <c r="B127" s="3754"/>
      <c r="C127" s="3770"/>
      <c r="D127" s="3745"/>
      <c r="E127" s="3745"/>
      <c r="F127" s="3745"/>
      <c r="G127" s="3770"/>
      <c r="H127" s="3772"/>
      <c r="I127" s="3772"/>
      <c r="J127" s="3772"/>
      <c r="K127" s="3772"/>
      <c r="L127" s="3772"/>
      <c r="M127" s="3773"/>
      <c r="N127" s="3590"/>
      <c r="O127" s="3590"/>
      <c r="P127" s="3590"/>
      <c r="Q127" s="3590"/>
      <c r="R127" s="3769"/>
      <c r="S127" s="3769"/>
      <c r="T127" s="3769"/>
      <c r="U127" s="3769"/>
      <c r="V127" s="3769"/>
      <c r="W127" s="3769"/>
      <c r="X127" s="3769"/>
      <c r="Y127" s="3769"/>
      <c r="Z127" s="3769"/>
      <c r="AA127" s="3769"/>
      <c r="AB127" s="3769"/>
      <c r="AC127" s="3769"/>
    </row>
    <row r="128" spans="1:29" ht="15" hidden="1" thickTop="1">
      <c r="A128" s="3679"/>
      <c r="B128" s="3749">
        <f>B45</f>
        <v>111</v>
      </c>
      <c r="C128" s="3765"/>
      <c r="D128" s="3765"/>
      <c r="E128" s="3765"/>
      <c r="F128" s="3765"/>
      <c r="G128" s="3797"/>
      <c r="H128" s="3797"/>
      <c r="I128" s="3797"/>
      <c r="J128" s="3797"/>
      <c r="K128" s="3798"/>
      <c r="L128" s="3799"/>
      <c r="M128" s="3800"/>
      <c r="N128" s="3599"/>
      <c r="O128" s="3599"/>
      <c r="P128" s="3557"/>
      <c r="Q128" s="3557"/>
      <c r="R128" s="3694"/>
      <c r="S128" s="3694"/>
      <c r="T128" s="3694"/>
      <c r="U128" s="3694"/>
      <c r="V128" s="3694"/>
      <c r="W128" s="3694"/>
      <c r="X128" s="3694"/>
      <c r="Y128" s="3694"/>
      <c r="Z128" s="3694"/>
      <c r="AA128" s="3694"/>
      <c r="AB128" s="3694"/>
      <c r="AC128" s="3694"/>
    </row>
    <row r="129" spans="1:29" ht="16.5" hidden="1" thickTop="1" thickBot="1">
      <c r="A129" s="3616"/>
      <c r="B129" s="3754"/>
      <c r="C129" s="3770"/>
      <c r="D129" s="3745"/>
      <c r="E129" s="3745"/>
      <c r="F129" s="3745"/>
      <c r="G129" s="3745"/>
      <c r="H129" s="3745"/>
      <c r="I129" s="3745"/>
      <c r="J129" s="3745"/>
      <c r="K129" s="3745"/>
      <c r="L129" s="3745"/>
      <c r="M129" s="3771"/>
      <c r="N129" s="3748"/>
      <c r="O129" s="3748"/>
      <c r="P129" s="3557"/>
      <c r="Q129" s="3557"/>
      <c r="R129" s="3694"/>
      <c r="S129" s="3694"/>
      <c r="T129" s="3694"/>
      <c r="U129" s="3694"/>
      <c r="V129" s="3694"/>
      <c r="W129" s="3694"/>
      <c r="X129" s="3694"/>
      <c r="Y129" s="3694"/>
      <c r="Z129" s="3694"/>
      <c r="AA129" s="3694"/>
      <c r="AB129" s="3694"/>
      <c r="AC129" s="3694"/>
    </row>
    <row r="130" spans="1:29" ht="15" hidden="1" thickTop="1">
      <c r="A130" s="3679"/>
      <c r="B130" s="3757">
        <f>B46</f>
        <v>111</v>
      </c>
      <c r="C130" s="3765"/>
      <c r="D130" s="3765"/>
      <c r="E130" s="3765"/>
      <c r="F130" s="3765"/>
      <c r="G130" s="3801"/>
      <c r="H130" s="3801"/>
      <c r="I130" s="3801"/>
      <c r="J130" s="3801"/>
      <c r="K130" s="3731"/>
      <c r="L130" s="3732"/>
      <c r="M130" s="3804"/>
      <c r="N130" s="3599"/>
      <c r="O130" s="3599"/>
      <c r="P130" s="3557"/>
      <c r="Q130" s="3557"/>
      <c r="R130" s="3694"/>
      <c r="S130" s="3694"/>
      <c r="T130" s="3694"/>
      <c r="U130" s="3694"/>
      <c r="V130" s="3694"/>
      <c r="W130" s="3694"/>
      <c r="X130" s="3694"/>
      <c r="Y130" s="3694"/>
      <c r="Z130" s="3694"/>
      <c r="AA130" s="3694"/>
      <c r="AB130" s="3694"/>
      <c r="AC130" s="3694"/>
    </row>
    <row r="131" spans="1:29" ht="16.5" hidden="1" thickTop="1" thickBot="1">
      <c r="A131" s="3650"/>
      <c r="B131" s="3779"/>
      <c r="C131" s="3780"/>
      <c r="D131" s="3780"/>
      <c r="E131" s="3780"/>
      <c r="F131" s="3780"/>
      <c r="G131" s="3805"/>
      <c r="H131" s="3805"/>
      <c r="I131" s="3805"/>
      <c r="J131" s="3805"/>
      <c r="K131" s="3805"/>
      <c r="L131" s="3805"/>
      <c r="M131" s="3806"/>
      <c r="N131" s="3748"/>
      <c r="O131" s="3748"/>
      <c r="P131" s="3557"/>
      <c r="Q131" s="3557"/>
      <c r="R131" s="3694"/>
      <c r="S131" s="3694"/>
      <c r="T131" s="3694"/>
      <c r="U131" s="3694"/>
      <c r="V131" s="3694"/>
      <c r="W131" s="3694"/>
      <c r="X131" s="3694"/>
      <c r="Y131" s="3694"/>
      <c r="Z131" s="3694"/>
      <c r="AA131" s="3694"/>
      <c r="AB131" s="3694"/>
      <c r="AC131" s="3694"/>
    </row>
    <row r="132" spans="1:29" ht="15" thickTop="1">
      <c r="A132" s="3821"/>
      <c r="B132" s="3821"/>
      <c r="C132" s="3821"/>
      <c r="D132" s="3821"/>
      <c r="E132" s="3821"/>
      <c r="F132" s="3821"/>
      <c r="G132" s="3821"/>
      <c r="H132" s="3821"/>
      <c r="I132" s="3821"/>
      <c r="J132" s="3821"/>
      <c r="K132" s="3821"/>
      <c r="L132" s="3821"/>
      <c r="M132" s="3821"/>
      <c r="N132" s="3821"/>
      <c r="O132" s="3821"/>
      <c r="P132" s="3821"/>
      <c r="Q132" s="3821"/>
      <c r="R132" s="3821"/>
      <c r="S132" s="3821"/>
      <c r="T132" s="3821"/>
      <c r="U132" s="3821"/>
      <c r="V132" s="3821"/>
      <c r="W132" s="3821"/>
      <c r="X132" s="3821"/>
      <c r="Y132" s="3821"/>
      <c r="Z132" s="3821"/>
      <c r="AA132" s="3821"/>
      <c r="AB132" s="3821"/>
      <c r="AC132" s="3821"/>
    </row>
    <row r="133" spans="1:29">
      <c r="A133" s="3821"/>
      <c r="B133" s="3821"/>
      <c r="C133" s="3821"/>
      <c r="D133" s="3821"/>
      <c r="E133" s="3821"/>
      <c r="F133" s="3821"/>
      <c r="G133" s="3821"/>
      <c r="H133" s="3821"/>
      <c r="I133" s="3821"/>
      <c r="J133" s="3821"/>
      <c r="K133" s="3821"/>
      <c r="L133" s="3821"/>
      <c r="M133" s="3821"/>
      <c r="N133" s="3821"/>
      <c r="O133" s="3821"/>
      <c r="P133" s="3821"/>
      <c r="Q133" s="3821"/>
      <c r="R133" s="3821"/>
      <c r="S133" s="3821"/>
      <c r="T133" s="3821"/>
      <c r="U133" s="3821"/>
      <c r="V133" s="3821"/>
      <c r="W133" s="3821"/>
      <c r="X133" s="3821"/>
      <c r="Y133" s="3821"/>
      <c r="Z133" s="3821"/>
      <c r="AA133" s="3821"/>
      <c r="AB133" s="3821"/>
      <c r="AC133" s="3821"/>
    </row>
    <row r="134" spans="1:29">
      <c r="A134" s="3821"/>
      <c r="B134" s="3821"/>
      <c r="C134" s="3821"/>
      <c r="D134" s="3821"/>
      <c r="E134" s="3821"/>
      <c r="F134" s="3821"/>
      <c r="G134" s="3821"/>
      <c r="H134" s="3821"/>
      <c r="I134" s="3821"/>
      <c r="J134" s="3821"/>
      <c r="K134" s="3821"/>
      <c r="L134" s="3821"/>
      <c r="M134" s="3821"/>
      <c r="N134" s="3821"/>
      <c r="O134" s="3821"/>
      <c r="P134" s="3821"/>
      <c r="Q134" s="3821"/>
      <c r="R134" s="3821"/>
      <c r="S134" s="3821"/>
      <c r="T134" s="3821"/>
      <c r="U134" s="3821"/>
      <c r="V134" s="3821"/>
      <c r="W134" s="3821"/>
      <c r="X134" s="3821"/>
      <c r="Y134" s="3821"/>
      <c r="Z134" s="3821"/>
      <c r="AA134" s="3821"/>
      <c r="AB134" s="3821"/>
      <c r="AC134" s="3821"/>
    </row>
    <row r="135" spans="1:29">
      <c r="A135" s="3821"/>
      <c r="B135" s="3821"/>
      <c r="C135" s="3821"/>
      <c r="D135" s="3821"/>
      <c r="E135" s="3821"/>
      <c r="F135" s="3821"/>
      <c r="G135" s="3821"/>
      <c r="H135" s="3821"/>
      <c r="I135" s="3821"/>
      <c r="J135" s="3821"/>
      <c r="K135" s="3821"/>
      <c r="L135" s="3821"/>
      <c r="M135" s="3821"/>
      <c r="N135" s="3821"/>
      <c r="O135" s="3821"/>
      <c r="P135" s="3821"/>
      <c r="Q135" s="3821"/>
      <c r="R135" s="3821"/>
      <c r="S135" s="3821"/>
      <c r="T135" s="3821"/>
      <c r="U135" s="3821"/>
      <c r="V135" s="3821"/>
      <c r="W135" s="3821"/>
      <c r="X135" s="3821"/>
      <c r="Y135" s="3821"/>
      <c r="Z135" s="3821"/>
      <c r="AA135" s="3821"/>
      <c r="AB135" s="3821"/>
      <c r="AC135" s="3821"/>
    </row>
    <row r="136" spans="1:29">
      <c r="A136" s="3821"/>
      <c r="B136" s="3821"/>
      <c r="C136" s="3821"/>
      <c r="D136" s="3821"/>
      <c r="E136" s="3821"/>
      <c r="F136" s="3821"/>
      <c r="G136" s="3821"/>
      <c r="H136" s="3821"/>
      <c r="I136" s="3821"/>
      <c r="J136" s="3821"/>
      <c r="K136" s="3821"/>
      <c r="L136" s="3821"/>
      <c r="M136" s="3821"/>
      <c r="N136" s="3821"/>
      <c r="O136" s="3821"/>
      <c r="P136" s="3821"/>
      <c r="Q136" s="3821"/>
      <c r="R136" s="3821"/>
      <c r="S136" s="3821"/>
      <c r="T136" s="3821"/>
      <c r="U136" s="3821"/>
      <c r="V136" s="3821"/>
      <c r="W136" s="3821"/>
      <c r="X136" s="3821"/>
      <c r="Y136" s="3821"/>
      <c r="Z136" s="3821"/>
      <c r="AA136" s="3821"/>
      <c r="AB136" s="3821"/>
      <c r="AC136" s="3821"/>
    </row>
    <row r="137" spans="1:29">
      <c r="A137" s="3821"/>
      <c r="B137" s="3821"/>
      <c r="C137" s="3821"/>
      <c r="D137" s="3821"/>
      <c r="E137" s="3821"/>
      <c r="F137" s="3821"/>
      <c r="G137" s="3821"/>
      <c r="H137" s="3821"/>
      <c r="I137" s="3821"/>
      <c r="J137" s="3821"/>
      <c r="K137" s="3821"/>
      <c r="L137" s="3821"/>
      <c r="M137" s="3821"/>
      <c r="N137" s="3821"/>
      <c r="O137" s="3821"/>
      <c r="P137" s="3821"/>
      <c r="Q137" s="3821"/>
      <c r="R137" s="3821"/>
      <c r="S137" s="3821"/>
      <c r="T137" s="3821"/>
      <c r="U137" s="3821"/>
      <c r="V137" s="3821"/>
      <c r="W137" s="3821"/>
      <c r="X137" s="3821"/>
      <c r="Y137" s="3821"/>
      <c r="Z137" s="3821"/>
      <c r="AA137" s="3821"/>
      <c r="AB137" s="3821"/>
      <c r="AC137" s="3821"/>
    </row>
    <row r="138" spans="1:29">
      <c r="A138" s="3821"/>
      <c r="B138" s="3821"/>
      <c r="C138" s="3821"/>
      <c r="D138" s="3821"/>
      <c r="E138" s="3821"/>
      <c r="F138" s="3821"/>
      <c r="G138" s="3821"/>
      <c r="H138" s="3821"/>
      <c r="I138" s="3821"/>
      <c r="J138" s="3821"/>
      <c r="K138" s="3821"/>
      <c r="L138" s="3821"/>
      <c r="M138" s="3821"/>
      <c r="N138" s="3821"/>
      <c r="O138" s="3821"/>
      <c r="P138" s="3821"/>
      <c r="Q138" s="3821"/>
      <c r="R138" s="3821"/>
      <c r="S138" s="3821"/>
      <c r="T138" s="3821"/>
      <c r="U138" s="3821"/>
      <c r="V138" s="3821"/>
      <c r="W138" s="3821"/>
      <c r="X138" s="3821"/>
      <c r="Y138" s="3821"/>
      <c r="Z138" s="3821"/>
      <c r="AA138" s="3821"/>
      <c r="AB138" s="3821"/>
      <c r="AC138" s="3821"/>
    </row>
    <row r="139" spans="1:29">
      <c r="A139" s="3821"/>
      <c r="B139" s="3821"/>
      <c r="C139" s="3821"/>
      <c r="D139" s="3821"/>
      <c r="E139" s="3821"/>
      <c r="F139" s="3821"/>
      <c r="G139" s="3821"/>
      <c r="H139" s="3821"/>
      <c r="I139" s="3821"/>
      <c r="J139" s="3821"/>
      <c r="K139" s="3821"/>
      <c r="L139" s="3821"/>
      <c r="M139" s="3821"/>
      <c r="N139" s="3821"/>
      <c r="O139" s="3821"/>
      <c r="P139" s="3821"/>
      <c r="Q139" s="3821"/>
      <c r="R139" s="3821"/>
      <c r="S139" s="3821"/>
      <c r="T139" s="3821"/>
      <c r="U139" s="3821"/>
      <c r="V139" s="3821"/>
      <c r="W139" s="3821"/>
      <c r="X139" s="3821"/>
      <c r="Y139" s="3821"/>
      <c r="Z139" s="3821"/>
      <c r="AA139" s="3821"/>
      <c r="AB139" s="3821"/>
      <c r="AC139" s="3821"/>
    </row>
    <row r="140" spans="1:29">
      <c r="A140" s="3821"/>
      <c r="B140" s="3821"/>
      <c r="C140" s="3821"/>
      <c r="D140" s="3821"/>
      <c r="E140" s="3821"/>
      <c r="F140" s="3821"/>
      <c r="G140" s="3821"/>
      <c r="H140" s="3821"/>
      <c r="I140" s="3821"/>
      <c r="J140" s="3821"/>
      <c r="K140" s="3821"/>
      <c r="L140" s="3821"/>
      <c r="M140" s="3821"/>
      <c r="N140" s="3821"/>
      <c r="O140" s="3821"/>
      <c r="P140" s="3821"/>
      <c r="Q140" s="3821"/>
      <c r="R140" s="3821"/>
      <c r="S140" s="3821"/>
      <c r="T140" s="3821"/>
      <c r="U140" s="3821"/>
      <c r="V140" s="3821"/>
      <c r="W140" s="3821"/>
      <c r="X140" s="3821"/>
      <c r="Y140" s="3821"/>
      <c r="Z140" s="3821"/>
      <c r="AA140" s="3821"/>
      <c r="AB140" s="3821"/>
      <c r="AC140" s="3821"/>
    </row>
    <row r="141" spans="1:29">
      <c r="A141" s="3821"/>
      <c r="B141" s="3821"/>
      <c r="C141" s="3821"/>
      <c r="D141" s="3821"/>
      <c r="E141" s="3821"/>
      <c r="F141" s="3821"/>
      <c r="G141" s="3821"/>
      <c r="H141" s="3821"/>
      <c r="I141" s="3821"/>
      <c r="J141" s="3821"/>
      <c r="K141" s="3821"/>
      <c r="L141" s="3821"/>
      <c r="M141" s="3821"/>
      <c r="N141" s="3821"/>
      <c r="O141" s="3821"/>
      <c r="P141" s="3821"/>
      <c r="Q141" s="3821"/>
      <c r="R141" s="3821"/>
      <c r="S141" s="3821"/>
      <c r="T141" s="3821"/>
      <c r="U141" s="3821"/>
      <c r="V141" s="3821"/>
      <c r="W141" s="3821"/>
      <c r="X141" s="3821"/>
      <c r="Y141" s="3821"/>
      <c r="Z141" s="3821"/>
      <c r="AA141" s="3821"/>
      <c r="AB141" s="3821"/>
      <c r="AC141" s="3821"/>
    </row>
    <row r="142" spans="1:29">
      <c r="A142" s="3821"/>
      <c r="B142" s="3821"/>
      <c r="C142" s="3821"/>
      <c r="D142" s="3821"/>
      <c r="E142" s="3821"/>
      <c r="F142" s="3821"/>
      <c r="G142" s="3821"/>
      <c r="H142" s="3821"/>
      <c r="I142" s="3821"/>
      <c r="J142" s="3821"/>
      <c r="K142" s="3821"/>
      <c r="L142" s="3821"/>
      <c r="M142" s="3821"/>
      <c r="N142" s="3821"/>
      <c r="O142" s="3821"/>
      <c r="P142" s="3821"/>
      <c r="Q142" s="3821"/>
      <c r="R142" s="3821"/>
      <c r="S142" s="3821"/>
      <c r="T142" s="3821"/>
      <c r="U142" s="3821"/>
      <c r="V142" s="3821"/>
      <c r="W142" s="3821"/>
      <c r="X142" s="3821"/>
      <c r="Y142" s="3821"/>
      <c r="Z142" s="3821"/>
      <c r="AA142" s="3821"/>
      <c r="AB142" s="3821"/>
      <c r="AC142" s="3821"/>
    </row>
    <row r="143" spans="1:29">
      <c r="A143" s="3821"/>
      <c r="B143" s="3821"/>
      <c r="C143" s="3821"/>
      <c r="D143" s="3821"/>
      <c r="E143" s="3821"/>
      <c r="F143" s="3821"/>
      <c r="G143" s="3821"/>
      <c r="H143" s="3821"/>
      <c r="I143" s="3821"/>
      <c r="J143" s="3821"/>
      <c r="K143" s="3821"/>
      <c r="L143" s="3821"/>
      <c r="M143" s="3821"/>
      <c r="N143" s="3821"/>
      <c r="O143" s="3821"/>
      <c r="P143" s="3821"/>
      <c r="Q143" s="3821"/>
      <c r="R143" s="3821"/>
      <c r="S143" s="3821"/>
      <c r="T143" s="3821"/>
      <c r="U143" s="3821"/>
      <c r="V143" s="3821"/>
      <c r="W143" s="3821"/>
      <c r="X143" s="3821"/>
      <c r="Y143" s="3821"/>
      <c r="Z143" s="3821"/>
      <c r="AA143" s="3821"/>
      <c r="AB143" s="3821"/>
      <c r="AC143" s="3821"/>
    </row>
    <row r="144" spans="1:29">
      <c r="A144" s="3821"/>
      <c r="B144" s="3821"/>
      <c r="C144" s="3821"/>
      <c r="D144" s="3821"/>
      <c r="E144" s="3821"/>
      <c r="F144" s="3821"/>
      <c r="G144" s="3821"/>
      <c r="H144" s="3821"/>
      <c r="I144" s="3821"/>
      <c r="J144" s="3821"/>
      <c r="K144" s="3821"/>
      <c r="L144" s="3821"/>
      <c r="M144" s="3821"/>
      <c r="N144" s="3821"/>
      <c r="O144" s="3821"/>
      <c r="P144" s="3821"/>
      <c r="Q144" s="3821"/>
      <c r="R144" s="3821"/>
      <c r="S144" s="3821"/>
      <c r="T144" s="3821"/>
      <c r="U144" s="3821"/>
      <c r="V144" s="3821"/>
      <c r="W144" s="3821"/>
      <c r="X144" s="3821"/>
      <c r="Y144" s="3821"/>
      <c r="Z144" s="3821"/>
      <c r="AA144" s="3821"/>
      <c r="AB144" s="3821"/>
      <c r="AC144" s="3821"/>
    </row>
    <row r="145" spans="1:29">
      <c r="A145" s="3821"/>
      <c r="B145" s="3821"/>
      <c r="C145" s="3821"/>
      <c r="D145" s="3821"/>
      <c r="E145" s="3821"/>
      <c r="F145" s="3821"/>
      <c r="G145" s="3821"/>
      <c r="H145" s="3821"/>
      <c r="I145" s="3821"/>
      <c r="J145" s="3821"/>
      <c r="K145" s="3821"/>
      <c r="L145" s="3821"/>
      <c r="M145" s="3821"/>
      <c r="N145" s="3821"/>
      <c r="O145" s="3821"/>
      <c r="P145" s="3821"/>
      <c r="Q145" s="3821"/>
      <c r="R145" s="3821"/>
      <c r="S145" s="3821"/>
      <c r="T145" s="3821"/>
      <c r="U145" s="3821"/>
      <c r="V145" s="3821"/>
      <c r="W145" s="3821"/>
      <c r="X145" s="3821"/>
      <c r="Y145" s="3821"/>
      <c r="Z145" s="3821"/>
      <c r="AA145" s="3821"/>
      <c r="AB145" s="3821"/>
      <c r="AC145" s="3821"/>
    </row>
    <row r="146" spans="1:29">
      <c r="A146" s="3821"/>
      <c r="B146" s="3821"/>
      <c r="C146" s="3821"/>
      <c r="D146" s="3821"/>
      <c r="E146" s="3821"/>
      <c r="F146" s="3821"/>
      <c r="G146" s="3821"/>
      <c r="H146" s="3821"/>
      <c r="I146" s="3821"/>
      <c r="J146" s="3821"/>
      <c r="K146" s="3821"/>
      <c r="L146" s="3821"/>
      <c r="M146" s="3821"/>
      <c r="N146" s="3821"/>
      <c r="O146" s="3821"/>
      <c r="P146" s="3821"/>
      <c r="Q146" s="3821"/>
      <c r="R146" s="3821"/>
      <c r="S146" s="3821"/>
      <c r="T146" s="3821"/>
      <c r="U146" s="3821"/>
      <c r="V146" s="3821"/>
      <c r="W146" s="3821"/>
      <c r="X146" s="3821"/>
      <c r="Y146" s="3821"/>
      <c r="Z146" s="3821"/>
      <c r="AA146" s="3821"/>
      <c r="AB146" s="3821"/>
      <c r="AC146" s="3821"/>
    </row>
    <row r="147" spans="1:29">
      <c r="A147" s="3821"/>
      <c r="B147" s="3821"/>
      <c r="C147" s="3821"/>
      <c r="D147" s="3821"/>
      <c r="E147" s="3821"/>
      <c r="F147" s="3821"/>
      <c r="G147" s="3821"/>
      <c r="H147" s="3821"/>
      <c r="I147" s="3821"/>
      <c r="J147" s="3821"/>
      <c r="K147" s="3821"/>
      <c r="L147" s="3821"/>
      <c r="M147" s="3821"/>
      <c r="N147" s="3821"/>
      <c r="O147" s="3821"/>
      <c r="P147" s="3821"/>
      <c r="Q147" s="3821"/>
      <c r="R147" s="3821"/>
      <c r="S147" s="3821"/>
      <c r="T147" s="3821"/>
      <c r="U147" s="3821"/>
      <c r="V147" s="3821"/>
      <c r="W147" s="3821"/>
      <c r="X147" s="3821"/>
      <c r="Y147" s="3821"/>
      <c r="Z147" s="3821"/>
      <c r="AA147" s="3821"/>
      <c r="AB147" s="3821"/>
      <c r="AC147" s="3821"/>
    </row>
    <row r="148" spans="1:29">
      <c r="A148" s="3821"/>
      <c r="B148" s="3821"/>
      <c r="C148" s="3821"/>
      <c r="D148" s="3821"/>
      <c r="E148" s="3821"/>
      <c r="F148" s="3821"/>
      <c r="G148" s="3821"/>
      <c r="H148" s="3821"/>
      <c r="I148" s="3821"/>
      <c r="J148" s="3821"/>
      <c r="K148" s="3821"/>
      <c r="L148" s="3821"/>
      <c r="M148" s="3821"/>
      <c r="N148" s="3821"/>
      <c r="O148" s="3821"/>
      <c r="P148" s="3821"/>
      <c r="Q148" s="3821"/>
      <c r="R148" s="3821"/>
      <c r="S148" s="3821"/>
      <c r="T148" s="3821"/>
      <c r="U148" s="3821"/>
      <c r="V148" s="3821"/>
      <c r="W148" s="3821"/>
      <c r="X148" s="3821"/>
      <c r="Y148" s="3821"/>
      <c r="Z148" s="3821"/>
      <c r="AA148" s="3821"/>
      <c r="AB148" s="3821"/>
      <c r="AC148" s="3821"/>
    </row>
    <row r="149" spans="1:29">
      <c r="A149" s="3821"/>
      <c r="B149" s="3821"/>
      <c r="C149" s="3821"/>
      <c r="D149" s="3821"/>
      <c r="E149" s="3821"/>
      <c r="F149" s="3821"/>
      <c r="G149" s="3821"/>
      <c r="H149" s="3821"/>
      <c r="I149" s="3821"/>
      <c r="J149" s="3821"/>
      <c r="K149" s="3821"/>
      <c r="L149" s="3821"/>
      <c r="M149" s="3821"/>
      <c r="N149" s="3821"/>
      <c r="O149" s="3821"/>
      <c r="P149" s="3821"/>
      <c r="Q149" s="3821"/>
      <c r="R149" s="3821"/>
      <c r="S149" s="3821"/>
      <c r="T149" s="3821"/>
      <c r="U149" s="3821"/>
      <c r="V149" s="3821"/>
      <c r="W149" s="3821"/>
      <c r="X149" s="3821"/>
      <c r="Y149" s="3821"/>
      <c r="Z149" s="3821"/>
      <c r="AA149" s="3821"/>
      <c r="AB149" s="3821"/>
      <c r="AC149" s="3821"/>
    </row>
    <row r="150" spans="1:29">
      <c r="A150" s="3821"/>
      <c r="B150" s="3821"/>
      <c r="C150" s="3821"/>
      <c r="D150" s="3821"/>
      <c r="E150" s="3821"/>
      <c r="F150" s="3821"/>
      <c r="G150" s="3821"/>
      <c r="H150" s="3821"/>
      <c r="I150" s="3821"/>
      <c r="J150" s="3821"/>
      <c r="K150" s="3821"/>
      <c r="L150" s="3821"/>
      <c r="M150" s="3821"/>
      <c r="N150" s="3821"/>
      <c r="O150" s="3821"/>
      <c r="P150" s="3821"/>
      <c r="Q150" s="3821"/>
      <c r="R150" s="3821"/>
      <c r="S150" s="3821"/>
      <c r="T150" s="3821"/>
      <c r="U150" s="3821"/>
      <c r="V150" s="3821"/>
      <c r="W150" s="3821"/>
      <c r="X150" s="3821"/>
      <c r="Y150" s="3821"/>
      <c r="Z150" s="3821"/>
      <c r="AA150" s="3821"/>
      <c r="AB150" s="3821"/>
      <c r="AC150" s="3821"/>
    </row>
    <row r="151" spans="1:29">
      <c r="A151" s="3821"/>
      <c r="B151" s="3821"/>
      <c r="C151" s="3821"/>
      <c r="D151" s="3821"/>
      <c r="E151" s="3821"/>
      <c r="F151" s="3821"/>
      <c r="G151" s="3821"/>
      <c r="H151" s="3821"/>
      <c r="I151" s="3821"/>
      <c r="J151" s="3821"/>
      <c r="K151" s="3821"/>
      <c r="L151" s="3821"/>
      <c r="M151" s="3821"/>
      <c r="N151" s="3821"/>
      <c r="O151" s="3821"/>
      <c r="P151" s="3821"/>
      <c r="Q151" s="3821"/>
      <c r="R151" s="3821"/>
      <c r="S151" s="3821"/>
      <c r="T151" s="3821"/>
      <c r="U151" s="3821"/>
      <c r="V151" s="3821"/>
      <c r="W151" s="3821"/>
      <c r="X151" s="3821"/>
      <c r="Y151" s="3821"/>
      <c r="Z151" s="3821"/>
      <c r="AA151" s="3821"/>
      <c r="AB151" s="3821"/>
      <c r="AC151" s="3821"/>
    </row>
    <row r="152" spans="1:29">
      <c r="A152" s="3821"/>
      <c r="B152" s="3821"/>
      <c r="C152" s="3821"/>
      <c r="D152" s="3821"/>
      <c r="E152" s="3821"/>
      <c r="F152" s="3821"/>
      <c r="G152" s="3821"/>
      <c r="H152" s="3821"/>
      <c r="I152" s="3821"/>
      <c r="J152" s="3821"/>
      <c r="K152" s="3821"/>
      <c r="L152" s="3821"/>
      <c r="M152" s="3821"/>
      <c r="N152" s="3821"/>
      <c r="O152" s="3821"/>
      <c r="P152" s="3821"/>
      <c r="Q152" s="3821"/>
      <c r="R152" s="3821"/>
      <c r="S152" s="3821"/>
      <c r="T152" s="3821"/>
      <c r="U152" s="3821"/>
      <c r="V152" s="3821"/>
      <c r="W152" s="3821"/>
      <c r="X152" s="3821"/>
      <c r="Y152" s="3821"/>
      <c r="Z152" s="3821"/>
      <c r="AA152" s="3821"/>
      <c r="AB152" s="3821"/>
      <c r="AC152" s="3821"/>
    </row>
    <row r="153" spans="1:29">
      <c r="A153" s="3821"/>
      <c r="B153" s="3821"/>
      <c r="C153" s="3821"/>
      <c r="D153" s="3821"/>
      <c r="E153" s="3821"/>
      <c r="F153" s="3821"/>
      <c r="G153" s="3821"/>
      <c r="H153" s="3821"/>
      <c r="I153" s="3821"/>
      <c r="J153" s="3821"/>
      <c r="K153" s="3821"/>
      <c r="L153" s="3821"/>
      <c r="M153" s="3821"/>
      <c r="N153" s="3821"/>
      <c r="O153" s="3821"/>
      <c r="P153" s="3821"/>
      <c r="Q153" s="3821"/>
      <c r="R153" s="3821"/>
      <c r="S153" s="3821"/>
      <c r="T153" s="3821"/>
      <c r="U153" s="3821"/>
      <c r="V153" s="3821"/>
      <c r="W153" s="3821"/>
      <c r="X153" s="3821"/>
      <c r="Y153" s="3821"/>
      <c r="Z153" s="3821"/>
      <c r="AA153" s="3821"/>
      <c r="AB153" s="3821"/>
      <c r="AC153" s="3821"/>
    </row>
    <row r="154" spans="1:29">
      <c r="A154" s="3821"/>
      <c r="B154" s="3821"/>
      <c r="C154" s="3821"/>
      <c r="D154" s="3821"/>
      <c r="E154" s="3821"/>
      <c r="F154" s="3821"/>
      <c r="G154" s="3821"/>
      <c r="H154" s="3821"/>
      <c r="I154" s="3821"/>
      <c r="J154" s="3821"/>
      <c r="K154" s="3821"/>
      <c r="L154" s="3821"/>
      <c r="M154" s="3821"/>
      <c r="N154" s="3821"/>
      <c r="O154" s="3821"/>
      <c r="P154" s="3821"/>
      <c r="Q154" s="3821"/>
      <c r="R154" s="3821"/>
      <c r="S154" s="3821"/>
      <c r="T154" s="3821"/>
      <c r="U154" s="3821"/>
      <c r="V154" s="3821"/>
      <c r="W154" s="3821"/>
      <c r="X154" s="3821"/>
      <c r="Y154" s="3821"/>
      <c r="Z154" s="3821"/>
      <c r="AA154" s="3821"/>
      <c r="AB154" s="3821"/>
      <c r="AC154" s="3821"/>
    </row>
    <row r="155" spans="1:29">
      <c r="A155" s="3821"/>
      <c r="B155" s="3821"/>
      <c r="C155" s="3821"/>
      <c r="D155" s="3821"/>
      <c r="E155" s="3821"/>
      <c r="F155" s="3821"/>
      <c r="G155" s="3821"/>
      <c r="H155" s="3821"/>
      <c r="I155" s="3821"/>
      <c r="J155" s="3821"/>
      <c r="K155" s="3821"/>
      <c r="L155" s="3821"/>
      <c r="M155" s="3821"/>
      <c r="N155" s="3821"/>
      <c r="O155" s="3821"/>
      <c r="P155" s="3821"/>
      <c r="Q155" s="3821"/>
      <c r="R155" s="3821"/>
      <c r="S155" s="3821"/>
      <c r="T155" s="3821"/>
      <c r="U155" s="3821"/>
      <c r="V155" s="3821"/>
      <c r="W155" s="3821"/>
      <c r="X155" s="3821"/>
      <c r="Y155" s="3821"/>
      <c r="Z155" s="3821"/>
      <c r="AA155" s="3821"/>
      <c r="AB155" s="3821"/>
      <c r="AC155" s="3821"/>
    </row>
    <row r="156" spans="1:29">
      <c r="A156" s="3821"/>
      <c r="B156" s="3821"/>
      <c r="C156" s="3821"/>
      <c r="D156" s="3821"/>
      <c r="E156" s="3821"/>
      <c r="F156" s="3821"/>
      <c r="G156" s="3821"/>
      <c r="H156" s="3821"/>
      <c r="I156" s="3821"/>
      <c r="J156" s="3821"/>
      <c r="K156" s="3821"/>
      <c r="L156" s="3821"/>
      <c r="M156" s="3821"/>
      <c r="N156" s="3821"/>
      <c r="O156" s="3821"/>
      <c r="P156" s="3821"/>
      <c r="Q156" s="3821"/>
      <c r="R156" s="3821"/>
      <c r="S156" s="3821"/>
      <c r="T156" s="3821"/>
      <c r="U156" s="3821"/>
      <c r="V156" s="3821"/>
      <c r="W156" s="3821"/>
      <c r="X156" s="3821"/>
      <c r="Y156" s="3821"/>
      <c r="Z156" s="3821"/>
      <c r="AA156" s="3821"/>
      <c r="AB156" s="3821"/>
      <c r="AC156" s="3821"/>
    </row>
    <row r="157" spans="1:29">
      <c r="A157" s="3821"/>
      <c r="B157" s="3821"/>
      <c r="C157" s="3821"/>
      <c r="D157" s="3821"/>
      <c r="E157" s="3821"/>
      <c r="F157" s="3821"/>
      <c r="G157" s="3821"/>
      <c r="H157" s="3821"/>
      <c r="I157" s="3821"/>
      <c r="J157" s="3821"/>
      <c r="K157" s="3821"/>
      <c r="L157" s="3821"/>
      <c r="M157" s="3821"/>
      <c r="N157" s="3821"/>
      <c r="O157" s="3821"/>
      <c r="P157" s="3821"/>
      <c r="Q157" s="3821"/>
      <c r="R157" s="3821"/>
      <c r="S157" s="3821"/>
      <c r="T157" s="3821"/>
      <c r="U157" s="3821"/>
      <c r="V157" s="3821"/>
      <c r="W157" s="3821"/>
      <c r="X157" s="3821"/>
      <c r="Y157" s="3821"/>
      <c r="Z157" s="3821"/>
      <c r="AA157" s="3821"/>
      <c r="AB157" s="3821"/>
      <c r="AC157" s="3821"/>
    </row>
    <row r="158" spans="1:29">
      <c r="A158" s="3821"/>
      <c r="B158" s="3821"/>
      <c r="C158" s="3821"/>
      <c r="D158" s="3821"/>
      <c r="E158" s="3821"/>
      <c r="F158" s="3821"/>
      <c r="G158" s="3821"/>
      <c r="H158" s="3821"/>
      <c r="I158" s="3821"/>
      <c r="J158" s="3821"/>
      <c r="K158" s="3821"/>
      <c r="L158" s="3821"/>
      <c r="M158" s="3821"/>
      <c r="N158" s="3821"/>
      <c r="O158" s="3821"/>
      <c r="P158" s="3821"/>
      <c r="Q158" s="3821"/>
      <c r="R158" s="3821"/>
      <c r="S158" s="3821"/>
      <c r="T158" s="3821"/>
      <c r="U158" s="3821"/>
      <c r="V158" s="3821"/>
      <c r="W158" s="3821"/>
      <c r="X158" s="3821"/>
      <c r="Y158" s="3821"/>
      <c r="Z158" s="3821"/>
      <c r="AA158" s="3821"/>
      <c r="AB158" s="3821"/>
      <c r="AC158" s="3821"/>
    </row>
    <row r="159" spans="1:29">
      <c r="A159" s="3821"/>
      <c r="B159" s="3821"/>
      <c r="C159" s="3821"/>
      <c r="D159" s="3821"/>
      <c r="E159" s="3821"/>
      <c r="F159" s="3821"/>
      <c r="G159" s="3821"/>
      <c r="H159" s="3821"/>
      <c r="I159" s="3821"/>
      <c r="J159" s="3821"/>
      <c r="K159" s="3821"/>
      <c r="L159" s="3821"/>
      <c r="M159" s="3821"/>
      <c r="N159" s="3821"/>
      <c r="O159" s="3821"/>
      <c r="P159" s="3821"/>
      <c r="Q159" s="3821"/>
      <c r="R159" s="3821"/>
      <c r="S159" s="3821"/>
      <c r="T159" s="3821"/>
      <c r="U159" s="3821"/>
      <c r="V159" s="3821"/>
      <c r="W159" s="3821"/>
      <c r="X159" s="3821"/>
      <c r="Y159" s="3821"/>
      <c r="Z159" s="3821"/>
      <c r="AA159" s="3821"/>
      <c r="AB159" s="3821"/>
      <c r="AC159" s="3821"/>
    </row>
    <row r="160" spans="1:29">
      <c r="A160" s="3821"/>
      <c r="B160" s="3821"/>
      <c r="C160" s="3821"/>
      <c r="D160" s="3821"/>
      <c r="E160" s="3821"/>
      <c r="F160" s="3821"/>
      <c r="G160" s="3821"/>
      <c r="H160" s="3821"/>
      <c r="I160" s="3821"/>
      <c r="J160" s="3821"/>
      <c r="K160" s="3821"/>
      <c r="L160" s="3821"/>
      <c r="M160" s="3821"/>
      <c r="N160" s="3821"/>
      <c r="O160" s="3821"/>
      <c r="P160" s="3821"/>
      <c r="Q160" s="3821"/>
      <c r="R160" s="3821"/>
      <c r="S160" s="3821"/>
      <c r="T160" s="3821"/>
      <c r="U160" s="3821"/>
      <c r="V160" s="3821"/>
      <c r="W160" s="3821"/>
      <c r="X160" s="3821"/>
      <c r="Y160" s="3821"/>
      <c r="Z160" s="3821"/>
      <c r="AA160" s="3821"/>
      <c r="AB160" s="3821"/>
      <c r="AC160" s="3821"/>
    </row>
    <row r="161" spans="1:29">
      <c r="A161" s="3821"/>
      <c r="B161" s="3821"/>
      <c r="C161" s="3821"/>
      <c r="D161" s="3821"/>
      <c r="E161" s="3821"/>
      <c r="F161" s="3821"/>
      <c r="G161" s="3821"/>
      <c r="H161" s="3821"/>
      <c r="I161" s="3821"/>
      <c r="J161" s="3821"/>
      <c r="K161" s="3821"/>
      <c r="L161" s="3821"/>
      <c r="M161" s="3821"/>
      <c r="N161" s="3821"/>
      <c r="O161" s="3821"/>
      <c r="P161" s="3821"/>
      <c r="Q161" s="3821"/>
      <c r="R161" s="3821"/>
      <c r="S161" s="3821"/>
      <c r="T161" s="3821"/>
      <c r="U161" s="3821"/>
      <c r="V161" s="3821"/>
      <c r="W161" s="3821"/>
      <c r="X161" s="3821"/>
      <c r="Y161" s="3821"/>
      <c r="Z161" s="3821"/>
      <c r="AA161" s="3821"/>
      <c r="AB161" s="3821"/>
      <c r="AC161" s="3821"/>
    </row>
    <row r="162" spans="1:29">
      <c r="A162" s="3821"/>
      <c r="B162" s="3821"/>
      <c r="C162" s="3821"/>
      <c r="D162" s="3821"/>
      <c r="E162" s="3821"/>
      <c r="F162" s="3821"/>
      <c r="G162" s="3821"/>
      <c r="H162" s="3821"/>
      <c r="I162" s="3821"/>
      <c r="J162" s="3821"/>
      <c r="K162" s="3821"/>
      <c r="L162" s="3821"/>
      <c r="M162" s="3821"/>
      <c r="N162" s="3821"/>
      <c r="O162" s="3821"/>
      <c r="P162" s="3821"/>
      <c r="Q162" s="3821"/>
      <c r="R162" s="3821"/>
      <c r="S162" s="3821"/>
      <c r="T162" s="3821"/>
      <c r="U162" s="3821"/>
      <c r="V162" s="3821"/>
      <c r="W162" s="3821"/>
      <c r="X162" s="3821"/>
      <c r="Y162" s="3821"/>
      <c r="Z162" s="3821"/>
      <c r="AA162" s="3821"/>
      <c r="AB162" s="3821"/>
      <c r="AC162" s="3821"/>
    </row>
    <row r="163" spans="1:29">
      <c r="A163" s="3821"/>
      <c r="B163" s="3821"/>
      <c r="C163" s="3821"/>
      <c r="D163" s="3821"/>
      <c r="E163" s="3821"/>
      <c r="F163" s="3821"/>
      <c r="G163" s="3821"/>
      <c r="H163" s="3821"/>
      <c r="I163" s="3821"/>
      <c r="J163" s="3821"/>
      <c r="K163" s="3821"/>
      <c r="L163" s="3821"/>
      <c r="M163" s="3821"/>
      <c r="N163" s="3821"/>
      <c r="O163" s="3821"/>
      <c r="P163" s="3821"/>
      <c r="Q163" s="3821"/>
      <c r="R163" s="3821"/>
      <c r="S163" s="3821"/>
      <c r="T163" s="3821"/>
      <c r="U163" s="3821"/>
      <c r="V163" s="3821"/>
      <c r="W163" s="3821"/>
      <c r="X163" s="3821"/>
      <c r="Y163" s="3821"/>
      <c r="Z163" s="3821"/>
      <c r="AA163" s="3821"/>
      <c r="AB163" s="3821"/>
      <c r="AC163" s="3821"/>
    </row>
    <row r="164" spans="1:29">
      <c r="A164" s="3821"/>
      <c r="B164" s="3821"/>
      <c r="C164" s="3821"/>
      <c r="D164" s="3821"/>
      <c r="E164" s="3821"/>
      <c r="F164" s="3821"/>
      <c r="G164" s="3821"/>
      <c r="H164" s="3821"/>
      <c r="I164" s="3821"/>
      <c r="J164" s="3821"/>
      <c r="K164" s="3821"/>
      <c r="L164" s="3821"/>
      <c r="M164" s="3821"/>
      <c r="N164" s="3821"/>
      <c r="O164" s="3821"/>
      <c r="P164" s="3821"/>
      <c r="Q164" s="3821"/>
      <c r="R164" s="3821"/>
      <c r="S164" s="3821"/>
      <c r="T164" s="3821"/>
      <c r="U164" s="3821"/>
      <c r="V164" s="3821"/>
      <c r="W164" s="3821"/>
      <c r="X164" s="3821"/>
      <c r="Y164" s="3821"/>
      <c r="Z164" s="3821"/>
      <c r="AA164" s="3821"/>
      <c r="AB164" s="3821"/>
      <c r="AC164" s="3821"/>
    </row>
    <row r="165" spans="1:29">
      <c r="A165" s="3821"/>
      <c r="B165" s="3821"/>
      <c r="C165" s="3821"/>
      <c r="D165" s="3821"/>
      <c r="E165" s="3821"/>
      <c r="F165" s="3821"/>
      <c r="G165" s="3821"/>
      <c r="H165" s="3821"/>
      <c r="I165" s="3821"/>
      <c r="J165" s="3821"/>
      <c r="K165" s="3821"/>
      <c r="L165" s="3821"/>
      <c r="M165" s="3821"/>
      <c r="N165" s="3821"/>
      <c r="O165" s="3821"/>
      <c r="P165" s="3821"/>
      <c r="Q165" s="3821"/>
      <c r="R165" s="3821"/>
      <c r="S165" s="3821"/>
      <c r="T165" s="3821"/>
      <c r="U165" s="3821"/>
      <c r="V165" s="3821"/>
      <c r="W165" s="3821"/>
      <c r="X165" s="3821"/>
      <c r="Y165" s="3821"/>
      <c r="Z165" s="3821"/>
      <c r="AA165" s="3821"/>
      <c r="AB165" s="3821"/>
      <c r="AC165" s="3821"/>
    </row>
    <row r="166" spans="1:29">
      <c r="A166" s="3821"/>
      <c r="B166" s="3821"/>
      <c r="C166" s="3821"/>
      <c r="D166" s="3821"/>
      <c r="E166" s="3821"/>
      <c r="F166" s="3821"/>
      <c r="G166" s="3821"/>
      <c r="H166" s="3821"/>
      <c r="I166" s="3821"/>
      <c r="J166" s="3821"/>
      <c r="K166" s="3821"/>
      <c r="L166" s="3821"/>
      <c r="M166" s="3821"/>
      <c r="N166" s="3821"/>
      <c r="O166" s="3821"/>
      <c r="P166" s="3821"/>
      <c r="Q166" s="3821"/>
      <c r="R166" s="3821"/>
      <c r="S166" s="3821"/>
      <c r="T166" s="3821"/>
      <c r="U166" s="3821"/>
      <c r="V166" s="3821"/>
      <c r="W166" s="3821"/>
      <c r="X166" s="3821"/>
      <c r="Y166" s="3821"/>
      <c r="Z166" s="3821"/>
      <c r="AA166" s="3821"/>
      <c r="AB166" s="3821"/>
      <c r="AC166" s="3821"/>
    </row>
    <row r="167" spans="1:29">
      <c r="A167" s="3821"/>
      <c r="B167" s="3821"/>
      <c r="C167" s="3821"/>
      <c r="D167" s="3821"/>
      <c r="E167" s="3821"/>
      <c r="F167" s="3821"/>
      <c r="G167" s="3821"/>
      <c r="H167" s="3821"/>
      <c r="I167" s="3821"/>
      <c r="J167" s="3821"/>
      <c r="K167" s="3821"/>
      <c r="L167" s="3821"/>
      <c r="M167" s="3821"/>
      <c r="N167" s="3821"/>
      <c r="O167" s="3821"/>
      <c r="P167" s="3821"/>
      <c r="Q167" s="3821"/>
      <c r="R167" s="3821"/>
      <c r="S167" s="3821"/>
      <c r="T167" s="3821"/>
      <c r="U167" s="3821"/>
      <c r="V167" s="3821"/>
      <c r="W167" s="3821"/>
      <c r="X167" s="3821"/>
      <c r="Y167" s="3821"/>
      <c r="Z167" s="3821"/>
      <c r="AA167" s="3821"/>
      <c r="AB167" s="3821"/>
      <c r="AC167" s="3821"/>
    </row>
    <row r="168" spans="1:29">
      <c r="A168" s="3821"/>
      <c r="B168" s="3821"/>
      <c r="C168" s="3821"/>
      <c r="D168" s="3821"/>
      <c r="E168" s="3821"/>
      <c r="F168" s="3821"/>
      <c r="G168" s="3821"/>
      <c r="H168" s="3821"/>
      <c r="I168" s="3821"/>
      <c r="J168" s="3821"/>
      <c r="K168" s="3821"/>
      <c r="L168" s="3821"/>
      <c r="M168" s="3821"/>
      <c r="N168" s="3821"/>
      <c r="O168" s="3821"/>
      <c r="P168" s="3821"/>
      <c r="Q168" s="3821"/>
      <c r="R168" s="3821"/>
      <c r="S168" s="3821"/>
      <c r="T168" s="3821"/>
      <c r="U168" s="3821"/>
      <c r="V168" s="3821"/>
      <c r="W168" s="3821"/>
      <c r="X168" s="3821"/>
      <c r="Y168" s="3821"/>
      <c r="Z168" s="3821"/>
      <c r="AA168" s="3821"/>
      <c r="AB168" s="3821"/>
      <c r="AC168" s="3821"/>
    </row>
    <row r="169" spans="1:29">
      <c r="A169" s="3821"/>
      <c r="B169" s="3821"/>
      <c r="C169" s="3821"/>
      <c r="D169" s="3821"/>
      <c r="E169" s="3821"/>
      <c r="F169" s="3821"/>
      <c r="G169" s="3821"/>
      <c r="H169" s="3821"/>
      <c r="I169" s="3821"/>
      <c r="J169" s="3821"/>
      <c r="K169" s="3821"/>
      <c r="L169" s="3821"/>
      <c r="M169" s="3821"/>
      <c r="N169" s="3821"/>
      <c r="O169" s="3821"/>
      <c r="P169" s="3821"/>
      <c r="Q169" s="3821"/>
      <c r="R169" s="3821"/>
      <c r="S169" s="3821"/>
      <c r="T169" s="3821"/>
      <c r="U169" s="3821"/>
      <c r="V169" s="3821"/>
      <c r="W169" s="3821"/>
      <c r="X169" s="3821"/>
      <c r="Y169" s="3821"/>
      <c r="Z169" s="3821"/>
      <c r="AA169" s="3821"/>
      <c r="AB169" s="3821"/>
      <c r="AC169" s="3821"/>
    </row>
    <row r="170" spans="1:29">
      <c r="A170" s="3821"/>
      <c r="B170" s="3821"/>
      <c r="C170" s="3821"/>
      <c r="D170" s="3821"/>
      <c r="E170" s="3821"/>
      <c r="F170" s="3821"/>
      <c r="G170" s="3821"/>
      <c r="H170" s="3821"/>
      <c r="I170" s="3821"/>
      <c r="J170" s="3821"/>
      <c r="K170" s="3821"/>
      <c r="L170" s="3821"/>
      <c r="M170" s="3821"/>
      <c r="N170" s="3821"/>
      <c r="O170" s="3821"/>
      <c r="P170" s="3821"/>
      <c r="Q170" s="3821"/>
      <c r="R170" s="3821"/>
      <c r="S170" s="3821"/>
      <c r="T170" s="3821"/>
      <c r="U170" s="3821"/>
      <c r="V170" s="3821"/>
      <c r="W170" s="3821"/>
      <c r="X170" s="3821"/>
      <c r="Y170" s="3821"/>
      <c r="Z170" s="3821"/>
      <c r="AA170" s="3821"/>
      <c r="AB170" s="3821"/>
      <c r="AC170" s="3821"/>
    </row>
    <row r="171" spans="1:29">
      <c r="A171" s="3821"/>
      <c r="B171" s="3821"/>
      <c r="C171" s="3821"/>
      <c r="D171" s="3821"/>
      <c r="E171" s="3821"/>
      <c r="F171" s="3821"/>
      <c r="G171" s="3821"/>
      <c r="H171" s="3821"/>
      <c r="I171" s="3821"/>
      <c r="J171" s="3821"/>
      <c r="K171" s="3821"/>
      <c r="L171" s="3821"/>
      <c r="M171" s="3821"/>
      <c r="N171" s="3821"/>
      <c r="O171" s="3821"/>
      <c r="P171" s="3821"/>
      <c r="Q171" s="3821"/>
      <c r="R171" s="3821"/>
      <c r="S171" s="3821"/>
      <c r="T171" s="3821"/>
      <c r="U171" s="3821"/>
      <c r="V171" s="3821"/>
      <c r="W171" s="3821"/>
      <c r="X171" s="3821"/>
      <c r="Y171" s="3821"/>
      <c r="Z171" s="3821"/>
      <c r="AA171" s="3821"/>
      <c r="AB171" s="3821"/>
      <c r="AC171" s="3821"/>
    </row>
    <row r="172" spans="1:29">
      <c r="A172" s="3821"/>
      <c r="B172" s="3821"/>
      <c r="C172" s="3821"/>
      <c r="D172" s="3821"/>
      <c r="E172" s="3821"/>
      <c r="F172" s="3821"/>
      <c r="G172" s="3821"/>
      <c r="H172" s="3821"/>
      <c r="I172" s="3821"/>
      <c r="J172" s="3821"/>
      <c r="K172" s="3821"/>
      <c r="L172" s="3821"/>
      <c r="M172" s="3821"/>
      <c r="N172" s="3821"/>
      <c r="O172" s="3821"/>
      <c r="P172" s="3821"/>
      <c r="Q172" s="3821"/>
      <c r="R172" s="3821"/>
      <c r="S172" s="3821"/>
      <c r="T172" s="3821"/>
      <c r="U172" s="3821"/>
      <c r="V172" s="3821"/>
      <c r="W172" s="3821"/>
      <c r="X172" s="3821"/>
      <c r="Y172" s="3821"/>
      <c r="Z172" s="3821"/>
      <c r="AA172" s="3821"/>
      <c r="AB172" s="3821"/>
      <c r="AC172" s="3821"/>
    </row>
    <row r="173" spans="1:29">
      <c r="A173" s="3821"/>
      <c r="B173" s="3821"/>
      <c r="C173" s="3821"/>
      <c r="D173" s="3821"/>
      <c r="E173" s="3821"/>
      <c r="F173" s="3821"/>
      <c r="G173" s="3821"/>
      <c r="H173" s="3821"/>
      <c r="I173" s="3821"/>
      <c r="J173" s="3821"/>
      <c r="K173" s="3821"/>
      <c r="L173" s="3821"/>
      <c r="M173" s="3821"/>
      <c r="N173" s="3821"/>
      <c r="O173" s="3821"/>
      <c r="P173" s="3821"/>
      <c r="Q173" s="3821"/>
      <c r="R173" s="3821"/>
      <c r="S173" s="3821"/>
      <c r="T173" s="3821"/>
      <c r="U173" s="3821"/>
      <c r="V173" s="3821"/>
      <c r="W173" s="3821"/>
      <c r="X173" s="3821"/>
      <c r="Y173" s="3821"/>
      <c r="Z173" s="3821"/>
      <c r="AA173" s="3821"/>
      <c r="AB173" s="3821"/>
      <c r="AC173" s="3821"/>
    </row>
    <row r="174" spans="1:29">
      <c r="A174" s="3821"/>
      <c r="B174" s="3821"/>
      <c r="C174" s="3821"/>
      <c r="D174" s="3821"/>
      <c r="E174" s="3821"/>
      <c r="F174" s="3821"/>
      <c r="G174" s="3821"/>
      <c r="H174" s="3821"/>
      <c r="I174" s="3821"/>
      <c r="J174" s="3821"/>
      <c r="K174" s="3821"/>
      <c r="L174" s="3821"/>
      <c r="M174" s="3821"/>
      <c r="N174" s="3821"/>
      <c r="O174" s="3821"/>
      <c r="P174" s="3821"/>
      <c r="Q174" s="3821"/>
      <c r="R174" s="3821"/>
      <c r="S174" s="3821"/>
      <c r="T174" s="3821"/>
      <c r="U174" s="3821"/>
      <c r="V174" s="3821"/>
      <c r="W174" s="3821"/>
      <c r="X174" s="3821"/>
      <c r="Y174" s="3821"/>
      <c r="Z174" s="3821"/>
      <c r="AA174" s="3821"/>
      <c r="AB174" s="3821"/>
      <c r="AC174" s="3821"/>
    </row>
    <row r="175" spans="1:29">
      <c r="A175" s="3821"/>
      <c r="B175" s="3821"/>
      <c r="C175" s="3821"/>
      <c r="D175" s="3821"/>
      <c r="E175" s="3821"/>
      <c r="F175" s="3821"/>
      <c r="G175" s="3821"/>
      <c r="H175" s="3821"/>
      <c r="I175" s="3821"/>
      <c r="J175" s="3821"/>
      <c r="K175" s="3821"/>
      <c r="L175" s="3821"/>
      <c r="M175" s="3821"/>
      <c r="N175" s="3821"/>
      <c r="O175" s="3821"/>
      <c r="P175" s="3821"/>
      <c r="Q175" s="3821"/>
      <c r="R175" s="3821"/>
      <c r="S175" s="3821"/>
      <c r="T175" s="3821"/>
      <c r="U175" s="3821"/>
      <c r="V175" s="3821"/>
      <c r="W175" s="3821"/>
      <c r="X175" s="3821"/>
      <c r="Y175" s="3821"/>
      <c r="Z175" s="3821"/>
      <c r="AA175" s="3821"/>
      <c r="AB175" s="3821"/>
      <c r="AC175" s="3821"/>
    </row>
    <row r="176" spans="1:29">
      <c r="A176" s="3821"/>
      <c r="B176" s="3821"/>
      <c r="C176" s="3821"/>
      <c r="D176" s="3821"/>
      <c r="E176" s="3821"/>
      <c r="F176" s="3821"/>
      <c r="G176" s="3821"/>
      <c r="H176" s="3821"/>
      <c r="I176" s="3821"/>
      <c r="J176" s="3821"/>
      <c r="K176" s="3821"/>
      <c r="L176" s="3821"/>
      <c r="M176" s="3821"/>
      <c r="N176" s="3821"/>
      <c r="O176" s="3821"/>
      <c r="P176" s="3821"/>
      <c r="Q176" s="3821"/>
      <c r="R176" s="3821"/>
      <c r="S176" s="3821"/>
      <c r="T176" s="3821"/>
      <c r="U176" s="3821"/>
      <c r="V176" s="3821"/>
      <c r="W176" s="3821"/>
      <c r="X176" s="3821"/>
      <c r="Y176" s="3821"/>
      <c r="Z176" s="3821"/>
      <c r="AA176" s="3821"/>
      <c r="AB176" s="3821"/>
      <c r="AC176" s="3821"/>
    </row>
    <row r="177" spans="1:29">
      <c r="A177" s="3821"/>
      <c r="B177" s="3821"/>
      <c r="C177" s="3821"/>
      <c r="D177" s="3821"/>
      <c r="E177" s="3821"/>
      <c r="F177" s="3821"/>
      <c r="G177" s="3821"/>
      <c r="H177" s="3821"/>
      <c r="I177" s="3821"/>
      <c r="J177" s="3821"/>
      <c r="K177" s="3821"/>
      <c r="L177" s="3821"/>
      <c r="M177" s="3821"/>
      <c r="N177" s="3821"/>
      <c r="O177" s="3821"/>
      <c r="P177" s="3821"/>
      <c r="Q177" s="3821"/>
      <c r="R177" s="3821"/>
      <c r="S177" s="3821"/>
      <c r="T177" s="3821"/>
      <c r="U177" s="3821"/>
      <c r="V177" s="3821"/>
      <c r="W177" s="3821"/>
      <c r="X177" s="3821"/>
      <c r="Y177" s="3821"/>
      <c r="Z177" s="3821"/>
      <c r="AA177" s="3821"/>
      <c r="AB177" s="3821"/>
      <c r="AC177" s="3821"/>
    </row>
    <row r="178" spans="1:29">
      <c r="A178" s="3821"/>
      <c r="B178" s="3821"/>
      <c r="C178" s="3821"/>
      <c r="D178" s="3821"/>
      <c r="E178" s="3821"/>
      <c r="F178" s="3821"/>
      <c r="G178" s="3821"/>
      <c r="H178" s="3821"/>
      <c r="I178" s="3821"/>
      <c r="J178" s="3821"/>
      <c r="K178" s="3821"/>
      <c r="L178" s="3821"/>
      <c r="M178" s="3821"/>
      <c r="N178" s="3821"/>
      <c r="O178" s="3821"/>
      <c r="P178" s="3821"/>
      <c r="Q178" s="3821"/>
      <c r="R178" s="3821"/>
      <c r="S178" s="3821"/>
      <c r="T178" s="3821"/>
      <c r="U178" s="3821"/>
      <c r="V178" s="3821"/>
      <c r="W178" s="3821"/>
      <c r="X178" s="3821"/>
      <c r="Y178" s="3821"/>
      <c r="Z178" s="3821"/>
      <c r="AA178" s="3821"/>
      <c r="AB178" s="3821"/>
      <c r="AC178" s="3821"/>
    </row>
    <row r="179" spans="1:29">
      <c r="A179" s="3821"/>
      <c r="B179" s="3821"/>
      <c r="C179" s="3821"/>
      <c r="D179" s="3821"/>
      <c r="E179" s="3821"/>
      <c r="F179" s="3821"/>
      <c r="G179" s="3821"/>
      <c r="H179" s="3821"/>
      <c r="I179" s="3821"/>
      <c r="J179" s="3821"/>
      <c r="K179" s="3821"/>
      <c r="L179" s="3821"/>
      <c r="M179" s="3821"/>
      <c r="N179" s="3821"/>
      <c r="O179" s="3821"/>
      <c r="P179" s="3821"/>
      <c r="Q179" s="3821"/>
      <c r="R179" s="3821"/>
      <c r="S179" s="3821"/>
      <c r="T179" s="3821"/>
      <c r="U179" s="3821"/>
      <c r="V179" s="3821"/>
      <c r="W179" s="3821"/>
      <c r="X179" s="3821"/>
      <c r="Y179" s="3821"/>
      <c r="Z179" s="3821"/>
      <c r="AA179" s="3821"/>
      <c r="AB179" s="3821"/>
      <c r="AC179" s="3821"/>
    </row>
    <row r="180" spans="1:29">
      <c r="A180" s="3821"/>
      <c r="B180" s="3821"/>
      <c r="C180" s="3821"/>
      <c r="D180" s="3821"/>
      <c r="E180" s="3821"/>
      <c r="F180" s="3821"/>
      <c r="G180" s="3821"/>
      <c r="H180" s="3821"/>
      <c r="I180" s="3821"/>
      <c r="J180" s="3821"/>
      <c r="K180" s="3821"/>
      <c r="L180" s="3821"/>
      <c r="M180" s="3821"/>
      <c r="N180" s="3821"/>
      <c r="O180" s="3821"/>
      <c r="P180" s="3821"/>
      <c r="Q180" s="3821"/>
      <c r="R180" s="3821"/>
      <c r="S180" s="3821"/>
      <c r="T180" s="3821"/>
      <c r="U180" s="3821"/>
      <c r="V180" s="3821"/>
      <c r="W180" s="3821"/>
      <c r="X180" s="3821"/>
      <c r="Y180" s="3821"/>
      <c r="Z180" s="3821"/>
      <c r="AA180" s="3821"/>
      <c r="AB180" s="3821"/>
      <c r="AC180" s="3821"/>
    </row>
    <row r="181" spans="1:29">
      <c r="A181" s="3821"/>
      <c r="B181" s="3821"/>
      <c r="C181" s="3821"/>
      <c r="D181" s="3821"/>
      <c r="E181" s="3821"/>
      <c r="F181" s="3821"/>
      <c r="G181" s="3821"/>
      <c r="H181" s="3821"/>
      <c r="I181" s="3821"/>
      <c r="J181" s="3821"/>
      <c r="K181" s="3821"/>
      <c r="L181" s="3821"/>
      <c r="M181" s="3821"/>
      <c r="N181" s="3821"/>
      <c r="O181" s="3821"/>
      <c r="P181" s="3821"/>
      <c r="Q181" s="3821"/>
      <c r="R181" s="3821"/>
      <c r="S181" s="3821"/>
      <c r="T181" s="3821"/>
      <c r="U181" s="3821"/>
      <c r="V181" s="3821"/>
      <c r="W181" s="3821"/>
      <c r="X181" s="3821"/>
      <c r="Y181" s="3821"/>
      <c r="Z181" s="3821"/>
      <c r="AA181" s="3821"/>
      <c r="AB181" s="3821"/>
      <c r="AC181" s="3821"/>
    </row>
    <row r="182" spans="1:29">
      <c r="A182" s="3821"/>
      <c r="B182" s="3821"/>
      <c r="C182" s="3821"/>
      <c r="D182" s="3821"/>
      <c r="E182" s="3821"/>
      <c r="F182" s="3821"/>
      <c r="G182" s="3821"/>
      <c r="H182" s="3821"/>
      <c r="I182" s="3821"/>
      <c r="J182" s="3821"/>
      <c r="K182" s="3821"/>
      <c r="L182" s="3821"/>
      <c r="M182" s="3821"/>
      <c r="N182" s="3821"/>
      <c r="O182" s="3821"/>
      <c r="P182" s="3821"/>
      <c r="Q182" s="3821"/>
      <c r="R182" s="3821"/>
      <c r="S182" s="3821"/>
      <c r="T182" s="3821"/>
      <c r="U182" s="3821"/>
      <c r="V182" s="3821"/>
      <c r="W182" s="3821"/>
      <c r="X182" s="3821"/>
      <c r="Y182" s="3821"/>
      <c r="Z182" s="3821"/>
      <c r="AA182" s="3821"/>
      <c r="AB182" s="3821"/>
      <c r="AC182" s="3821"/>
    </row>
    <row r="183" spans="1:29">
      <c r="A183" s="3821"/>
      <c r="B183" s="3821"/>
      <c r="C183" s="3821"/>
      <c r="D183" s="3821"/>
      <c r="E183" s="3821"/>
      <c r="F183" s="3821"/>
      <c r="G183" s="3821"/>
      <c r="H183" s="3821"/>
      <c r="I183" s="3821"/>
      <c r="J183" s="3821"/>
      <c r="K183" s="3821"/>
      <c r="L183" s="3821"/>
      <c r="M183" s="3821"/>
      <c r="N183" s="3821"/>
      <c r="O183" s="3821"/>
      <c r="P183" s="3821"/>
      <c r="Q183" s="3821"/>
      <c r="R183" s="3821"/>
      <c r="S183" s="3821"/>
      <c r="T183" s="3821"/>
      <c r="U183" s="3821"/>
      <c r="V183" s="3821"/>
      <c r="W183" s="3821"/>
      <c r="X183" s="3821"/>
      <c r="Y183" s="3821"/>
      <c r="Z183" s="3821"/>
      <c r="AA183" s="3821"/>
      <c r="AB183" s="3821"/>
      <c r="AC183" s="3821"/>
    </row>
    <row r="184" spans="1:29">
      <c r="A184" s="3821"/>
      <c r="B184" s="3821"/>
      <c r="C184" s="3821"/>
      <c r="D184" s="3821"/>
      <c r="E184" s="3821"/>
      <c r="F184" s="3821"/>
      <c r="G184" s="3821"/>
      <c r="H184" s="3821"/>
      <c r="I184" s="3821"/>
      <c r="J184" s="3821"/>
      <c r="K184" s="3821"/>
      <c r="L184" s="3821"/>
      <c r="M184" s="3821"/>
      <c r="N184" s="3821"/>
      <c r="O184" s="3821"/>
      <c r="P184" s="3821"/>
      <c r="Q184" s="3821"/>
      <c r="R184" s="3821"/>
      <c r="S184" s="3821"/>
      <c r="T184" s="3821"/>
      <c r="U184" s="3821"/>
      <c r="V184" s="3821"/>
      <c r="W184" s="3821"/>
      <c r="X184" s="3821"/>
      <c r="Y184" s="3821"/>
      <c r="Z184" s="3821"/>
      <c r="AA184" s="3821"/>
      <c r="AB184" s="3821"/>
      <c r="AC184" s="3821"/>
    </row>
    <row r="185" spans="1:29">
      <c r="A185" s="3821"/>
      <c r="B185" s="3821"/>
      <c r="C185" s="3821"/>
      <c r="D185" s="3821"/>
      <c r="E185" s="3821"/>
      <c r="F185" s="3821"/>
      <c r="G185" s="3821"/>
      <c r="H185" s="3821"/>
      <c r="I185" s="3821"/>
      <c r="J185" s="3821"/>
      <c r="K185" s="3821"/>
      <c r="L185" s="3821"/>
      <c r="M185" s="3821"/>
      <c r="N185" s="3821"/>
      <c r="O185" s="3821"/>
      <c r="P185" s="3821"/>
      <c r="Q185" s="3821"/>
      <c r="R185" s="3821"/>
      <c r="S185" s="3821"/>
      <c r="T185" s="3821"/>
      <c r="U185" s="3821"/>
      <c r="V185" s="3821"/>
      <c r="W185" s="3821"/>
      <c r="X185" s="3821"/>
      <c r="Y185" s="3821"/>
      <c r="Z185" s="3821"/>
      <c r="AA185" s="3821"/>
      <c r="AB185" s="3821"/>
      <c r="AC185" s="3821"/>
    </row>
    <row r="186" spans="1:29">
      <c r="A186" s="3821"/>
      <c r="B186" s="3821"/>
      <c r="C186" s="3821"/>
      <c r="D186" s="3821"/>
      <c r="E186" s="3821"/>
      <c r="F186" s="3821"/>
      <c r="G186" s="3821"/>
      <c r="H186" s="3821"/>
      <c r="I186" s="3821"/>
      <c r="J186" s="3821"/>
      <c r="K186" s="3821"/>
      <c r="L186" s="3821"/>
      <c r="M186" s="3821"/>
      <c r="N186" s="3821"/>
      <c r="O186" s="3821"/>
      <c r="P186" s="3821"/>
      <c r="Q186" s="3821"/>
      <c r="R186" s="3821"/>
      <c r="S186" s="3821"/>
      <c r="T186" s="3821"/>
      <c r="U186" s="3821"/>
      <c r="V186" s="3821"/>
      <c r="W186" s="3821"/>
      <c r="X186" s="3821"/>
      <c r="Y186" s="3821"/>
      <c r="Z186" s="3821"/>
      <c r="AA186" s="3821"/>
      <c r="AB186" s="3821"/>
      <c r="AC186" s="3821"/>
    </row>
    <row r="187" spans="1:29">
      <c r="A187" s="3821"/>
      <c r="B187" s="3821"/>
      <c r="C187" s="3821"/>
      <c r="D187" s="3821"/>
      <c r="E187" s="3821"/>
      <c r="F187" s="3821"/>
      <c r="G187" s="3821"/>
      <c r="H187" s="3821"/>
      <c r="I187" s="3821"/>
      <c r="J187" s="3821"/>
      <c r="K187" s="3821"/>
      <c r="L187" s="3821"/>
      <c r="M187" s="3821"/>
      <c r="N187" s="3821"/>
      <c r="O187" s="3821"/>
      <c r="P187" s="3821"/>
      <c r="Q187" s="3821"/>
      <c r="R187" s="3821"/>
      <c r="S187" s="3821"/>
      <c r="T187" s="3821"/>
      <c r="U187" s="3821"/>
      <c r="V187" s="3821"/>
      <c r="W187" s="3821"/>
      <c r="X187" s="3821"/>
      <c r="Y187" s="3821"/>
      <c r="Z187" s="3821"/>
      <c r="AA187" s="3821"/>
      <c r="AB187" s="3821"/>
      <c r="AC187" s="3821"/>
    </row>
    <row r="188" spans="1:29">
      <c r="A188" s="3821"/>
      <c r="B188" s="3821"/>
      <c r="C188" s="3821"/>
      <c r="D188" s="3821"/>
      <c r="E188" s="3821"/>
      <c r="F188" s="3821"/>
      <c r="G188" s="3821"/>
      <c r="H188" s="3821"/>
      <c r="I188" s="3821"/>
      <c r="J188" s="3821"/>
      <c r="K188" s="3821"/>
      <c r="L188" s="3821"/>
      <c r="M188" s="3821"/>
      <c r="N188" s="3821"/>
      <c r="O188" s="3821"/>
      <c r="P188" s="3821"/>
      <c r="Q188" s="3821"/>
      <c r="R188" s="3821"/>
      <c r="S188" s="3821"/>
      <c r="T188" s="3821"/>
      <c r="U188" s="3821"/>
      <c r="V188" s="3821"/>
      <c r="W188" s="3821"/>
      <c r="X188" s="3821"/>
      <c r="Y188" s="3821"/>
      <c r="Z188" s="3821"/>
      <c r="AA188" s="3821"/>
      <c r="AB188" s="3821"/>
      <c r="AC188" s="3821"/>
    </row>
    <row r="189" spans="1:29">
      <c r="A189" s="3821"/>
      <c r="B189" s="3821"/>
      <c r="C189" s="3821"/>
      <c r="D189" s="3821"/>
      <c r="E189" s="3821"/>
      <c r="F189" s="3821"/>
      <c r="G189" s="3821"/>
      <c r="H189" s="3821"/>
      <c r="I189" s="3821"/>
      <c r="J189" s="3821"/>
      <c r="K189" s="3821"/>
      <c r="L189" s="3821"/>
      <c r="M189" s="3821"/>
      <c r="N189" s="3821"/>
      <c r="O189" s="3821"/>
      <c r="P189" s="3821"/>
      <c r="Q189" s="3821"/>
      <c r="R189" s="3821"/>
      <c r="S189" s="3821"/>
      <c r="T189" s="3821"/>
      <c r="U189" s="3821"/>
      <c r="V189" s="3821"/>
      <c r="W189" s="3821"/>
      <c r="X189" s="3821"/>
      <c r="Y189" s="3821"/>
      <c r="Z189" s="3821"/>
      <c r="AA189" s="3821"/>
      <c r="AB189" s="3821"/>
      <c r="AC189" s="3821"/>
    </row>
    <row r="190" spans="1:29">
      <c r="A190" s="3821"/>
      <c r="B190" s="3821"/>
      <c r="C190" s="3821"/>
      <c r="D190" s="3821"/>
      <c r="E190" s="3821"/>
      <c r="F190" s="3821"/>
      <c r="G190" s="3821"/>
      <c r="H190" s="3821"/>
      <c r="I190" s="3821"/>
      <c r="J190" s="3821"/>
      <c r="K190" s="3821"/>
      <c r="L190" s="3821"/>
      <c r="M190" s="3821"/>
      <c r="N190" s="3821"/>
      <c r="O190" s="3821"/>
      <c r="P190" s="3821"/>
      <c r="Q190" s="3821"/>
      <c r="R190" s="3821"/>
      <c r="S190" s="3821"/>
      <c r="T190" s="3821"/>
      <c r="U190" s="3821"/>
      <c r="V190" s="3821"/>
      <c r="W190" s="3821"/>
      <c r="X190" s="3821"/>
      <c r="Y190" s="3821"/>
      <c r="Z190" s="3821"/>
      <c r="AA190" s="3821"/>
      <c r="AB190" s="3821"/>
      <c r="AC190" s="3821"/>
    </row>
    <row r="191" spans="1:29">
      <c r="A191" s="3821"/>
      <c r="B191" s="3821"/>
      <c r="C191" s="3821"/>
      <c r="D191" s="3821"/>
      <c r="E191" s="3821"/>
      <c r="F191" s="3821"/>
      <c r="G191" s="3821"/>
      <c r="H191" s="3821"/>
      <c r="I191" s="3821"/>
      <c r="J191" s="3821"/>
      <c r="K191" s="3821"/>
      <c r="L191" s="3821"/>
      <c r="M191" s="3821"/>
      <c r="N191" s="3821"/>
      <c r="O191" s="3821"/>
      <c r="P191" s="3821"/>
      <c r="Q191" s="3821"/>
      <c r="R191" s="3821"/>
      <c r="S191" s="3821"/>
      <c r="T191" s="3821"/>
      <c r="U191" s="3821"/>
      <c r="V191" s="3821"/>
      <c r="W191" s="3821"/>
      <c r="X191" s="3821"/>
      <c r="Y191" s="3821"/>
      <c r="Z191" s="3821"/>
      <c r="AA191" s="3821"/>
      <c r="AB191" s="3821"/>
      <c r="AC191" s="3821"/>
    </row>
    <row r="192" spans="1:29">
      <c r="A192" s="3821"/>
      <c r="B192" s="3821"/>
      <c r="C192" s="3821"/>
      <c r="D192" s="3821"/>
      <c r="E192" s="3821"/>
      <c r="F192" s="3821"/>
      <c r="G192" s="3821"/>
      <c r="H192" s="3821"/>
      <c r="I192" s="3821"/>
      <c r="J192" s="3821"/>
      <c r="K192" s="3821"/>
      <c r="L192" s="3821"/>
      <c r="M192" s="3821"/>
      <c r="N192" s="3821"/>
      <c r="O192" s="3821"/>
      <c r="P192" s="3821"/>
      <c r="Q192" s="3821"/>
      <c r="R192" s="3821"/>
      <c r="S192" s="3821"/>
      <c r="T192" s="3821"/>
      <c r="U192" s="3821"/>
      <c r="V192" s="3821"/>
      <c r="W192" s="3821"/>
      <c r="X192" s="3821"/>
      <c r="Y192" s="3821"/>
      <c r="Z192" s="3821"/>
      <c r="AA192" s="3821"/>
      <c r="AB192" s="3821"/>
      <c r="AC192" s="3821"/>
    </row>
    <row r="193" spans="1:29">
      <c r="A193" s="3821"/>
      <c r="B193" s="3821"/>
      <c r="C193" s="3821"/>
      <c r="D193" s="3821"/>
      <c r="E193" s="3821"/>
      <c r="F193" s="3821"/>
      <c r="G193" s="3821"/>
      <c r="H193" s="3821"/>
      <c r="I193" s="3821"/>
      <c r="J193" s="3821"/>
      <c r="K193" s="3821"/>
      <c r="L193" s="3821"/>
      <c r="M193" s="3821"/>
      <c r="N193" s="3821"/>
      <c r="O193" s="3821"/>
      <c r="P193" s="3821"/>
      <c r="Q193" s="3821"/>
      <c r="R193" s="3821"/>
      <c r="S193" s="3821"/>
      <c r="T193" s="3821"/>
      <c r="U193" s="3821"/>
      <c r="V193" s="3821"/>
      <c r="W193" s="3821"/>
      <c r="X193" s="3821"/>
      <c r="Y193" s="3821"/>
      <c r="Z193" s="3821"/>
      <c r="AA193" s="3821"/>
      <c r="AB193" s="3821"/>
      <c r="AC193" s="3821"/>
    </row>
    <row r="194" spans="1:29">
      <c r="A194" s="3821"/>
      <c r="B194" s="3821"/>
      <c r="C194" s="3821"/>
      <c r="D194" s="3821"/>
      <c r="E194" s="3821"/>
      <c r="F194" s="3821"/>
      <c r="G194" s="3821"/>
      <c r="H194" s="3821"/>
      <c r="I194" s="3821"/>
      <c r="J194" s="3821"/>
      <c r="K194" s="3821"/>
      <c r="L194" s="3821"/>
      <c r="M194" s="3821"/>
      <c r="N194" s="3821"/>
      <c r="O194" s="3821"/>
      <c r="P194" s="3821"/>
      <c r="Q194" s="3821"/>
      <c r="R194" s="3821"/>
      <c r="S194" s="3821"/>
      <c r="T194" s="3821"/>
      <c r="U194" s="3821"/>
      <c r="V194" s="3821"/>
      <c r="W194" s="3821"/>
      <c r="X194" s="3821"/>
      <c r="Y194" s="3821"/>
      <c r="Z194" s="3821"/>
      <c r="AA194" s="3821"/>
      <c r="AB194" s="3821"/>
      <c r="AC194" s="3821"/>
    </row>
    <row r="195" spans="1:29">
      <c r="A195" s="3821"/>
      <c r="B195" s="3821"/>
      <c r="C195" s="3821"/>
      <c r="D195" s="3821"/>
      <c r="E195" s="3821"/>
      <c r="F195" s="3821"/>
      <c r="G195" s="3821"/>
      <c r="H195" s="3821"/>
      <c r="I195" s="3821"/>
      <c r="J195" s="3821"/>
      <c r="K195" s="3821"/>
      <c r="L195" s="3821"/>
      <c r="M195" s="3821"/>
      <c r="N195" s="3821"/>
      <c r="O195" s="3821"/>
      <c r="P195" s="3821"/>
      <c r="Q195" s="3821"/>
      <c r="R195" s="3821"/>
      <c r="S195" s="3821"/>
      <c r="T195" s="3821"/>
      <c r="U195" s="3821"/>
      <c r="V195" s="3821"/>
      <c r="W195" s="3821"/>
      <c r="X195" s="3821"/>
      <c r="Y195" s="3821"/>
      <c r="Z195" s="3821"/>
      <c r="AA195" s="3821"/>
      <c r="AB195" s="3821"/>
      <c r="AC195" s="3821"/>
    </row>
    <row r="196" spans="1:29">
      <c r="A196" s="3821"/>
      <c r="B196" s="3821"/>
      <c r="C196" s="3821"/>
      <c r="D196" s="3821"/>
      <c r="E196" s="3821"/>
      <c r="F196" s="3821"/>
      <c r="G196" s="3821"/>
      <c r="H196" s="3821"/>
      <c r="I196" s="3821"/>
      <c r="J196" s="3821"/>
      <c r="K196" s="3821"/>
      <c r="L196" s="3821"/>
      <c r="M196" s="3821"/>
      <c r="N196" s="3821"/>
      <c r="O196" s="3821"/>
      <c r="P196" s="3821"/>
      <c r="Q196" s="3821"/>
      <c r="R196" s="3821"/>
      <c r="S196" s="3821"/>
      <c r="T196" s="3821"/>
      <c r="U196" s="3821"/>
      <c r="V196" s="3821"/>
      <c r="W196" s="3821"/>
      <c r="X196" s="3821"/>
      <c r="Y196" s="3821"/>
      <c r="Z196" s="3821"/>
      <c r="AA196" s="3821"/>
      <c r="AB196" s="3821"/>
      <c r="AC196" s="3821"/>
    </row>
    <row r="197" spans="1:29">
      <c r="A197" s="3821"/>
      <c r="B197" s="3821"/>
      <c r="C197" s="3821"/>
      <c r="D197" s="3821"/>
      <c r="E197" s="3821"/>
      <c r="F197" s="3821"/>
      <c r="G197" s="3821"/>
      <c r="H197" s="3821"/>
      <c r="I197" s="3821"/>
      <c r="J197" s="3821"/>
      <c r="K197" s="3821"/>
      <c r="L197" s="3821"/>
      <c r="M197" s="3821"/>
      <c r="N197" s="3821"/>
      <c r="O197" s="3821"/>
      <c r="P197" s="3821"/>
      <c r="Q197" s="3821"/>
      <c r="R197" s="3821"/>
      <c r="S197" s="3821"/>
      <c r="T197" s="3821"/>
      <c r="U197" s="3821"/>
      <c r="V197" s="3821"/>
      <c r="W197" s="3821"/>
      <c r="X197" s="3821"/>
      <c r="Y197" s="3821"/>
      <c r="Z197" s="3821"/>
      <c r="AA197" s="3821"/>
      <c r="AB197" s="3821"/>
      <c r="AC197" s="3821"/>
    </row>
    <row r="198" spans="1:29">
      <c r="A198" s="3821"/>
      <c r="B198" s="3821"/>
      <c r="C198" s="3821"/>
      <c r="D198" s="3821"/>
      <c r="E198" s="3821"/>
      <c r="F198" s="3821"/>
      <c r="G198" s="3821"/>
      <c r="H198" s="3821"/>
      <c r="I198" s="3821"/>
      <c r="J198" s="3821"/>
      <c r="K198" s="3821"/>
      <c r="L198" s="3821"/>
      <c r="M198" s="3821"/>
      <c r="N198" s="3821"/>
      <c r="O198" s="3821"/>
      <c r="P198" s="3821"/>
      <c r="Q198" s="3821"/>
      <c r="R198" s="3821"/>
      <c r="S198" s="3821"/>
      <c r="T198" s="3821"/>
      <c r="U198" s="3821"/>
      <c r="V198" s="3821"/>
      <c r="W198" s="3821"/>
      <c r="X198" s="3821"/>
      <c r="Y198" s="3821"/>
      <c r="Z198" s="3821"/>
      <c r="AA198" s="3821"/>
      <c r="AB198" s="3821"/>
      <c r="AC198" s="3821"/>
    </row>
    <row r="199" spans="1:29">
      <c r="A199" s="3821"/>
      <c r="B199" s="3821"/>
      <c r="C199" s="3821"/>
      <c r="D199" s="3821"/>
      <c r="E199" s="3821"/>
      <c r="F199" s="3821"/>
      <c r="G199" s="3821"/>
      <c r="H199" s="3821"/>
      <c r="I199" s="3821"/>
      <c r="J199" s="3821"/>
      <c r="K199" s="3821"/>
      <c r="L199" s="3821"/>
      <c r="M199" s="3821"/>
      <c r="N199" s="3821"/>
      <c r="O199" s="3821"/>
      <c r="P199" s="3821"/>
      <c r="Q199" s="3821"/>
      <c r="R199" s="3821"/>
      <c r="S199" s="3821"/>
      <c r="T199" s="3821"/>
      <c r="U199" s="3821"/>
      <c r="V199" s="3821"/>
      <c r="W199" s="3821"/>
      <c r="X199" s="3821"/>
      <c r="Y199" s="3821"/>
      <c r="Z199" s="3821"/>
      <c r="AA199" s="3821"/>
      <c r="AB199" s="3821"/>
      <c r="AC199" s="3821"/>
    </row>
    <row r="200" spans="1:29">
      <c r="A200" s="3821"/>
      <c r="B200" s="3821"/>
      <c r="C200" s="3821"/>
      <c r="D200" s="3821"/>
      <c r="E200" s="3821"/>
      <c r="F200" s="3821"/>
      <c r="G200" s="3821"/>
      <c r="H200" s="3821"/>
      <c r="I200" s="3821"/>
      <c r="J200" s="3821"/>
      <c r="K200" s="3821"/>
      <c r="L200" s="3821"/>
      <c r="M200" s="3821"/>
      <c r="N200" s="3821"/>
      <c r="O200" s="3821"/>
      <c r="P200" s="3821"/>
      <c r="Q200" s="3821"/>
      <c r="R200" s="3821"/>
      <c r="S200" s="3821"/>
      <c r="T200" s="3821"/>
      <c r="U200" s="3821"/>
      <c r="V200" s="3821"/>
      <c r="W200" s="3821"/>
      <c r="X200" s="3821"/>
      <c r="Y200" s="3821"/>
      <c r="Z200" s="3821"/>
      <c r="AA200" s="3821"/>
      <c r="AB200" s="3821"/>
      <c r="AC200" s="3821"/>
    </row>
    <row r="201" spans="1:29">
      <c r="A201" s="3821"/>
      <c r="B201" s="3821"/>
      <c r="C201" s="3821"/>
      <c r="D201" s="3821"/>
      <c r="E201" s="3821"/>
      <c r="F201" s="3821"/>
      <c r="G201" s="3821"/>
      <c r="H201" s="3821"/>
      <c r="I201" s="3821"/>
      <c r="J201" s="3821"/>
      <c r="K201" s="3821"/>
      <c r="L201" s="3821"/>
      <c r="M201" s="3821"/>
      <c r="N201" s="3821"/>
      <c r="O201" s="3821"/>
      <c r="P201" s="3821"/>
      <c r="Q201" s="3821"/>
      <c r="R201" s="3821"/>
      <c r="S201" s="3821"/>
      <c r="T201" s="3821"/>
      <c r="U201" s="3821"/>
      <c r="V201" s="3821"/>
      <c r="W201" s="3821"/>
      <c r="X201" s="3821"/>
      <c r="Y201" s="3821"/>
      <c r="Z201" s="3821"/>
      <c r="AA201" s="3821"/>
      <c r="AB201" s="3821"/>
      <c r="AC201" s="3821"/>
    </row>
    <row r="202" spans="1:29">
      <c r="A202" s="3821"/>
      <c r="B202" s="3821"/>
      <c r="C202" s="3821"/>
      <c r="D202" s="3821"/>
      <c r="E202" s="3821"/>
      <c r="F202" s="3821"/>
      <c r="G202" s="3821"/>
      <c r="H202" s="3821"/>
      <c r="I202" s="3821"/>
      <c r="J202" s="3821"/>
      <c r="K202" s="3821"/>
      <c r="L202" s="3821"/>
      <c r="M202" s="3821"/>
      <c r="N202" s="3821"/>
      <c r="O202" s="3821"/>
      <c r="P202" s="3821"/>
      <c r="Q202" s="3821"/>
      <c r="R202" s="3821"/>
      <c r="S202" s="3821"/>
      <c r="T202" s="3821"/>
      <c r="U202" s="3821"/>
      <c r="V202" s="3821"/>
      <c r="W202" s="3821"/>
      <c r="X202" s="3821"/>
      <c r="Y202" s="3821"/>
      <c r="Z202" s="3821"/>
      <c r="AA202" s="3821"/>
      <c r="AB202" s="3821"/>
      <c r="AC202" s="3821"/>
    </row>
    <row r="203" spans="1:29">
      <c r="A203" s="3821"/>
      <c r="B203" s="3821"/>
      <c r="C203" s="3821"/>
      <c r="D203" s="3821"/>
      <c r="E203" s="3821"/>
      <c r="F203" s="3821"/>
      <c r="G203" s="3821"/>
      <c r="H203" s="3821"/>
      <c r="I203" s="3821"/>
      <c r="J203" s="3821"/>
      <c r="K203" s="3821"/>
      <c r="L203" s="3821"/>
      <c r="M203" s="3821"/>
      <c r="N203" s="3821"/>
      <c r="O203" s="3821"/>
      <c r="P203" s="3821"/>
      <c r="Q203" s="3821"/>
      <c r="R203" s="3821"/>
      <c r="S203" s="3821"/>
      <c r="T203" s="3821"/>
      <c r="U203" s="3821"/>
      <c r="V203" s="3821"/>
      <c r="W203" s="3821"/>
      <c r="X203" s="3821"/>
      <c r="Y203" s="3821"/>
      <c r="Z203" s="3821"/>
      <c r="AA203" s="3821"/>
      <c r="AB203" s="3821"/>
      <c r="AC203" s="3821"/>
    </row>
    <row r="204" spans="1:29">
      <c r="A204" s="3821"/>
      <c r="B204" s="3821"/>
      <c r="C204" s="3821"/>
      <c r="D204" s="3821"/>
      <c r="E204" s="3821"/>
      <c r="F204" s="3821"/>
      <c r="G204" s="3821"/>
      <c r="H204" s="3821"/>
      <c r="I204" s="3821"/>
      <c r="J204" s="3821"/>
      <c r="K204" s="3821"/>
      <c r="L204" s="3821"/>
      <c r="M204" s="3821"/>
      <c r="N204" s="3821"/>
      <c r="O204" s="3821"/>
      <c r="P204" s="3821"/>
      <c r="Q204" s="3821"/>
      <c r="R204" s="3821"/>
      <c r="S204" s="3821"/>
      <c r="T204" s="3821"/>
      <c r="U204" s="3821"/>
      <c r="V204" s="3821"/>
      <c r="W204" s="3821"/>
      <c r="X204" s="3821"/>
      <c r="Y204" s="3821"/>
      <c r="Z204" s="3821"/>
      <c r="AA204" s="3821"/>
      <c r="AB204" s="3821"/>
      <c r="AC204" s="3821"/>
    </row>
    <row r="205" spans="1:29">
      <c r="A205" s="3821"/>
      <c r="B205" s="3821"/>
      <c r="C205" s="3821"/>
      <c r="D205" s="3821"/>
      <c r="E205" s="3821"/>
      <c r="F205" s="3821"/>
      <c r="G205" s="3821"/>
      <c r="H205" s="3821"/>
      <c r="I205" s="3821"/>
      <c r="J205" s="3821"/>
      <c r="K205" s="3821"/>
      <c r="L205" s="3821"/>
      <c r="M205" s="3821"/>
      <c r="N205" s="3821"/>
      <c r="O205" s="3821"/>
      <c r="P205" s="3821"/>
      <c r="Q205" s="3821"/>
      <c r="R205" s="3821"/>
      <c r="S205" s="3821"/>
      <c r="T205" s="3821"/>
      <c r="U205" s="3821"/>
      <c r="V205" s="3821"/>
      <c r="W205" s="3821"/>
      <c r="X205" s="3821"/>
      <c r="Y205" s="3821"/>
      <c r="Z205" s="3821"/>
      <c r="AA205" s="3821"/>
      <c r="AB205" s="3821"/>
      <c r="AC205" s="3821"/>
    </row>
    <row r="206" spans="1:29">
      <c r="A206" s="3821"/>
      <c r="B206" s="3821"/>
      <c r="C206" s="3821"/>
      <c r="D206" s="3821"/>
      <c r="E206" s="3821"/>
      <c r="F206" s="3821"/>
      <c r="G206" s="3821"/>
      <c r="H206" s="3821"/>
      <c r="I206" s="3821"/>
      <c r="J206" s="3821"/>
      <c r="K206" s="3821"/>
      <c r="L206" s="3821"/>
      <c r="M206" s="3821"/>
      <c r="N206" s="3821"/>
      <c r="O206" s="3821"/>
      <c r="P206" s="3821"/>
      <c r="Q206" s="3821"/>
      <c r="R206" s="3821"/>
      <c r="S206" s="3821"/>
      <c r="T206" s="3821"/>
      <c r="U206" s="3821"/>
      <c r="V206" s="3821"/>
      <c r="W206" s="3821"/>
      <c r="X206" s="3821"/>
      <c r="Y206" s="3821"/>
      <c r="Z206" s="3821"/>
      <c r="AA206" s="3821"/>
      <c r="AB206" s="3821"/>
      <c r="AC206" s="3821"/>
    </row>
    <row r="207" spans="1:29">
      <c r="A207" s="3821"/>
      <c r="B207" s="3821"/>
      <c r="C207" s="3821"/>
      <c r="D207" s="3821"/>
      <c r="E207" s="3821"/>
      <c r="F207" s="3821"/>
      <c r="G207" s="3821"/>
      <c r="H207" s="3821"/>
      <c r="I207" s="3821"/>
      <c r="J207" s="3821"/>
      <c r="K207" s="3821"/>
      <c r="L207" s="3821"/>
      <c r="M207" s="3821"/>
      <c r="N207" s="3821"/>
      <c r="O207" s="3821"/>
      <c r="P207" s="3821"/>
      <c r="Q207" s="3821"/>
      <c r="R207" s="3821"/>
      <c r="S207" s="3821"/>
      <c r="T207" s="3821"/>
      <c r="U207" s="3821"/>
      <c r="V207" s="3821"/>
      <c r="W207" s="3821"/>
      <c r="X207" s="3821"/>
      <c r="Y207" s="3821"/>
      <c r="Z207" s="3821"/>
      <c r="AA207" s="3821"/>
      <c r="AB207" s="3821"/>
      <c r="AC207" s="3821"/>
    </row>
    <row r="208" spans="1:29">
      <c r="A208" s="3821"/>
      <c r="B208" s="3821"/>
      <c r="C208" s="3821"/>
      <c r="D208" s="3821"/>
      <c r="E208" s="3821"/>
      <c r="F208" s="3821"/>
      <c r="G208" s="3821"/>
      <c r="H208" s="3821"/>
      <c r="I208" s="3821"/>
      <c r="J208" s="3821"/>
      <c r="K208" s="3821"/>
      <c r="L208" s="3821"/>
      <c r="M208" s="3821"/>
      <c r="N208" s="3821"/>
      <c r="O208" s="3821"/>
      <c r="P208" s="3821"/>
      <c r="Q208" s="3821"/>
      <c r="R208" s="3821"/>
      <c r="S208" s="3821"/>
      <c r="T208" s="3821"/>
      <c r="U208" s="3821"/>
      <c r="V208" s="3821"/>
      <c r="W208" s="3821"/>
      <c r="X208" s="3821"/>
      <c r="Y208" s="3821"/>
      <c r="Z208" s="3821"/>
      <c r="AA208" s="3821"/>
      <c r="AB208" s="3821"/>
      <c r="AC208" s="3821"/>
    </row>
    <row r="209" spans="1:29">
      <c r="A209" s="3821"/>
      <c r="B209" s="3821"/>
      <c r="C209" s="3821"/>
      <c r="D209" s="3821"/>
      <c r="E209" s="3821"/>
      <c r="F209" s="3821"/>
      <c r="G209" s="3821"/>
      <c r="H209" s="3821"/>
      <c r="I209" s="3821"/>
      <c r="J209" s="3821"/>
      <c r="K209" s="3821"/>
      <c r="L209" s="3821"/>
      <c r="M209" s="3821"/>
      <c r="N209" s="3821"/>
      <c r="O209" s="3821"/>
      <c r="P209" s="3821"/>
      <c r="Q209" s="3821"/>
      <c r="R209" s="3821"/>
      <c r="S209" s="3821"/>
      <c r="T209" s="3821"/>
      <c r="U209" s="3821"/>
      <c r="V209" s="3821"/>
      <c r="W209" s="3821"/>
      <c r="X209" s="3821"/>
      <c r="Y209" s="3821"/>
      <c r="Z209" s="3821"/>
      <c r="AA209" s="3821"/>
      <c r="AB209" s="3821"/>
      <c r="AC209" s="3821"/>
    </row>
    <row r="210" spans="1:29">
      <c r="A210" s="3821"/>
      <c r="B210" s="3821"/>
      <c r="C210" s="3821"/>
      <c r="D210" s="3821"/>
      <c r="E210" s="3821"/>
      <c r="F210" s="3821"/>
      <c r="G210" s="3821"/>
      <c r="H210" s="3821"/>
      <c r="I210" s="3821"/>
      <c r="J210" s="3821"/>
      <c r="K210" s="3821"/>
      <c r="L210" s="3821"/>
      <c r="M210" s="3821"/>
      <c r="N210" s="3821"/>
      <c r="O210" s="3821"/>
      <c r="P210" s="3821"/>
      <c r="Q210" s="3821"/>
      <c r="R210" s="3821"/>
      <c r="S210" s="3821"/>
      <c r="T210" s="3821"/>
      <c r="U210" s="3821"/>
      <c r="V210" s="3821"/>
      <c r="W210" s="3821"/>
      <c r="X210" s="3821"/>
      <c r="Y210" s="3821"/>
      <c r="Z210" s="3821"/>
      <c r="AA210" s="3821"/>
      <c r="AB210" s="3821"/>
      <c r="AC210" s="3821"/>
    </row>
    <row r="211" spans="1:29">
      <c r="A211" s="3821"/>
      <c r="B211" s="3821"/>
      <c r="C211" s="3821"/>
      <c r="D211" s="3821"/>
      <c r="E211" s="3821"/>
      <c r="F211" s="3821"/>
      <c r="G211" s="3821"/>
      <c r="H211" s="3821"/>
      <c r="I211" s="3821"/>
      <c r="J211" s="3821"/>
      <c r="K211" s="3821"/>
      <c r="L211" s="3821"/>
      <c r="M211" s="3821"/>
      <c r="N211" s="3821"/>
      <c r="O211" s="3821"/>
      <c r="P211" s="3821"/>
      <c r="Q211" s="3821"/>
      <c r="R211" s="3821"/>
      <c r="S211" s="3821"/>
      <c r="T211" s="3821"/>
      <c r="U211" s="3821"/>
      <c r="V211" s="3821"/>
      <c r="W211" s="3821"/>
      <c r="X211" s="3821"/>
      <c r="Y211" s="3821"/>
      <c r="Z211" s="3821"/>
      <c r="AA211" s="3821"/>
      <c r="AB211" s="3821"/>
      <c r="AC211" s="3821"/>
    </row>
    <row r="212" spans="1:29">
      <c r="A212" s="3821"/>
      <c r="B212" s="3821"/>
      <c r="C212" s="3821"/>
      <c r="D212" s="3821"/>
      <c r="E212" s="3821"/>
      <c r="F212" s="3821"/>
      <c r="G212" s="3821"/>
      <c r="H212" s="3821"/>
      <c r="I212" s="3821"/>
      <c r="J212" s="3821"/>
      <c r="K212" s="3821"/>
      <c r="L212" s="3821"/>
      <c r="M212" s="3821"/>
      <c r="N212" s="3821"/>
      <c r="O212" s="3821"/>
      <c r="P212" s="3821"/>
      <c r="Q212" s="3821"/>
      <c r="R212" s="3821"/>
      <c r="S212" s="3821"/>
      <c r="T212" s="3821"/>
      <c r="U212" s="3821"/>
      <c r="V212" s="3821"/>
      <c r="W212" s="3821"/>
      <c r="X212" s="3821"/>
      <c r="Y212" s="3821"/>
      <c r="Z212" s="3821"/>
      <c r="AA212" s="3821"/>
      <c r="AB212" s="3821"/>
      <c r="AC212" s="3821"/>
    </row>
    <row r="213" spans="1:29">
      <c r="A213" s="3821"/>
      <c r="B213" s="3821"/>
      <c r="C213" s="3821"/>
      <c r="D213" s="3821"/>
      <c r="E213" s="3821"/>
      <c r="F213" s="3821"/>
      <c r="G213" s="3821"/>
      <c r="H213" s="3821"/>
      <c r="I213" s="3821"/>
      <c r="J213" s="3821"/>
      <c r="K213" s="3821"/>
      <c r="L213" s="3821"/>
      <c r="M213" s="3821"/>
      <c r="N213" s="3821"/>
      <c r="O213" s="3821"/>
      <c r="P213" s="3821"/>
      <c r="Q213" s="3821"/>
      <c r="R213" s="3821"/>
      <c r="S213" s="3821"/>
      <c r="T213" s="3821"/>
      <c r="U213" s="3821"/>
      <c r="V213" s="3821"/>
      <c r="W213" s="3821"/>
      <c r="X213" s="3821"/>
      <c r="Y213" s="3821"/>
      <c r="Z213" s="3821"/>
      <c r="AA213" s="3821"/>
      <c r="AB213" s="3821"/>
      <c r="AC213" s="3821"/>
    </row>
    <row r="214" spans="1:29">
      <c r="A214" s="3821"/>
      <c r="B214" s="3821"/>
      <c r="C214" s="3821"/>
      <c r="D214" s="3821"/>
      <c r="E214" s="3821"/>
      <c r="F214" s="3821"/>
      <c r="G214" s="3821"/>
      <c r="H214" s="3821"/>
      <c r="I214" s="3821"/>
      <c r="J214" s="3821"/>
      <c r="K214" s="3821"/>
      <c r="L214" s="3821"/>
      <c r="M214" s="3821"/>
      <c r="N214" s="3821"/>
      <c r="O214" s="3821"/>
      <c r="P214" s="3821"/>
      <c r="Q214" s="3821"/>
      <c r="R214" s="3821"/>
      <c r="S214" s="3821"/>
      <c r="T214" s="3821"/>
      <c r="U214" s="3821"/>
      <c r="V214" s="3821"/>
      <c r="W214" s="3821"/>
      <c r="X214" s="3821"/>
      <c r="Y214" s="3821"/>
      <c r="Z214" s="3821"/>
      <c r="AA214" s="3821"/>
      <c r="AB214" s="3821"/>
      <c r="AC214" s="3821"/>
    </row>
    <row r="215" spans="1:29">
      <c r="A215" s="3821"/>
      <c r="B215" s="3821"/>
      <c r="C215" s="3821"/>
      <c r="D215" s="3821"/>
      <c r="E215" s="3821"/>
      <c r="F215" s="3821"/>
      <c r="G215" s="3821"/>
      <c r="H215" s="3821"/>
      <c r="I215" s="3821"/>
      <c r="J215" s="3821"/>
      <c r="K215" s="3821"/>
      <c r="L215" s="3821"/>
      <c r="M215" s="3821"/>
      <c r="N215" s="3821"/>
      <c r="O215" s="3821"/>
      <c r="P215" s="3821"/>
      <c r="Q215" s="3821"/>
      <c r="R215" s="3821"/>
      <c r="S215" s="3821"/>
      <c r="T215" s="3821"/>
      <c r="U215" s="3821"/>
      <c r="V215" s="3821"/>
      <c r="W215" s="3821"/>
      <c r="X215" s="3821"/>
      <c r="Y215" s="3821"/>
      <c r="Z215" s="3821"/>
      <c r="AA215" s="3821"/>
      <c r="AB215" s="3821"/>
      <c r="AC215" s="3821"/>
    </row>
    <row r="216" spans="1:29">
      <c r="A216" s="3821"/>
      <c r="B216" s="3821"/>
      <c r="C216" s="3821"/>
      <c r="D216" s="3821"/>
      <c r="E216" s="3821"/>
      <c r="F216" s="3821"/>
      <c r="G216" s="3821"/>
      <c r="H216" s="3821"/>
      <c r="I216" s="3821"/>
      <c r="J216" s="3821"/>
      <c r="K216" s="3821"/>
      <c r="L216" s="3821"/>
      <c r="M216" s="3821"/>
      <c r="N216" s="3821"/>
      <c r="O216" s="3821"/>
      <c r="P216" s="3821"/>
      <c r="Q216" s="3821"/>
      <c r="R216" s="3821"/>
      <c r="S216" s="3821"/>
      <c r="T216" s="3821"/>
      <c r="U216" s="3821"/>
      <c r="V216" s="3821"/>
      <c r="W216" s="3821"/>
      <c r="X216" s="3821"/>
      <c r="Y216" s="3821"/>
      <c r="Z216" s="3821"/>
      <c r="AA216" s="3821"/>
      <c r="AB216" s="3821"/>
      <c r="AC216" s="3821"/>
    </row>
    <row r="217" spans="1:29">
      <c r="A217" s="3821"/>
      <c r="B217" s="3821"/>
      <c r="C217" s="3821"/>
      <c r="D217" s="3821"/>
      <c r="E217" s="3821"/>
      <c r="F217" s="3821"/>
      <c r="G217" s="3821"/>
      <c r="H217" s="3821"/>
      <c r="I217" s="3821"/>
      <c r="J217" s="3821"/>
      <c r="K217" s="3821"/>
      <c r="L217" s="3821"/>
      <c r="M217" s="3821"/>
      <c r="N217" s="3821"/>
      <c r="O217" s="3821"/>
      <c r="P217" s="3821"/>
      <c r="Q217" s="3821"/>
      <c r="R217" s="3821"/>
      <c r="S217" s="3821"/>
      <c r="T217" s="3821"/>
      <c r="U217" s="3821"/>
      <c r="V217" s="3821"/>
      <c r="W217" s="3821"/>
      <c r="X217" s="3821"/>
      <c r="Y217" s="3821"/>
      <c r="Z217" s="3821"/>
      <c r="AA217" s="3821"/>
      <c r="AB217" s="3821"/>
      <c r="AC217" s="3821"/>
    </row>
    <row r="218" spans="1:29">
      <c r="A218" s="3821"/>
      <c r="B218" s="3821"/>
      <c r="C218" s="3821"/>
      <c r="D218" s="3821"/>
      <c r="E218" s="3821"/>
      <c r="F218" s="3821"/>
      <c r="G218" s="3821"/>
      <c r="H218" s="3821"/>
      <c r="I218" s="3821"/>
      <c r="J218" s="3821"/>
      <c r="K218" s="3821"/>
      <c r="L218" s="3821"/>
      <c r="M218" s="3821"/>
      <c r="N218" s="3821"/>
      <c r="O218" s="3821"/>
      <c r="P218" s="3821"/>
      <c r="Q218" s="3821"/>
      <c r="R218" s="3821"/>
      <c r="S218" s="3821"/>
      <c r="T218" s="3821"/>
      <c r="U218" s="3821"/>
      <c r="V218" s="3821"/>
      <c r="W218" s="3821"/>
      <c r="X218" s="3821"/>
      <c r="Y218" s="3821"/>
      <c r="Z218" s="3821"/>
      <c r="AA218" s="3821"/>
      <c r="AB218" s="3821"/>
      <c r="AC218" s="3821"/>
    </row>
    <row r="219" spans="1:29">
      <c r="A219" s="3821"/>
      <c r="B219" s="3821"/>
      <c r="C219" s="3821"/>
      <c r="D219" s="3821"/>
      <c r="E219" s="3821"/>
      <c r="F219" s="3821"/>
      <c r="G219" s="3821"/>
      <c r="H219" s="3821"/>
      <c r="I219" s="3821"/>
      <c r="J219" s="3821"/>
      <c r="K219" s="3821"/>
      <c r="L219" s="3821"/>
      <c r="M219" s="3821"/>
      <c r="N219" s="3821"/>
      <c r="O219" s="3821"/>
      <c r="P219" s="3821"/>
      <c r="Q219" s="3821"/>
      <c r="R219" s="3821"/>
      <c r="S219" s="3821"/>
      <c r="T219" s="3821"/>
      <c r="U219" s="3821"/>
      <c r="V219" s="3821"/>
      <c r="W219" s="3821"/>
      <c r="X219" s="3821"/>
      <c r="Y219" s="3821"/>
      <c r="Z219" s="3821"/>
      <c r="AA219" s="3821"/>
      <c r="AB219" s="3821"/>
      <c r="AC219" s="3821"/>
    </row>
    <row r="220" spans="1:29">
      <c r="A220" s="3821"/>
      <c r="B220" s="3821"/>
      <c r="C220" s="3821"/>
      <c r="D220" s="3821"/>
      <c r="E220" s="3821"/>
      <c r="F220" s="3821"/>
      <c r="G220" s="3821"/>
      <c r="H220" s="3821"/>
      <c r="I220" s="3821"/>
      <c r="J220" s="3821"/>
      <c r="K220" s="3821"/>
      <c r="L220" s="3821"/>
      <c r="M220" s="3821"/>
      <c r="N220" s="3821"/>
      <c r="O220" s="3821"/>
      <c r="P220" s="3821"/>
      <c r="Q220" s="3821"/>
      <c r="R220" s="3821"/>
      <c r="S220" s="3821"/>
      <c r="T220" s="3821"/>
      <c r="U220" s="3821"/>
      <c r="V220" s="3821"/>
      <c r="W220" s="3821"/>
      <c r="X220" s="3821"/>
      <c r="Y220" s="3821"/>
      <c r="Z220" s="3821"/>
      <c r="AA220" s="3821"/>
      <c r="AB220" s="3821"/>
      <c r="AC220" s="3821"/>
    </row>
    <row r="221" spans="1:29">
      <c r="A221" s="3821"/>
      <c r="B221" s="3821"/>
      <c r="C221" s="3821"/>
      <c r="D221" s="3821"/>
      <c r="E221" s="3821"/>
      <c r="F221" s="3821"/>
      <c r="G221" s="3821"/>
      <c r="H221" s="3821"/>
      <c r="I221" s="3821"/>
      <c r="J221" s="3821"/>
      <c r="K221" s="3821"/>
      <c r="L221" s="3821"/>
      <c r="M221" s="3821"/>
      <c r="N221" s="3821"/>
      <c r="O221" s="3821"/>
      <c r="P221" s="3821"/>
      <c r="Q221" s="3821"/>
      <c r="R221" s="3821"/>
      <c r="S221" s="3821"/>
      <c r="T221" s="3821"/>
      <c r="U221" s="3821"/>
      <c r="V221" s="3821"/>
      <c r="W221" s="3821"/>
      <c r="X221" s="3821"/>
      <c r="Y221" s="3821"/>
      <c r="Z221" s="3821"/>
      <c r="AA221" s="3821"/>
      <c r="AB221" s="3821"/>
      <c r="AC221" s="3821"/>
    </row>
    <row r="222" spans="1:29">
      <c r="A222" s="3821"/>
      <c r="B222" s="3821"/>
      <c r="C222" s="3821"/>
      <c r="D222" s="3821"/>
      <c r="E222" s="3821"/>
      <c r="F222" s="3821"/>
      <c r="G222" s="3821"/>
      <c r="H222" s="3821"/>
      <c r="I222" s="3821"/>
      <c r="J222" s="3821"/>
      <c r="K222" s="3821"/>
      <c r="L222" s="3821"/>
      <c r="M222" s="3821"/>
      <c r="N222" s="3821"/>
      <c r="O222" s="3821"/>
      <c r="P222" s="3821"/>
      <c r="Q222" s="3821"/>
      <c r="R222" s="3821"/>
      <c r="S222" s="3821"/>
      <c r="T222" s="3821"/>
      <c r="U222" s="3821"/>
      <c r="V222" s="3821"/>
      <c r="W222" s="3821"/>
      <c r="X222" s="3821"/>
      <c r="Y222" s="3821"/>
      <c r="Z222" s="3821"/>
      <c r="AA222" s="3821"/>
      <c r="AB222" s="3821"/>
      <c r="AC222" s="3821"/>
    </row>
    <row r="223" spans="1:29">
      <c r="A223" s="3821"/>
      <c r="B223" s="3821"/>
      <c r="C223" s="3821"/>
      <c r="D223" s="3821"/>
      <c r="E223" s="3821"/>
      <c r="F223" s="3821"/>
      <c r="G223" s="3821"/>
      <c r="H223" s="3821"/>
      <c r="I223" s="3821"/>
      <c r="J223" s="3821"/>
      <c r="K223" s="3821"/>
      <c r="L223" s="3821"/>
      <c r="M223" s="3821"/>
      <c r="N223" s="3821"/>
      <c r="O223" s="3821"/>
      <c r="P223" s="3821"/>
      <c r="Q223" s="3821"/>
      <c r="R223" s="3821"/>
      <c r="S223" s="3821"/>
      <c r="T223" s="3821"/>
      <c r="U223" s="3821"/>
      <c r="V223" s="3821"/>
      <c r="W223" s="3821"/>
      <c r="X223" s="3821"/>
      <c r="Y223" s="3821"/>
      <c r="Z223" s="3821"/>
      <c r="AA223" s="3821"/>
      <c r="AB223" s="3821"/>
      <c r="AC223" s="3821"/>
    </row>
    <row r="224" spans="1:29">
      <c r="A224" s="3821"/>
      <c r="B224" s="3821"/>
      <c r="C224" s="3821"/>
      <c r="D224" s="3821"/>
      <c r="E224" s="3821"/>
      <c r="F224" s="3821"/>
      <c r="G224" s="3821"/>
      <c r="H224" s="3821"/>
      <c r="I224" s="3821"/>
      <c r="J224" s="3821"/>
      <c r="K224" s="3821"/>
      <c r="L224" s="3821"/>
      <c r="M224" s="3821"/>
      <c r="N224" s="3821"/>
      <c r="O224" s="3821"/>
      <c r="P224" s="3821"/>
      <c r="Q224" s="3821"/>
      <c r="R224" s="3821"/>
      <c r="S224" s="3821"/>
      <c r="T224" s="3821"/>
      <c r="U224" s="3821"/>
      <c r="V224" s="3821"/>
      <c r="W224" s="3821"/>
      <c r="X224" s="3821"/>
      <c r="Y224" s="3821"/>
      <c r="Z224" s="3821"/>
      <c r="AA224" s="3821"/>
      <c r="AB224" s="3821"/>
      <c r="AC224" s="3821"/>
    </row>
    <row r="225" spans="1:29">
      <c r="A225" s="3821"/>
      <c r="B225" s="3821"/>
      <c r="C225" s="3821"/>
      <c r="D225" s="3821"/>
      <c r="E225" s="3821"/>
      <c r="F225" s="3821"/>
      <c r="G225" s="3821"/>
      <c r="H225" s="3821"/>
      <c r="I225" s="3821"/>
      <c r="J225" s="3821"/>
      <c r="K225" s="3821"/>
      <c r="L225" s="3821"/>
      <c r="M225" s="3821"/>
      <c r="N225" s="3821"/>
      <c r="O225" s="3821"/>
      <c r="P225" s="3821"/>
      <c r="Q225" s="3821"/>
      <c r="R225" s="3821"/>
      <c r="S225" s="3821"/>
      <c r="T225" s="3821"/>
      <c r="U225" s="3821"/>
      <c r="V225" s="3821"/>
      <c r="W225" s="3821"/>
      <c r="X225" s="3821"/>
      <c r="Y225" s="3821"/>
      <c r="Z225" s="3821"/>
      <c r="AA225" s="3821"/>
      <c r="AB225" s="3821"/>
      <c r="AC225" s="3821"/>
    </row>
    <row r="226" spans="1:29">
      <c r="A226" s="3821"/>
      <c r="B226" s="3821"/>
      <c r="C226" s="3821"/>
      <c r="D226" s="3821"/>
      <c r="E226" s="3821"/>
      <c r="F226" s="3821"/>
      <c r="G226" s="3821"/>
      <c r="H226" s="3821"/>
      <c r="I226" s="3821"/>
      <c r="J226" s="3821"/>
      <c r="K226" s="3821"/>
      <c r="L226" s="3821"/>
      <c r="M226" s="3821"/>
      <c r="N226" s="3821"/>
      <c r="O226" s="3821"/>
      <c r="P226" s="3821"/>
      <c r="Q226" s="3821"/>
      <c r="R226" s="3821"/>
      <c r="S226" s="3821"/>
      <c r="T226" s="3821"/>
      <c r="U226" s="3821"/>
      <c r="V226" s="3821"/>
      <c r="W226" s="3821"/>
      <c r="X226" s="3821"/>
      <c r="Y226" s="3821"/>
      <c r="Z226" s="3821"/>
      <c r="AA226" s="3821"/>
      <c r="AB226" s="3821"/>
      <c r="AC226" s="3821"/>
    </row>
    <row r="227" spans="1:29">
      <c r="A227" s="3821"/>
      <c r="B227" s="3821"/>
      <c r="C227" s="3821"/>
      <c r="D227" s="3821"/>
      <c r="E227" s="3821"/>
      <c r="F227" s="3821"/>
      <c r="G227" s="3821"/>
      <c r="H227" s="3821"/>
      <c r="I227" s="3821"/>
      <c r="J227" s="3821"/>
      <c r="K227" s="3821"/>
      <c r="L227" s="3821"/>
      <c r="M227" s="3821"/>
      <c r="N227" s="3821"/>
      <c r="O227" s="3821"/>
      <c r="P227" s="3821"/>
      <c r="Q227" s="3821"/>
      <c r="R227" s="3821"/>
      <c r="S227" s="3821"/>
      <c r="T227" s="3821"/>
      <c r="U227" s="3821"/>
      <c r="V227" s="3821"/>
      <c r="W227" s="3821"/>
      <c r="X227" s="3821"/>
      <c r="Y227" s="3821"/>
      <c r="Z227" s="3821"/>
      <c r="AA227" s="3821"/>
      <c r="AB227" s="3821"/>
      <c r="AC227" s="3821"/>
    </row>
    <row r="228" spans="1:29">
      <c r="A228" s="3821"/>
      <c r="B228" s="3821"/>
      <c r="C228" s="3821"/>
      <c r="D228" s="3821"/>
      <c r="E228" s="3821"/>
      <c r="F228" s="3821"/>
      <c r="G228" s="3821"/>
      <c r="H228" s="3821"/>
      <c r="I228" s="3821"/>
      <c r="J228" s="3821"/>
      <c r="K228" s="3821"/>
      <c r="L228" s="3821"/>
      <c r="M228" s="3821"/>
      <c r="N228" s="3821"/>
      <c r="O228" s="3821"/>
      <c r="P228" s="3821"/>
      <c r="Q228" s="3821"/>
      <c r="R228" s="3821"/>
      <c r="S228" s="3821"/>
      <c r="T228" s="3821"/>
      <c r="U228" s="3821"/>
      <c r="V228" s="3821"/>
      <c r="W228" s="3821"/>
      <c r="X228" s="3821"/>
      <c r="Y228" s="3821"/>
      <c r="Z228" s="3821"/>
      <c r="AA228" s="3821"/>
      <c r="AB228" s="3821"/>
      <c r="AC228" s="3821"/>
    </row>
    <row r="229" spans="1:29">
      <c r="A229" s="3821"/>
      <c r="B229" s="3821"/>
      <c r="C229" s="3821"/>
      <c r="D229" s="3821"/>
      <c r="E229" s="3821"/>
      <c r="F229" s="3821"/>
      <c r="G229" s="3821"/>
      <c r="H229" s="3821"/>
      <c r="I229" s="3821"/>
      <c r="J229" s="3821"/>
      <c r="K229" s="3821"/>
      <c r="L229" s="3821"/>
      <c r="M229" s="3821"/>
      <c r="N229" s="3821"/>
      <c r="O229" s="3821"/>
      <c r="P229" s="3821"/>
      <c r="Q229" s="3821"/>
      <c r="R229" s="3821"/>
      <c r="S229" s="3821"/>
      <c r="T229" s="3821"/>
      <c r="U229" s="3821"/>
      <c r="V229" s="3821"/>
      <c r="W229" s="3821"/>
      <c r="X229" s="3821"/>
      <c r="Y229" s="3821"/>
      <c r="Z229" s="3821"/>
      <c r="AA229" s="3821"/>
      <c r="AB229" s="3821"/>
      <c r="AC229" s="3821"/>
    </row>
    <row r="230" spans="1:29">
      <c r="A230" s="3821"/>
      <c r="B230" s="3821"/>
      <c r="C230" s="3821"/>
      <c r="D230" s="3821"/>
      <c r="E230" s="3821"/>
      <c r="F230" s="3821"/>
      <c r="G230" s="3821"/>
      <c r="H230" s="3821"/>
      <c r="I230" s="3821"/>
      <c r="J230" s="3821"/>
      <c r="K230" s="3821"/>
      <c r="L230" s="3821"/>
      <c r="M230" s="3821"/>
      <c r="N230" s="3821"/>
      <c r="O230" s="3821"/>
      <c r="P230" s="3821"/>
      <c r="Q230" s="3821"/>
      <c r="R230" s="3821"/>
      <c r="S230" s="3821"/>
      <c r="T230" s="3821"/>
      <c r="U230" s="3821"/>
      <c r="V230" s="3821"/>
      <c r="W230" s="3821"/>
      <c r="X230" s="3821"/>
      <c r="Y230" s="3821"/>
      <c r="Z230" s="3821"/>
      <c r="AA230" s="3821"/>
      <c r="AB230" s="3821"/>
      <c r="AC230" s="3821"/>
    </row>
    <row r="231" spans="1:29">
      <c r="A231" s="3821"/>
      <c r="B231" s="3821"/>
      <c r="C231" s="3821"/>
      <c r="D231" s="3821"/>
      <c r="E231" s="3821"/>
      <c r="F231" s="3821"/>
      <c r="G231" s="3821"/>
      <c r="H231" s="3821"/>
      <c r="I231" s="3821"/>
      <c r="J231" s="3821"/>
      <c r="K231" s="3821"/>
      <c r="L231" s="3821"/>
      <c r="M231" s="3821"/>
      <c r="N231" s="3821"/>
      <c r="O231" s="3821"/>
      <c r="P231" s="3821"/>
      <c r="Q231" s="3821"/>
      <c r="R231" s="3821"/>
      <c r="S231" s="3821"/>
      <c r="T231" s="3821"/>
      <c r="U231" s="3821"/>
      <c r="V231" s="3821"/>
      <c r="W231" s="3821"/>
      <c r="X231" s="3821"/>
      <c r="Y231" s="3821"/>
      <c r="Z231" s="3821"/>
      <c r="AA231" s="3821"/>
      <c r="AB231" s="3821"/>
      <c r="AC231" s="3821"/>
    </row>
    <row r="232" spans="1:29">
      <c r="A232" s="3821"/>
      <c r="B232" s="3821"/>
      <c r="C232" s="3821"/>
      <c r="D232" s="3821"/>
      <c r="E232" s="3821"/>
      <c r="F232" s="3821"/>
      <c r="G232" s="3821"/>
      <c r="H232" s="3821"/>
      <c r="I232" s="3821"/>
      <c r="J232" s="3821"/>
      <c r="K232" s="3821"/>
      <c r="L232" s="3821"/>
      <c r="M232" s="3821"/>
      <c r="N232" s="3821"/>
      <c r="O232" s="3821"/>
      <c r="P232" s="3821"/>
      <c r="Q232" s="3821"/>
      <c r="R232" s="3821"/>
      <c r="S232" s="3821"/>
      <c r="T232" s="3821"/>
      <c r="U232" s="3821"/>
      <c r="V232" s="3821"/>
      <c r="W232" s="3821"/>
      <c r="X232" s="3821"/>
      <c r="Y232" s="3821"/>
      <c r="Z232" s="3821"/>
      <c r="AA232" s="3821"/>
      <c r="AB232" s="3821"/>
      <c r="AC232" s="3821"/>
    </row>
    <row r="233" spans="1:29">
      <c r="A233" s="3821"/>
      <c r="B233" s="3821"/>
      <c r="C233" s="3821"/>
      <c r="D233" s="3821"/>
      <c r="E233" s="3821"/>
      <c r="F233" s="3821"/>
      <c r="G233" s="3821"/>
      <c r="H233" s="3821"/>
      <c r="I233" s="3821"/>
      <c r="J233" s="3821"/>
      <c r="K233" s="3821"/>
      <c r="L233" s="3821"/>
      <c r="M233" s="3821"/>
      <c r="N233" s="3821"/>
      <c r="O233" s="3821"/>
      <c r="P233" s="3821"/>
      <c r="Q233" s="3821"/>
      <c r="R233" s="3821"/>
      <c r="S233" s="3821"/>
      <c r="T233" s="3821"/>
      <c r="U233" s="3821"/>
      <c r="V233" s="3821"/>
      <c r="W233" s="3821"/>
      <c r="X233" s="3821"/>
      <c r="Y233" s="3821"/>
      <c r="Z233" s="3821"/>
      <c r="AA233" s="3821"/>
      <c r="AB233" s="3821"/>
      <c r="AC233" s="3821"/>
    </row>
    <row r="234" spans="1:29">
      <c r="A234" s="3821"/>
      <c r="B234" s="3821"/>
      <c r="C234" s="3821"/>
      <c r="D234" s="3821"/>
      <c r="E234" s="3821"/>
      <c r="F234" s="3821"/>
      <c r="G234" s="3821"/>
      <c r="H234" s="3821"/>
      <c r="I234" s="3821"/>
      <c r="J234" s="3821"/>
      <c r="K234" s="3821"/>
      <c r="L234" s="3821"/>
      <c r="M234" s="3821"/>
      <c r="N234" s="3821"/>
      <c r="O234" s="3821"/>
      <c r="P234" s="3821"/>
      <c r="Q234" s="3821"/>
      <c r="R234" s="3821"/>
      <c r="S234" s="3821"/>
      <c r="T234" s="3821"/>
      <c r="U234" s="3821"/>
      <c r="V234" s="3821"/>
      <c r="W234" s="3821"/>
      <c r="X234" s="3821"/>
      <c r="Y234" s="3821"/>
      <c r="Z234" s="3821"/>
      <c r="AA234" s="3821"/>
      <c r="AB234" s="3821"/>
      <c r="AC234" s="3821"/>
    </row>
    <row r="235" spans="1:29">
      <c r="A235" s="3821"/>
      <c r="B235" s="3821"/>
      <c r="C235" s="3821"/>
      <c r="D235" s="3821"/>
      <c r="E235" s="3821"/>
      <c r="F235" s="3821"/>
      <c r="G235" s="3821"/>
      <c r="H235" s="3821"/>
      <c r="I235" s="3821"/>
      <c r="J235" s="3821"/>
      <c r="K235" s="3821"/>
      <c r="L235" s="3821"/>
      <c r="M235" s="3821"/>
      <c r="N235" s="3821"/>
      <c r="O235" s="3821"/>
      <c r="P235" s="3821"/>
      <c r="Q235" s="3821"/>
      <c r="R235" s="3821"/>
      <c r="S235" s="3821"/>
      <c r="T235" s="3821"/>
      <c r="U235" s="3821"/>
      <c r="V235" s="3821"/>
      <c r="W235" s="3821"/>
      <c r="X235" s="3821"/>
      <c r="Y235" s="3821"/>
      <c r="Z235" s="3821"/>
      <c r="AA235" s="3821"/>
      <c r="AB235" s="3821"/>
      <c r="AC235" s="3821"/>
    </row>
    <row r="236" spans="1:29">
      <c r="A236" s="3821"/>
      <c r="B236" s="3821"/>
      <c r="C236" s="3821"/>
      <c r="D236" s="3821"/>
      <c r="E236" s="3821"/>
      <c r="F236" s="3821"/>
      <c r="G236" s="3821"/>
      <c r="H236" s="3821"/>
      <c r="I236" s="3821"/>
      <c r="J236" s="3821"/>
      <c r="K236" s="3821"/>
      <c r="L236" s="3821"/>
      <c r="M236" s="3821"/>
      <c r="N236" s="3821"/>
      <c r="O236" s="3821"/>
      <c r="P236" s="3821"/>
      <c r="Q236" s="3821"/>
      <c r="R236" s="3821"/>
      <c r="S236" s="3821"/>
      <c r="T236" s="3821"/>
      <c r="U236" s="3821"/>
      <c r="V236" s="3821"/>
      <c r="W236" s="3821"/>
      <c r="X236" s="3821"/>
      <c r="Y236" s="3821"/>
      <c r="Z236" s="3821"/>
      <c r="AA236" s="3821"/>
      <c r="AB236" s="3821"/>
      <c r="AC236" s="3821"/>
    </row>
    <row r="237" spans="1:29">
      <c r="A237" s="3821"/>
      <c r="B237" s="3821"/>
      <c r="C237" s="3821"/>
      <c r="D237" s="3821"/>
      <c r="E237" s="3821"/>
      <c r="F237" s="3821"/>
      <c r="G237" s="3821"/>
      <c r="H237" s="3821"/>
      <c r="I237" s="3821"/>
      <c r="J237" s="3821"/>
      <c r="K237" s="3821"/>
      <c r="L237" s="3821"/>
      <c r="M237" s="3821"/>
      <c r="N237" s="3821"/>
      <c r="O237" s="3821"/>
      <c r="P237" s="3821"/>
      <c r="Q237" s="3821"/>
      <c r="R237" s="3821"/>
      <c r="S237" s="3821"/>
      <c r="T237" s="3821"/>
      <c r="U237" s="3821"/>
      <c r="V237" s="3821"/>
      <c r="W237" s="3821"/>
      <c r="X237" s="3821"/>
      <c r="Y237" s="3821"/>
      <c r="Z237" s="3821"/>
      <c r="AA237" s="3821"/>
      <c r="AB237" s="3821"/>
      <c r="AC237" s="3821"/>
    </row>
    <row r="238" spans="1:29">
      <c r="A238" s="3821"/>
      <c r="B238" s="3821"/>
      <c r="C238" s="3821"/>
      <c r="D238" s="3821"/>
      <c r="E238" s="3821"/>
      <c r="F238" s="3821"/>
      <c r="G238" s="3821"/>
      <c r="H238" s="3821"/>
      <c r="I238" s="3821"/>
      <c r="J238" s="3821"/>
      <c r="K238" s="3821"/>
      <c r="L238" s="3821"/>
      <c r="M238" s="3821"/>
      <c r="N238" s="3821"/>
      <c r="O238" s="3821"/>
      <c r="P238" s="3821"/>
      <c r="Q238" s="3821"/>
      <c r="R238" s="3821"/>
      <c r="S238" s="3821"/>
      <c r="T238" s="3821"/>
      <c r="U238" s="3821"/>
      <c r="V238" s="3821"/>
      <c r="W238" s="3821"/>
      <c r="X238" s="3821"/>
      <c r="Y238" s="3821"/>
      <c r="Z238" s="3821"/>
      <c r="AA238" s="3821"/>
      <c r="AB238" s="3821"/>
      <c r="AC238" s="3821"/>
    </row>
    <row r="239" spans="1:29">
      <c r="A239" s="3821"/>
      <c r="B239" s="3821"/>
      <c r="C239" s="3821"/>
      <c r="D239" s="3821"/>
      <c r="E239" s="3821"/>
      <c r="F239" s="3821"/>
      <c r="G239" s="3821"/>
      <c r="H239" s="3821"/>
      <c r="I239" s="3821"/>
      <c r="J239" s="3821"/>
      <c r="K239" s="3821"/>
      <c r="L239" s="3821"/>
      <c r="M239" s="3821"/>
      <c r="N239" s="3821"/>
      <c r="O239" s="3821"/>
      <c r="P239" s="3821"/>
      <c r="Q239" s="3821"/>
      <c r="R239" s="3821"/>
      <c r="S239" s="3821"/>
      <c r="T239" s="3821"/>
      <c r="U239" s="3821"/>
      <c r="V239" s="3821"/>
      <c r="W239" s="3821"/>
      <c r="X239" s="3821"/>
      <c r="Y239" s="3821"/>
      <c r="Z239" s="3821"/>
      <c r="AA239" s="3821"/>
      <c r="AB239" s="3821"/>
      <c r="AC239" s="3821"/>
    </row>
    <row r="240" spans="1:29">
      <c r="A240" s="3821"/>
      <c r="B240" s="3821"/>
      <c r="C240" s="3821"/>
      <c r="D240" s="3821"/>
      <c r="E240" s="3821"/>
      <c r="F240" s="3821"/>
      <c r="G240" s="3821"/>
      <c r="H240" s="3821"/>
      <c r="I240" s="3821"/>
      <c r="J240" s="3821"/>
      <c r="K240" s="3821"/>
      <c r="L240" s="3821"/>
      <c r="M240" s="3821"/>
      <c r="N240" s="3821"/>
      <c r="O240" s="3821"/>
      <c r="P240" s="3821"/>
      <c r="Q240" s="3821"/>
      <c r="R240" s="3821"/>
      <c r="S240" s="3821"/>
      <c r="T240" s="3821"/>
      <c r="U240" s="3821"/>
      <c r="V240" s="3821"/>
      <c r="W240" s="3821"/>
      <c r="X240" s="3821"/>
      <c r="Y240" s="3821"/>
      <c r="Z240" s="3821"/>
      <c r="AA240" s="3821"/>
      <c r="AB240" s="3821"/>
      <c r="AC240" s="3821"/>
    </row>
    <row r="241" spans="1:29">
      <c r="A241" s="3821"/>
      <c r="B241" s="3821"/>
      <c r="C241" s="3821"/>
      <c r="D241" s="3821"/>
      <c r="E241" s="3821"/>
      <c r="F241" s="3821"/>
      <c r="G241" s="3821"/>
      <c r="H241" s="3821"/>
      <c r="I241" s="3821"/>
      <c r="J241" s="3821"/>
      <c r="K241" s="3821"/>
      <c r="L241" s="3821"/>
      <c r="M241" s="3821"/>
      <c r="N241" s="3821"/>
      <c r="O241" s="3821"/>
      <c r="P241" s="3821"/>
      <c r="Q241" s="3821"/>
      <c r="R241" s="3821"/>
      <c r="S241" s="3821"/>
      <c r="T241" s="3821"/>
      <c r="U241" s="3821"/>
      <c r="V241" s="3821"/>
      <c r="W241" s="3821"/>
      <c r="X241" s="3821"/>
      <c r="Y241" s="3821"/>
      <c r="Z241" s="3821"/>
      <c r="AA241" s="3821"/>
      <c r="AB241" s="3821"/>
      <c r="AC241" s="3821"/>
    </row>
    <row r="242" spans="1:29">
      <c r="A242" s="3821"/>
      <c r="B242" s="3821"/>
      <c r="C242" s="3821"/>
      <c r="D242" s="3821"/>
      <c r="E242" s="3821"/>
      <c r="F242" s="3821"/>
      <c r="G242" s="3821"/>
      <c r="H242" s="3821"/>
      <c r="I242" s="3821"/>
      <c r="J242" s="3821"/>
      <c r="K242" s="3821"/>
      <c r="L242" s="3821"/>
      <c r="M242" s="3821"/>
      <c r="N242" s="3821"/>
      <c r="O242" s="3821"/>
      <c r="P242" s="3821"/>
      <c r="Q242" s="3821"/>
      <c r="R242" s="3821"/>
      <c r="S242" s="3821"/>
      <c r="T242" s="3821"/>
      <c r="U242" s="3821"/>
      <c r="V242" s="3821"/>
      <c r="W242" s="3821"/>
      <c r="X242" s="3821"/>
      <c r="Y242" s="3821"/>
      <c r="Z242" s="3821"/>
      <c r="AA242" s="3821"/>
      <c r="AB242" s="3821"/>
      <c r="AC242" s="3821"/>
    </row>
    <row r="243" spans="1:29">
      <c r="A243" s="3821"/>
      <c r="B243" s="3821"/>
      <c r="C243" s="3821"/>
      <c r="D243" s="3821"/>
      <c r="E243" s="3821"/>
      <c r="F243" s="3821"/>
      <c r="G243" s="3821"/>
      <c r="H243" s="3821"/>
      <c r="I243" s="3821"/>
      <c r="J243" s="3821"/>
      <c r="K243" s="3821"/>
      <c r="L243" s="3821"/>
      <c r="M243" s="3821"/>
      <c r="N243" s="3821"/>
      <c r="O243" s="3821"/>
      <c r="P243" s="3821"/>
      <c r="Q243" s="3821"/>
      <c r="R243" s="3821"/>
      <c r="S243" s="3821"/>
      <c r="T243" s="3821"/>
      <c r="U243" s="3821"/>
      <c r="V243" s="3821"/>
      <c r="W243" s="3821"/>
      <c r="X243" s="3821"/>
      <c r="Y243" s="3821"/>
      <c r="Z243" s="3821"/>
      <c r="AA243" s="3821"/>
      <c r="AB243" s="3821"/>
      <c r="AC243" s="3821"/>
    </row>
    <row r="244" spans="1:29">
      <c r="A244" s="3821"/>
      <c r="B244" s="3821"/>
      <c r="C244" s="3821"/>
      <c r="D244" s="3821"/>
      <c r="E244" s="3821"/>
      <c r="F244" s="3821"/>
      <c r="G244" s="3821"/>
      <c r="H244" s="3821"/>
      <c r="I244" s="3821"/>
      <c r="J244" s="3821"/>
      <c r="K244" s="3821"/>
      <c r="L244" s="3821"/>
      <c r="M244" s="3821"/>
      <c r="N244" s="3821"/>
      <c r="O244" s="3821"/>
      <c r="P244" s="3821"/>
      <c r="Q244" s="3821"/>
      <c r="R244" s="3821"/>
      <c r="S244" s="3821"/>
      <c r="T244" s="3821"/>
      <c r="U244" s="3821"/>
      <c r="V244" s="3821"/>
      <c r="W244" s="3821"/>
      <c r="X244" s="3821"/>
      <c r="Y244" s="3821"/>
      <c r="Z244" s="3821"/>
      <c r="AA244" s="3821"/>
      <c r="AB244" s="3821"/>
      <c r="AC244" s="3821"/>
    </row>
    <row r="245" spans="1:29">
      <c r="A245" s="3821"/>
      <c r="B245" s="3821"/>
      <c r="C245" s="3821"/>
      <c r="D245" s="3821"/>
      <c r="E245" s="3821"/>
      <c r="F245" s="3821"/>
      <c r="G245" s="3821"/>
      <c r="H245" s="3821"/>
      <c r="I245" s="3821"/>
      <c r="J245" s="3821"/>
      <c r="K245" s="3821"/>
      <c r="L245" s="3821"/>
      <c r="M245" s="3821"/>
      <c r="N245" s="3821"/>
      <c r="O245" s="3821"/>
      <c r="P245" s="3821"/>
      <c r="Q245" s="3821"/>
      <c r="R245" s="3821"/>
      <c r="S245" s="3821"/>
      <c r="T245" s="3821"/>
      <c r="U245" s="3821"/>
      <c r="V245" s="3821"/>
      <c r="W245" s="3821"/>
      <c r="X245" s="3821"/>
      <c r="Y245" s="3821"/>
      <c r="Z245" s="3821"/>
      <c r="AA245" s="3821"/>
      <c r="AB245" s="3821"/>
      <c r="AC245" s="3821"/>
    </row>
    <row r="246" spans="1:29">
      <c r="A246" s="3821"/>
      <c r="B246" s="3821"/>
      <c r="C246" s="3821"/>
      <c r="D246" s="3821"/>
      <c r="E246" s="3821"/>
      <c r="F246" s="3821"/>
      <c r="G246" s="3821"/>
      <c r="H246" s="3821"/>
      <c r="I246" s="3821"/>
      <c r="J246" s="3821"/>
      <c r="K246" s="3821"/>
      <c r="L246" s="3821"/>
      <c r="M246" s="3821"/>
      <c r="N246" s="3821"/>
      <c r="O246" s="3821"/>
      <c r="P246" s="3821"/>
      <c r="Q246" s="3821"/>
      <c r="R246" s="3821"/>
      <c r="S246" s="3821"/>
      <c r="T246" s="3821"/>
      <c r="U246" s="3821"/>
      <c r="V246" s="3821"/>
      <c r="W246" s="3821"/>
      <c r="X246" s="3821"/>
      <c r="Y246" s="3821"/>
      <c r="Z246" s="3821"/>
      <c r="AA246" s="3821"/>
      <c r="AB246" s="3821"/>
      <c r="AC246" s="3821"/>
    </row>
    <row r="247" spans="1:29">
      <c r="A247" s="3821"/>
      <c r="B247" s="3821"/>
      <c r="C247" s="3821"/>
      <c r="D247" s="3821"/>
      <c r="E247" s="3821"/>
      <c r="F247" s="3821"/>
      <c r="G247" s="3821"/>
      <c r="H247" s="3821"/>
      <c r="I247" s="3821"/>
      <c r="J247" s="3821"/>
      <c r="K247" s="3821"/>
      <c r="L247" s="3821"/>
      <c r="M247" s="3821"/>
      <c r="N247" s="3821"/>
      <c r="O247" s="3821"/>
      <c r="P247" s="3821"/>
      <c r="Q247" s="3821"/>
      <c r="R247" s="3821"/>
      <c r="S247" s="3821"/>
      <c r="T247" s="3821"/>
      <c r="U247" s="3821"/>
      <c r="V247" s="3821"/>
      <c r="W247" s="3821"/>
      <c r="X247" s="3821"/>
      <c r="Y247" s="3821"/>
      <c r="Z247" s="3821"/>
      <c r="AA247" s="3821"/>
      <c r="AB247" s="3821"/>
      <c r="AC247" s="3821"/>
    </row>
    <row r="248" spans="1:29">
      <c r="A248" s="3821"/>
      <c r="B248" s="3821"/>
      <c r="C248" s="3821"/>
      <c r="D248" s="3821"/>
      <c r="E248" s="3821"/>
      <c r="F248" s="3821"/>
      <c r="G248" s="3821"/>
      <c r="H248" s="3821"/>
      <c r="I248" s="3821"/>
      <c r="J248" s="3821"/>
      <c r="K248" s="3821"/>
      <c r="L248" s="3821"/>
      <c r="M248" s="3821"/>
      <c r="N248" s="3821"/>
      <c r="O248" s="3821"/>
      <c r="P248" s="3821"/>
      <c r="Q248" s="3821"/>
      <c r="R248" s="3821"/>
      <c r="S248" s="3821"/>
      <c r="T248" s="3821"/>
      <c r="U248" s="3821"/>
      <c r="V248" s="3821"/>
      <c r="W248" s="3821"/>
      <c r="X248" s="3821"/>
      <c r="Y248" s="3821"/>
      <c r="Z248" s="3821"/>
      <c r="AA248" s="3821"/>
      <c r="AB248" s="3821"/>
      <c r="AC248" s="3821"/>
    </row>
    <row r="249" spans="1:29">
      <c r="A249" s="3821"/>
      <c r="B249" s="3821"/>
      <c r="C249" s="3821"/>
      <c r="D249" s="3821"/>
      <c r="E249" s="3821"/>
      <c r="F249" s="3821"/>
      <c r="G249" s="3821"/>
      <c r="H249" s="3821"/>
      <c r="I249" s="3821"/>
      <c r="J249" s="3821"/>
      <c r="K249" s="3821"/>
      <c r="L249" s="3821"/>
      <c r="M249" s="3821"/>
      <c r="N249" s="3821"/>
      <c r="O249" s="3821"/>
      <c r="P249" s="3821"/>
      <c r="Q249" s="3821"/>
      <c r="R249" s="3821"/>
      <c r="S249" s="3821"/>
      <c r="T249" s="3821"/>
      <c r="U249" s="3821"/>
      <c r="V249" s="3821"/>
      <c r="W249" s="3821"/>
      <c r="X249" s="3821"/>
      <c r="Y249" s="3821"/>
      <c r="Z249" s="3821"/>
      <c r="AA249" s="3821"/>
      <c r="AB249" s="3821"/>
      <c r="AC249" s="3821"/>
    </row>
    <row r="250" spans="1:29">
      <c r="A250" s="3821"/>
      <c r="B250" s="3821"/>
      <c r="C250" s="3821"/>
      <c r="D250" s="3821"/>
      <c r="E250" s="3821"/>
      <c r="F250" s="3821"/>
      <c r="G250" s="3821"/>
      <c r="H250" s="3821"/>
      <c r="I250" s="3821"/>
      <c r="J250" s="3821"/>
      <c r="K250" s="3821"/>
      <c r="L250" s="3821"/>
      <c r="M250" s="3821"/>
      <c r="N250" s="3821"/>
      <c r="O250" s="3821"/>
      <c r="P250" s="3821"/>
      <c r="Q250" s="3821"/>
      <c r="R250" s="3821"/>
      <c r="S250" s="3821"/>
      <c r="T250" s="3821"/>
      <c r="U250" s="3821"/>
      <c r="V250" s="3821"/>
      <c r="W250" s="3821"/>
      <c r="X250" s="3821"/>
      <c r="Y250" s="3821"/>
      <c r="Z250" s="3821"/>
      <c r="AA250" s="3821"/>
      <c r="AB250" s="3821"/>
      <c r="AC250" s="3821"/>
    </row>
    <row r="251" spans="1:29">
      <c r="A251" s="3821"/>
      <c r="B251" s="3821"/>
      <c r="C251" s="3821"/>
      <c r="D251" s="3821"/>
      <c r="E251" s="3821"/>
      <c r="F251" s="3821"/>
      <c r="G251" s="3821"/>
      <c r="H251" s="3821"/>
      <c r="I251" s="3821"/>
      <c r="J251" s="3821"/>
      <c r="K251" s="3821"/>
      <c r="L251" s="3821"/>
      <c r="M251" s="3821"/>
      <c r="N251" s="3821"/>
      <c r="O251" s="3821"/>
      <c r="P251" s="3821"/>
      <c r="Q251" s="3821"/>
      <c r="R251" s="3821"/>
      <c r="S251" s="3821"/>
      <c r="T251" s="3821"/>
      <c r="U251" s="3821"/>
      <c r="V251" s="3821"/>
      <c r="W251" s="3821"/>
      <c r="X251" s="3821"/>
      <c r="Y251" s="3821"/>
      <c r="Z251" s="3821"/>
      <c r="AA251" s="3821"/>
      <c r="AB251" s="3821"/>
      <c r="AC251" s="3821"/>
    </row>
    <row r="252" spans="1:29">
      <c r="A252" s="3821"/>
      <c r="B252" s="3821"/>
      <c r="C252" s="3821"/>
      <c r="D252" s="3821"/>
      <c r="E252" s="3821"/>
      <c r="F252" s="3821"/>
      <c r="G252" s="3821"/>
      <c r="H252" s="3821"/>
      <c r="I252" s="3821"/>
      <c r="J252" s="3821"/>
      <c r="K252" s="3821"/>
      <c r="L252" s="3821"/>
      <c r="M252" s="3821"/>
      <c r="N252" s="3821"/>
      <c r="O252" s="3821"/>
      <c r="P252" s="3821"/>
      <c r="Q252" s="3821"/>
      <c r="R252" s="3821"/>
      <c r="S252" s="3821"/>
      <c r="T252" s="3821"/>
      <c r="U252" s="3821"/>
      <c r="V252" s="3821"/>
      <c r="W252" s="3821"/>
      <c r="X252" s="3821"/>
      <c r="Y252" s="3821"/>
      <c r="Z252" s="3821"/>
      <c r="AA252" s="3821"/>
      <c r="AB252" s="3821"/>
      <c r="AC252" s="3821"/>
    </row>
    <row r="253" spans="1:29">
      <c r="A253" s="3821"/>
      <c r="B253" s="3821"/>
      <c r="C253" s="3821"/>
      <c r="D253" s="3821"/>
      <c r="E253" s="3821"/>
      <c r="F253" s="3821"/>
      <c r="G253" s="3821"/>
      <c r="H253" s="3821"/>
      <c r="I253" s="3821"/>
      <c r="J253" s="3821"/>
      <c r="K253" s="3821"/>
      <c r="L253" s="3821"/>
      <c r="M253" s="3821"/>
      <c r="N253" s="3821"/>
      <c r="O253" s="3821"/>
      <c r="P253" s="3821"/>
      <c r="Q253" s="3821"/>
      <c r="R253" s="3821"/>
      <c r="S253" s="3821"/>
      <c r="T253" s="3821"/>
      <c r="U253" s="3821"/>
      <c r="V253" s="3821"/>
      <c r="W253" s="3821"/>
      <c r="X253" s="3821"/>
      <c r="Y253" s="3821"/>
      <c r="Z253" s="3821"/>
      <c r="AA253" s="3821"/>
      <c r="AB253" s="3821"/>
      <c r="AC253" s="3821"/>
    </row>
    <row r="254" spans="1:29">
      <c r="A254" s="3821"/>
      <c r="B254" s="3821"/>
      <c r="C254" s="3821"/>
      <c r="D254" s="3821"/>
      <c r="E254" s="3821"/>
      <c r="F254" s="3821"/>
      <c r="G254" s="3821"/>
      <c r="H254" s="3821"/>
      <c r="I254" s="3821"/>
      <c r="J254" s="3821"/>
      <c r="K254" s="3821"/>
      <c r="L254" s="3821"/>
      <c r="M254" s="3821"/>
      <c r="N254" s="3821"/>
      <c r="O254" s="3821"/>
      <c r="P254" s="3821"/>
      <c r="Q254" s="3821"/>
      <c r="R254" s="3821"/>
      <c r="S254" s="3821"/>
      <c r="T254" s="3821"/>
      <c r="U254" s="3821"/>
      <c r="V254" s="3821"/>
      <c r="W254" s="3821"/>
      <c r="X254" s="3821"/>
      <c r="Y254" s="3821"/>
      <c r="Z254" s="3821"/>
      <c r="AA254" s="3821"/>
      <c r="AB254" s="3821"/>
      <c r="AC254" s="3821"/>
    </row>
    <row r="255" spans="1:29">
      <c r="A255" s="3821"/>
      <c r="B255" s="3821"/>
      <c r="C255" s="3821"/>
      <c r="D255" s="3821"/>
      <c r="E255" s="3821"/>
      <c r="F255" s="3821"/>
      <c r="G255" s="3821"/>
      <c r="H255" s="3821"/>
      <c r="I255" s="3821"/>
      <c r="J255" s="3821"/>
      <c r="K255" s="3821"/>
      <c r="L255" s="3821"/>
      <c r="M255" s="3821"/>
      <c r="N255" s="3821"/>
      <c r="O255" s="3821"/>
      <c r="P255" s="3821"/>
      <c r="Q255" s="3821"/>
      <c r="R255" s="3821"/>
      <c r="S255" s="3821"/>
      <c r="T255" s="3821"/>
      <c r="U255" s="3821"/>
      <c r="V255" s="3821"/>
      <c r="W255" s="3821"/>
      <c r="X255" s="3821"/>
      <c r="Y255" s="3821"/>
      <c r="Z255" s="3821"/>
      <c r="AA255" s="3821"/>
      <c r="AB255" s="3821"/>
      <c r="AC255" s="3821"/>
    </row>
    <row r="256" spans="1:29">
      <c r="A256" s="3821"/>
      <c r="B256" s="3821"/>
      <c r="C256" s="3821"/>
      <c r="D256" s="3821"/>
      <c r="E256" s="3821"/>
      <c r="F256" s="3821"/>
      <c r="G256" s="3821"/>
      <c r="H256" s="3821"/>
      <c r="I256" s="3821"/>
      <c r="J256" s="3821"/>
      <c r="K256" s="3821"/>
      <c r="L256" s="3821"/>
      <c r="M256" s="3821"/>
      <c r="N256" s="3821"/>
      <c r="O256" s="3821"/>
      <c r="P256" s="3821"/>
      <c r="Q256" s="3821"/>
      <c r="R256" s="3821"/>
      <c r="S256" s="3821"/>
      <c r="T256" s="3821"/>
      <c r="U256" s="3821"/>
      <c r="V256" s="3821"/>
      <c r="W256" s="3821"/>
      <c r="X256" s="3821"/>
      <c r="Y256" s="3821"/>
      <c r="Z256" s="3821"/>
      <c r="AA256" s="3821"/>
      <c r="AB256" s="3821"/>
      <c r="AC256" s="3821"/>
    </row>
    <row r="257" spans="1:29">
      <c r="A257" s="3821"/>
      <c r="B257" s="3821"/>
      <c r="C257" s="3821"/>
      <c r="D257" s="3821"/>
      <c r="E257" s="3821"/>
      <c r="F257" s="3821"/>
      <c r="G257" s="3821"/>
      <c r="H257" s="3821"/>
      <c r="I257" s="3821"/>
      <c r="J257" s="3821"/>
      <c r="K257" s="3821"/>
      <c r="L257" s="3821"/>
      <c r="M257" s="3821"/>
      <c r="N257" s="3821"/>
      <c r="O257" s="3821"/>
      <c r="P257" s="3821"/>
      <c r="Q257" s="3821"/>
      <c r="R257" s="3821"/>
      <c r="S257" s="3821"/>
      <c r="T257" s="3821"/>
      <c r="U257" s="3821"/>
      <c r="V257" s="3821"/>
      <c r="W257" s="3821"/>
      <c r="X257" s="3821"/>
      <c r="Y257" s="3821"/>
      <c r="Z257" s="3821"/>
      <c r="AA257" s="3821"/>
      <c r="AB257" s="3821"/>
      <c r="AC257" s="3821"/>
    </row>
    <row r="258" spans="1:29">
      <c r="A258" s="3821"/>
      <c r="B258" s="3821"/>
      <c r="C258" s="3821"/>
      <c r="D258" s="3821"/>
      <c r="E258" s="3821"/>
      <c r="F258" s="3821"/>
      <c r="G258" s="3821"/>
      <c r="H258" s="3821"/>
      <c r="I258" s="3821"/>
      <c r="J258" s="3821"/>
      <c r="K258" s="3821"/>
      <c r="L258" s="3821"/>
      <c r="M258" s="3821"/>
      <c r="N258" s="3821"/>
      <c r="O258" s="3821"/>
      <c r="P258" s="3821"/>
      <c r="Q258" s="3821"/>
      <c r="R258" s="3821"/>
      <c r="S258" s="3821"/>
      <c r="T258" s="3821"/>
      <c r="U258" s="3821"/>
      <c r="V258" s="3821"/>
      <c r="W258" s="3821"/>
      <c r="X258" s="3821"/>
      <c r="Y258" s="3821"/>
      <c r="Z258" s="3821"/>
      <c r="AA258" s="3821"/>
      <c r="AB258" s="3821"/>
      <c r="AC258" s="3821"/>
    </row>
    <row r="259" spans="1:29">
      <c r="A259" s="3821"/>
      <c r="B259" s="3821"/>
      <c r="C259" s="3821"/>
      <c r="D259" s="3821"/>
      <c r="E259" s="3821"/>
      <c r="F259" s="3821"/>
      <c r="G259" s="3821"/>
      <c r="H259" s="3821"/>
      <c r="I259" s="3821"/>
      <c r="J259" s="3821"/>
      <c r="K259" s="3821"/>
      <c r="L259" s="3821"/>
      <c r="M259" s="3821"/>
      <c r="N259" s="3821"/>
      <c r="O259" s="3821"/>
      <c r="P259" s="3821"/>
      <c r="Q259" s="3821"/>
      <c r="R259" s="3821"/>
      <c r="S259" s="3821"/>
      <c r="T259" s="3821"/>
      <c r="U259" s="3821"/>
      <c r="V259" s="3821"/>
      <c r="W259" s="3821"/>
      <c r="X259" s="3821"/>
      <c r="Y259" s="3821"/>
      <c r="Z259" s="3821"/>
      <c r="AA259" s="3821"/>
      <c r="AB259" s="3821"/>
      <c r="AC259" s="3821"/>
    </row>
    <row r="260" spans="1:29">
      <c r="A260" s="3821"/>
      <c r="B260" s="3821"/>
      <c r="C260" s="3821"/>
      <c r="D260" s="3821"/>
      <c r="E260" s="3821"/>
      <c r="F260" s="3821"/>
      <c r="G260" s="3821"/>
      <c r="H260" s="3821"/>
      <c r="I260" s="3821"/>
      <c r="J260" s="3821"/>
      <c r="K260" s="3821"/>
      <c r="L260" s="3821"/>
      <c r="M260" s="3821"/>
      <c r="N260" s="3821"/>
      <c r="O260" s="3821"/>
      <c r="P260" s="3821"/>
      <c r="Q260" s="3821"/>
      <c r="R260" s="3821"/>
      <c r="S260" s="3821"/>
      <c r="T260" s="3821"/>
      <c r="U260" s="3821"/>
      <c r="V260" s="3821"/>
      <c r="W260" s="3821"/>
      <c r="X260" s="3821"/>
      <c r="Y260" s="3821"/>
      <c r="Z260" s="3821"/>
      <c r="AA260" s="3821"/>
      <c r="AB260" s="3821"/>
      <c r="AC260" s="3821"/>
    </row>
    <row r="261" spans="1:29">
      <c r="A261" s="3821"/>
      <c r="B261" s="3821"/>
      <c r="C261" s="3821"/>
      <c r="D261" s="3821"/>
      <c r="E261" s="3821"/>
      <c r="F261" s="3821"/>
      <c r="G261" s="3821"/>
      <c r="H261" s="3821"/>
      <c r="I261" s="3821"/>
      <c r="J261" s="3821"/>
      <c r="K261" s="3821"/>
      <c r="L261" s="3821"/>
      <c r="M261" s="3821"/>
      <c r="N261" s="3821"/>
      <c r="O261" s="3821"/>
      <c r="P261" s="3821"/>
      <c r="Q261" s="3821"/>
      <c r="R261" s="3821"/>
      <c r="S261" s="3821"/>
      <c r="T261" s="3821"/>
      <c r="U261" s="3821"/>
      <c r="V261" s="3821"/>
      <c r="W261" s="3821"/>
      <c r="X261" s="3821"/>
      <c r="Y261" s="3821"/>
      <c r="Z261" s="3821"/>
      <c r="AA261" s="3821"/>
      <c r="AB261" s="3821"/>
      <c r="AC261" s="3821"/>
    </row>
    <row r="262" spans="1:29">
      <c r="A262" s="3821"/>
      <c r="B262" s="3821"/>
      <c r="C262" s="3821"/>
      <c r="D262" s="3821"/>
      <c r="E262" s="3821"/>
      <c r="F262" s="3821"/>
      <c r="G262" s="3821"/>
      <c r="H262" s="3821"/>
      <c r="I262" s="3821"/>
      <c r="J262" s="3821"/>
      <c r="K262" s="3821"/>
      <c r="L262" s="3821"/>
      <c r="M262" s="3821"/>
      <c r="N262" s="3821"/>
      <c r="O262" s="3821"/>
      <c r="P262" s="3821"/>
      <c r="Q262" s="3821"/>
      <c r="R262" s="3821"/>
      <c r="S262" s="3821"/>
      <c r="T262" s="3821"/>
      <c r="U262" s="3821"/>
      <c r="V262" s="3821"/>
      <c r="W262" s="3821"/>
      <c r="X262" s="3821"/>
      <c r="Y262" s="3821"/>
      <c r="Z262" s="3821"/>
      <c r="AA262" s="3821"/>
      <c r="AB262" s="3821"/>
      <c r="AC262" s="3821"/>
    </row>
    <row r="263" spans="1:29">
      <c r="A263" s="3821"/>
      <c r="B263" s="3821"/>
      <c r="C263" s="3821"/>
      <c r="D263" s="3821"/>
      <c r="E263" s="3821"/>
      <c r="F263" s="3821"/>
      <c r="G263" s="3821"/>
      <c r="H263" s="3821"/>
      <c r="I263" s="3821"/>
      <c r="J263" s="3821"/>
      <c r="K263" s="3821"/>
      <c r="L263" s="3821"/>
      <c r="M263" s="3821"/>
      <c r="N263" s="3821"/>
      <c r="O263" s="3821"/>
      <c r="P263" s="3821"/>
      <c r="Q263" s="3821"/>
      <c r="R263" s="3821"/>
      <c r="S263" s="3821"/>
      <c r="T263" s="3821"/>
      <c r="U263" s="3821"/>
      <c r="V263" s="3821"/>
      <c r="W263" s="3821"/>
      <c r="X263" s="3821"/>
      <c r="Y263" s="3821"/>
      <c r="Z263" s="3821"/>
      <c r="AA263" s="3821"/>
      <c r="AB263" s="3821"/>
      <c r="AC263" s="3821"/>
    </row>
    <row r="264" spans="1:29">
      <c r="A264" s="3821"/>
      <c r="B264" s="3821"/>
      <c r="C264" s="3821"/>
      <c r="D264" s="3821"/>
      <c r="E264" s="3821"/>
      <c r="F264" s="3821"/>
      <c r="G264" s="3821"/>
      <c r="H264" s="3821"/>
      <c r="I264" s="3821"/>
      <c r="J264" s="3821"/>
      <c r="K264" s="3821"/>
      <c r="L264" s="3821"/>
      <c r="M264" s="3821"/>
      <c r="N264" s="3821"/>
      <c r="O264" s="3821"/>
      <c r="P264" s="3821"/>
      <c r="Q264" s="3821"/>
      <c r="R264" s="3821"/>
      <c r="S264" s="3821"/>
      <c r="T264" s="3821"/>
      <c r="U264" s="3821"/>
      <c r="V264" s="3821"/>
      <c r="W264" s="3821"/>
      <c r="X264" s="3821"/>
      <c r="Y264" s="3821"/>
      <c r="Z264" s="3821"/>
      <c r="AA264" s="3821"/>
      <c r="AB264" s="3821"/>
      <c r="AC264" s="3821"/>
    </row>
    <row r="265" spans="1:29">
      <c r="A265" s="3821"/>
      <c r="B265" s="3821"/>
      <c r="C265" s="3821"/>
      <c r="D265" s="3821"/>
      <c r="E265" s="3821"/>
      <c r="F265" s="3821"/>
      <c r="G265" s="3821"/>
      <c r="H265" s="3821"/>
      <c r="I265" s="3821"/>
      <c r="J265" s="3821"/>
      <c r="K265" s="3821"/>
      <c r="L265" s="3821"/>
      <c r="M265" s="3821"/>
      <c r="N265" s="3821"/>
      <c r="O265" s="3821"/>
      <c r="P265" s="3821"/>
      <c r="Q265" s="3821"/>
      <c r="R265" s="3821"/>
      <c r="S265" s="3821"/>
      <c r="T265" s="3821"/>
      <c r="U265" s="3821"/>
      <c r="V265" s="3821"/>
      <c r="W265" s="3821"/>
      <c r="X265" s="3821"/>
      <c r="Y265" s="3821"/>
      <c r="Z265" s="3821"/>
      <c r="AA265" s="3821"/>
      <c r="AB265" s="3821"/>
      <c r="AC265" s="3821"/>
    </row>
    <row r="266" spans="1:29">
      <c r="A266" s="3821"/>
      <c r="B266" s="3821"/>
      <c r="C266" s="3821"/>
      <c r="D266" s="3821"/>
      <c r="E266" s="3821"/>
      <c r="F266" s="3821"/>
      <c r="G266" s="3821"/>
      <c r="H266" s="3821"/>
      <c r="I266" s="3821"/>
      <c r="J266" s="3821"/>
      <c r="K266" s="3821"/>
      <c r="L266" s="3821"/>
      <c r="M266" s="3821"/>
      <c r="N266" s="3821"/>
      <c r="O266" s="3821"/>
      <c r="P266" s="3821"/>
      <c r="Q266" s="3821"/>
      <c r="R266" s="3821"/>
      <c r="S266" s="3821"/>
      <c r="T266" s="3821"/>
      <c r="U266" s="3821"/>
      <c r="V266" s="3821"/>
      <c r="W266" s="3821"/>
      <c r="X266" s="3821"/>
      <c r="Y266" s="3821"/>
      <c r="Z266" s="3821"/>
      <c r="AA266" s="3821"/>
      <c r="AB266" s="3821"/>
      <c r="AC266" s="3821"/>
    </row>
    <row r="267" spans="1:29">
      <c r="A267" s="3821"/>
      <c r="B267" s="3821"/>
      <c r="C267" s="3821"/>
      <c r="D267" s="3821"/>
      <c r="E267" s="3821"/>
      <c r="F267" s="3821"/>
      <c r="G267" s="3821"/>
      <c r="H267" s="3821"/>
      <c r="I267" s="3821"/>
      <c r="J267" s="3821"/>
      <c r="K267" s="3821"/>
      <c r="L267" s="3821"/>
      <c r="M267" s="3821"/>
      <c r="N267" s="3821"/>
      <c r="O267" s="3821"/>
      <c r="P267" s="3821"/>
      <c r="Q267" s="3821"/>
      <c r="R267" s="3821"/>
      <c r="S267" s="3821"/>
      <c r="T267" s="3821"/>
      <c r="U267" s="3821"/>
      <c r="V267" s="3821"/>
      <c r="W267" s="3821"/>
      <c r="X267" s="3821"/>
      <c r="Y267" s="3821"/>
      <c r="Z267" s="3821"/>
      <c r="AA267" s="3821"/>
      <c r="AB267" s="3821"/>
      <c r="AC267" s="3821"/>
    </row>
    <row r="268" spans="1:29">
      <c r="A268" s="3821"/>
      <c r="B268" s="3821"/>
      <c r="C268" s="3821"/>
      <c r="D268" s="3821"/>
      <c r="E268" s="3821"/>
      <c r="F268" s="3821"/>
      <c r="G268" s="3821"/>
      <c r="H268" s="3821"/>
      <c r="I268" s="3821"/>
      <c r="J268" s="3821"/>
      <c r="K268" s="3821"/>
      <c r="L268" s="3821"/>
      <c r="M268" s="3821"/>
      <c r="N268" s="3821"/>
      <c r="O268" s="3821"/>
      <c r="P268" s="3821"/>
      <c r="Q268" s="3821"/>
      <c r="R268" s="3821"/>
      <c r="S268" s="3821"/>
      <c r="T268" s="3821"/>
      <c r="U268" s="3821"/>
      <c r="V268" s="3821"/>
      <c r="W268" s="3821"/>
      <c r="X268" s="3821"/>
      <c r="Y268" s="3821"/>
      <c r="Z268" s="3821"/>
      <c r="AA268" s="3821"/>
      <c r="AB268" s="3821"/>
      <c r="AC268" s="3821"/>
    </row>
    <row r="269" spans="1:29">
      <c r="A269" s="3821"/>
      <c r="B269" s="3821"/>
      <c r="C269" s="3821"/>
      <c r="D269" s="3821"/>
      <c r="E269" s="3821"/>
      <c r="F269" s="3821"/>
      <c r="G269" s="3821"/>
      <c r="H269" s="3821"/>
      <c r="I269" s="3821"/>
      <c r="J269" s="3821"/>
      <c r="K269" s="3821"/>
      <c r="L269" s="3821"/>
      <c r="M269" s="3821"/>
      <c r="N269" s="3821"/>
      <c r="O269" s="3821"/>
      <c r="P269" s="3821"/>
      <c r="Q269" s="3821"/>
      <c r="R269" s="3821"/>
      <c r="S269" s="3821"/>
      <c r="T269" s="3821"/>
      <c r="U269" s="3821"/>
      <c r="V269" s="3821"/>
      <c r="W269" s="3821"/>
      <c r="X269" s="3821"/>
      <c r="Y269" s="3821"/>
      <c r="Z269" s="3821"/>
      <c r="AA269" s="3821"/>
      <c r="AB269" s="3821"/>
      <c r="AC269" s="3821"/>
    </row>
    <row r="270" spans="1:29">
      <c r="A270" s="3821"/>
      <c r="B270" s="3821"/>
      <c r="C270" s="3821"/>
      <c r="D270" s="3821"/>
      <c r="E270" s="3821"/>
      <c r="F270" s="3821"/>
      <c r="G270" s="3821"/>
      <c r="H270" s="3821"/>
      <c r="I270" s="3821"/>
      <c r="J270" s="3821"/>
      <c r="K270" s="3821"/>
      <c r="L270" s="3821"/>
      <c r="M270" s="3821"/>
      <c r="N270" s="3821"/>
      <c r="O270" s="3821"/>
      <c r="P270" s="3821"/>
      <c r="Q270" s="3821"/>
      <c r="R270" s="3821"/>
      <c r="S270" s="3821"/>
      <c r="T270" s="3821"/>
      <c r="U270" s="3821"/>
      <c r="V270" s="3821"/>
      <c r="W270" s="3821"/>
      <c r="X270" s="3821"/>
      <c r="Y270" s="3821"/>
      <c r="Z270" s="3821"/>
      <c r="AA270" s="3821"/>
      <c r="AB270" s="3821"/>
      <c r="AC270" s="3821"/>
    </row>
    <row r="271" spans="1:29">
      <c r="A271" s="3821"/>
      <c r="B271" s="3821"/>
      <c r="C271" s="3821"/>
      <c r="D271" s="3821"/>
      <c r="E271" s="3821"/>
      <c r="F271" s="3821"/>
      <c r="G271" s="3821"/>
      <c r="H271" s="3821"/>
      <c r="I271" s="3821"/>
      <c r="J271" s="3821"/>
      <c r="K271" s="3821"/>
      <c r="L271" s="3821"/>
      <c r="M271" s="3821"/>
      <c r="N271" s="3821"/>
      <c r="O271" s="3821"/>
      <c r="P271" s="3821"/>
      <c r="Q271" s="3821"/>
      <c r="R271" s="3821"/>
      <c r="S271" s="3821"/>
      <c r="T271" s="3821"/>
      <c r="U271" s="3821"/>
      <c r="V271" s="3821"/>
      <c r="W271" s="3821"/>
      <c r="X271" s="3821"/>
      <c r="Y271" s="3821"/>
      <c r="Z271" s="3821"/>
      <c r="AA271" s="3821"/>
      <c r="AB271" s="3821"/>
      <c r="AC271" s="3821"/>
    </row>
    <row r="272" spans="1:29">
      <c r="A272" s="3821"/>
      <c r="B272" s="3821"/>
      <c r="C272" s="3821"/>
      <c r="D272" s="3821"/>
      <c r="E272" s="3821"/>
      <c r="F272" s="3821"/>
      <c r="G272" s="3821"/>
      <c r="H272" s="3821"/>
      <c r="I272" s="3821"/>
      <c r="J272" s="3821"/>
      <c r="K272" s="3821"/>
      <c r="L272" s="3821"/>
      <c r="M272" s="3821"/>
      <c r="N272" s="3821"/>
      <c r="O272" s="3821"/>
      <c r="P272" s="3821"/>
      <c r="Q272" s="3821"/>
      <c r="R272" s="3821"/>
      <c r="S272" s="3821"/>
      <c r="T272" s="3821"/>
      <c r="U272" s="3821"/>
      <c r="V272" s="3821"/>
      <c r="W272" s="3821"/>
      <c r="X272" s="3821"/>
      <c r="Y272" s="3821"/>
      <c r="Z272" s="3821"/>
      <c r="AA272" s="3821"/>
      <c r="AB272" s="3821"/>
      <c r="AC272" s="3821"/>
    </row>
    <row r="273" spans="1:29">
      <c r="A273" s="3821"/>
      <c r="B273" s="3821"/>
      <c r="C273" s="3821"/>
      <c r="D273" s="3821"/>
      <c r="E273" s="3821"/>
      <c r="F273" s="3821"/>
      <c r="G273" s="3821"/>
      <c r="H273" s="3821"/>
      <c r="I273" s="3821"/>
      <c r="J273" s="3821"/>
      <c r="K273" s="3821"/>
      <c r="L273" s="3821"/>
      <c r="M273" s="3821"/>
      <c r="N273" s="3821"/>
      <c r="O273" s="3821"/>
      <c r="P273" s="3821"/>
      <c r="Q273" s="3821"/>
      <c r="R273" s="3821"/>
      <c r="S273" s="3821"/>
      <c r="T273" s="3821"/>
      <c r="U273" s="3821"/>
      <c r="V273" s="3821"/>
      <c r="W273" s="3821"/>
      <c r="X273" s="3821"/>
      <c r="Y273" s="3821"/>
      <c r="Z273" s="3821"/>
      <c r="AA273" s="3821"/>
      <c r="AB273" s="3821"/>
      <c r="AC273" s="3821"/>
    </row>
    <row r="274" spans="1:29">
      <c r="A274" s="3821"/>
      <c r="B274" s="3821"/>
      <c r="C274" s="3821"/>
      <c r="D274" s="3821"/>
      <c r="E274" s="3821"/>
      <c r="F274" s="3821"/>
      <c r="G274" s="3821"/>
      <c r="H274" s="3821"/>
      <c r="I274" s="3821"/>
      <c r="J274" s="3821"/>
      <c r="K274" s="3821"/>
      <c r="L274" s="3821"/>
      <c r="M274" s="3821"/>
      <c r="N274" s="3821"/>
      <c r="O274" s="3821"/>
      <c r="P274" s="3821"/>
      <c r="Q274" s="3821"/>
      <c r="R274" s="3821"/>
      <c r="S274" s="3821"/>
      <c r="T274" s="3821"/>
      <c r="U274" s="3821"/>
      <c r="V274" s="3821"/>
      <c r="W274" s="3821"/>
      <c r="X274" s="3821"/>
      <c r="Y274" s="3821"/>
      <c r="Z274" s="3821"/>
      <c r="AA274" s="3821"/>
      <c r="AB274" s="3821"/>
      <c r="AC274" s="3821"/>
    </row>
    <row r="275" spans="1:29">
      <c r="A275" s="3821"/>
      <c r="B275" s="3821"/>
      <c r="C275" s="3821"/>
      <c r="D275" s="3821"/>
      <c r="E275" s="3821"/>
      <c r="F275" s="3821"/>
      <c r="G275" s="3821"/>
      <c r="H275" s="3821"/>
      <c r="I275" s="3821"/>
      <c r="J275" s="3821"/>
      <c r="K275" s="3821"/>
      <c r="L275" s="3821"/>
      <c r="M275" s="3821"/>
      <c r="N275" s="3821"/>
      <c r="O275" s="3821"/>
      <c r="P275" s="3821"/>
      <c r="Q275" s="3821"/>
      <c r="R275" s="3821"/>
      <c r="S275" s="3821"/>
      <c r="T275" s="3821"/>
      <c r="U275" s="3821"/>
      <c r="V275" s="3821"/>
      <c r="W275" s="3821"/>
      <c r="X275" s="3821"/>
      <c r="Y275" s="3821"/>
      <c r="Z275" s="3821"/>
      <c r="AA275" s="3821"/>
      <c r="AB275" s="3821"/>
      <c r="AC275" s="3821"/>
    </row>
    <row r="276" spans="1:29">
      <c r="A276" s="3821"/>
      <c r="B276" s="3821"/>
      <c r="C276" s="3821"/>
      <c r="D276" s="3821"/>
      <c r="E276" s="3821"/>
      <c r="F276" s="3821"/>
      <c r="G276" s="3821"/>
      <c r="H276" s="3821"/>
      <c r="I276" s="3821"/>
      <c r="J276" s="3821"/>
      <c r="K276" s="3821"/>
      <c r="L276" s="3821"/>
      <c r="M276" s="3821"/>
      <c r="N276" s="3821"/>
      <c r="O276" s="3821"/>
      <c r="P276" s="3821"/>
      <c r="Q276" s="3821"/>
      <c r="R276" s="3821"/>
      <c r="S276" s="3821"/>
      <c r="T276" s="3821"/>
      <c r="U276" s="3821"/>
      <c r="V276" s="3821"/>
      <c r="W276" s="3821"/>
      <c r="X276" s="3821"/>
      <c r="Y276" s="3821"/>
      <c r="Z276" s="3821"/>
      <c r="AA276" s="3821"/>
      <c r="AB276" s="3821"/>
      <c r="AC276" s="3821"/>
    </row>
    <row r="277" spans="1:29">
      <c r="A277" s="3821"/>
      <c r="B277" s="3821"/>
      <c r="C277" s="3821"/>
      <c r="D277" s="3821"/>
      <c r="E277" s="3821"/>
      <c r="F277" s="3821"/>
      <c r="G277" s="3821"/>
      <c r="H277" s="3821"/>
      <c r="I277" s="3821"/>
      <c r="J277" s="3821"/>
      <c r="K277" s="3821"/>
      <c r="L277" s="3821"/>
      <c r="M277" s="3821"/>
      <c r="N277" s="3821"/>
      <c r="O277" s="3821"/>
      <c r="P277" s="3821"/>
      <c r="Q277" s="3821"/>
      <c r="R277" s="3821"/>
      <c r="S277" s="3821"/>
      <c r="T277" s="3821"/>
      <c r="U277" s="3821"/>
      <c r="V277" s="3821"/>
      <c r="W277" s="3821"/>
      <c r="X277" s="3821"/>
      <c r="Y277" s="3821"/>
      <c r="Z277" s="3821"/>
      <c r="AA277" s="3821"/>
      <c r="AB277" s="3821"/>
      <c r="AC277" s="3821"/>
    </row>
    <row r="278" spans="1:29">
      <c r="A278" s="3821"/>
      <c r="B278" s="3821"/>
      <c r="C278" s="3821"/>
      <c r="D278" s="3821"/>
      <c r="E278" s="3821"/>
      <c r="F278" s="3821"/>
      <c r="G278" s="3821"/>
      <c r="H278" s="3821"/>
      <c r="I278" s="3821"/>
      <c r="J278" s="3821"/>
      <c r="K278" s="3821"/>
      <c r="L278" s="3821"/>
      <c r="M278" s="3821"/>
      <c r="N278" s="3821"/>
      <c r="O278" s="3821"/>
      <c r="P278" s="3821"/>
      <c r="Q278" s="3821"/>
      <c r="R278" s="3821"/>
      <c r="S278" s="3821"/>
      <c r="T278" s="3821"/>
      <c r="U278" s="3821"/>
      <c r="V278" s="3821"/>
      <c r="W278" s="3821"/>
      <c r="X278" s="3821"/>
      <c r="Y278" s="3821"/>
      <c r="Z278" s="3821"/>
      <c r="AA278" s="3821"/>
      <c r="AB278" s="3821"/>
      <c r="AC278" s="3821"/>
    </row>
    <row r="279" spans="1:29">
      <c r="A279" s="3821"/>
      <c r="B279" s="3821"/>
      <c r="C279" s="3821"/>
      <c r="D279" s="3821"/>
      <c r="E279" s="3821"/>
      <c r="F279" s="3821"/>
      <c r="G279" s="3821"/>
      <c r="H279" s="3821"/>
      <c r="I279" s="3821"/>
      <c r="J279" s="3821"/>
      <c r="K279" s="3821"/>
      <c r="L279" s="3821"/>
      <c r="M279" s="3821"/>
      <c r="N279" s="3821"/>
      <c r="O279" s="3821"/>
      <c r="P279" s="3821"/>
      <c r="Q279" s="3821"/>
      <c r="R279" s="3821"/>
      <c r="S279" s="3821"/>
      <c r="T279" s="3821"/>
      <c r="U279" s="3821"/>
      <c r="V279" s="3821"/>
      <c r="W279" s="3821"/>
      <c r="X279" s="3821"/>
      <c r="Y279" s="3821"/>
      <c r="Z279" s="3821"/>
      <c r="AA279" s="3821"/>
      <c r="AB279" s="3821"/>
      <c r="AC279" s="3821"/>
    </row>
    <row r="280" spans="1:29">
      <c r="A280" s="3821"/>
      <c r="B280" s="3821"/>
      <c r="C280" s="3821"/>
      <c r="D280" s="3821"/>
      <c r="E280" s="3821"/>
      <c r="F280" s="3821"/>
      <c r="G280" s="3821"/>
      <c r="H280" s="3821"/>
      <c r="I280" s="3821"/>
      <c r="J280" s="3821"/>
      <c r="K280" s="3821"/>
      <c r="L280" s="3821"/>
      <c r="M280" s="3821"/>
      <c r="N280" s="3821"/>
      <c r="O280" s="3821"/>
      <c r="P280" s="3821"/>
      <c r="Q280" s="3821"/>
      <c r="R280" s="3821"/>
      <c r="S280" s="3821"/>
      <c r="T280" s="3821"/>
      <c r="U280" s="3821"/>
      <c r="V280" s="3821"/>
      <c r="W280" s="3821"/>
      <c r="X280" s="3821"/>
      <c r="Y280" s="3821"/>
      <c r="Z280" s="3821"/>
      <c r="AA280" s="3821"/>
      <c r="AB280" s="3821"/>
      <c r="AC280" s="3821"/>
    </row>
    <row r="281" spans="1:29">
      <c r="A281" s="3821"/>
      <c r="B281" s="3821"/>
      <c r="C281" s="3821"/>
      <c r="D281" s="3821"/>
      <c r="E281" s="3821"/>
      <c r="F281" s="3821"/>
      <c r="G281" s="3821"/>
      <c r="H281" s="3821"/>
      <c r="I281" s="3821"/>
      <c r="J281" s="3821"/>
      <c r="K281" s="3821"/>
      <c r="L281" s="3821"/>
      <c r="M281" s="3821"/>
      <c r="N281" s="3821"/>
      <c r="O281" s="3821"/>
      <c r="P281" s="3821"/>
      <c r="Q281" s="3821"/>
      <c r="R281" s="3821"/>
      <c r="S281" s="3821"/>
      <c r="T281" s="3821"/>
      <c r="U281" s="3821"/>
      <c r="V281" s="3821"/>
      <c r="W281" s="3821"/>
      <c r="X281" s="3821"/>
      <c r="Y281" s="3821"/>
      <c r="Z281" s="3821"/>
      <c r="AA281" s="3821"/>
      <c r="AB281" s="3821"/>
      <c r="AC281" s="3821"/>
    </row>
    <row r="282" spans="1:29">
      <c r="A282" s="3821"/>
      <c r="B282" s="3821"/>
      <c r="C282" s="3821"/>
      <c r="D282" s="3821"/>
      <c r="E282" s="3821"/>
      <c r="F282" s="3821"/>
      <c r="G282" s="3821"/>
      <c r="H282" s="3821"/>
      <c r="I282" s="3821"/>
      <c r="J282" s="3821"/>
      <c r="K282" s="3821"/>
      <c r="L282" s="3821"/>
      <c r="M282" s="3821"/>
      <c r="N282" s="3821"/>
      <c r="O282" s="3821"/>
      <c r="P282" s="3821"/>
      <c r="Q282" s="3821"/>
      <c r="R282" s="3821"/>
      <c r="S282" s="3821"/>
      <c r="T282" s="3821"/>
      <c r="U282" s="3821"/>
      <c r="V282" s="3821"/>
      <c r="W282" s="3821"/>
      <c r="X282" s="3821"/>
      <c r="Y282" s="3821"/>
      <c r="Z282" s="3821"/>
      <c r="AA282" s="3821"/>
      <c r="AB282" s="3821"/>
      <c r="AC282" s="3821"/>
    </row>
    <row r="283" spans="1:29">
      <c r="A283" s="3821"/>
      <c r="B283" s="3821"/>
      <c r="C283" s="3821"/>
      <c r="D283" s="3821"/>
      <c r="E283" s="3821"/>
      <c r="F283" s="3821"/>
      <c r="G283" s="3821"/>
      <c r="H283" s="3821"/>
      <c r="I283" s="3821"/>
      <c r="J283" s="3821"/>
      <c r="K283" s="3821"/>
      <c r="L283" s="3821"/>
      <c r="M283" s="3821"/>
      <c r="N283" s="3821"/>
      <c r="O283" s="3821"/>
      <c r="P283" s="3821"/>
      <c r="Q283" s="3821"/>
      <c r="R283" s="3821"/>
      <c r="S283" s="3821"/>
      <c r="T283" s="3821"/>
      <c r="U283" s="3821"/>
      <c r="V283" s="3821"/>
      <c r="W283" s="3821"/>
      <c r="X283" s="3821"/>
      <c r="Y283" s="3821"/>
      <c r="Z283" s="3821"/>
      <c r="AA283" s="3821"/>
      <c r="AB283" s="3821"/>
      <c r="AC283" s="3821"/>
    </row>
    <row r="284" spans="1:29">
      <c r="A284" s="3821"/>
      <c r="B284" s="3821"/>
      <c r="C284" s="3821"/>
      <c r="D284" s="3821"/>
      <c r="E284" s="3821"/>
      <c r="F284" s="3821"/>
      <c r="G284" s="3821"/>
      <c r="H284" s="3821"/>
      <c r="I284" s="3821"/>
      <c r="J284" s="3821"/>
      <c r="K284" s="3821"/>
      <c r="L284" s="3821"/>
      <c r="M284" s="3821"/>
      <c r="N284" s="3821"/>
      <c r="O284" s="3821"/>
      <c r="P284" s="3821"/>
      <c r="Q284" s="3821"/>
      <c r="R284" s="3821"/>
      <c r="S284" s="3821"/>
      <c r="T284" s="3821"/>
      <c r="U284" s="3821"/>
      <c r="V284" s="3821"/>
      <c r="W284" s="3821"/>
      <c r="X284" s="3821"/>
      <c r="Y284" s="3821"/>
      <c r="Z284" s="3821"/>
      <c r="AA284" s="3821"/>
      <c r="AB284" s="3821"/>
      <c r="AC284" s="3821"/>
    </row>
    <row r="285" spans="1:29">
      <c r="A285" s="3821"/>
      <c r="B285" s="3821"/>
      <c r="C285" s="3821"/>
      <c r="D285" s="3821"/>
      <c r="E285" s="3821"/>
      <c r="F285" s="3821"/>
      <c r="G285" s="3821"/>
      <c r="H285" s="3821"/>
      <c r="I285" s="3821"/>
      <c r="J285" s="3821"/>
      <c r="K285" s="3821"/>
      <c r="L285" s="3821"/>
      <c r="M285" s="3821"/>
      <c r="N285" s="3821"/>
      <c r="O285" s="3821"/>
      <c r="P285" s="3821"/>
      <c r="Q285" s="3821"/>
      <c r="R285" s="3821"/>
      <c r="S285" s="3821"/>
      <c r="T285" s="3821"/>
      <c r="U285" s="3821"/>
      <c r="V285" s="3821"/>
      <c r="W285" s="3821"/>
      <c r="X285" s="3821"/>
      <c r="Y285" s="3821"/>
      <c r="Z285" s="3821"/>
      <c r="AA285" s="3821"/>
      <c r="AB285" s="3821"/>
      <c r="AC285" s="3821"/>
    </row>
    <row r="286" spans="1:29">
      <c r="A286" s="3821"/>
      <c r="B286" s="3821"/>
      <c r="C286" s="3821"/>
      <c r="D286" s="3821"/>
      <c r="E286" s="3821"/>
      <c r="F286" s="3821"/>
      <c r="G286" s="3821"/>
      <c r="H286" s="3821"/>
      <c r="I286" s="3821"/>
      <c r="J286" s="3821"/>
      <c r="K286" s="3821"/>
      <c r="L286" s="3821"/>
      <c r="M286" s="3821"/>
      <c r="N286" s="3821"/>
      <c r="O286" s="3821"/>
      <c r="P286" s="3821"/>
      <c r="Q286" s="3821"/>
      <c r="R286" s="3821"/>
      <c r="S286" s="3821"/>
      <c r="T286" s="3821"/>
      <c r="U286" s="3821"/>
      <c r="V286" s="3821"/>
      <c r="W286" s="3821"/>
      <c r="X286" s="3821"/>
      <c r="Y286" s="3821"/>
      <c r="Z286" s="3821"/>
      <c r="AA286" s="3821"/>
      <c r="AB286" s="3821"/>
      <c r="AC286" s="3821"/>
    </row>
    <row r="287" spans="1:29">
      <c r="A287" s="3821"/>
      <c r="B287" s="3821"/>
      <c r="C287" s="3821"/>
      <c r="D287" s="3821"/>
      <c r="E287" s="3821"/>
      <c r="F287" s="3821"/>
      <c r="G287" s="3821"/>
      <c r="H287" s="3821"/>
      <c r="I287" s="3821"/>
      <c r="J287" s="3821"/>
      <c r="K287" s="3821"/>
      <c r="L287" s="3821"/>
      <c r="M287" s="3821"/>
      <c r="N287" s="3821"/>
      <c r="O287" s="3821"/>
      <c r="P287" s="3821"/>
      <c r="Q287" s="3821"/>
      <c r="R287" s="3821"/>
      <c r="S287" s="3821"/>
      <c r="T287" s="3821"/>
      <c r="U287" s="3821"/>
      <c r="V287" s="3821"/>
      <c r="W287" s="3821"/>
      <c r="X287" s="3821"/>
      <c r="Y287" s="3821"/>
      <c r="Z287" s="3821"/>
      <c r="AA287" s="3821"/>
      <c r="AB287" s="3821"/>
      <c r="AC287" s="3821"/>
    </row>
    <row r="288" spans="1:29">
      <c r="A288" s="3821"/>
      <c r="B288" s="3821"/>
      <c r="C288" s="3821"/>
      <c r="D288" s="3821"/>
      <c r="E288" s="3821"/>
      <c r="F288" s="3821"/>
      <c r="G288" s="3821"/>
      <c r="H288" s="3821"/>
      <c r="I288" s="3821"/>
      <c r="J288" s="3821"/>
      <c r="K288" s="3821"/>
      <c r="L288" s="3821"/>
      <c r="M288" s="3821"/>
      <c r="N288" s="3821"/>
      <c r="O288" s="3821"/>
      <c r="P288" s="3821"/>
      <c r="Q288" s="3821"/>
      <c r="R288" s="3821"/>
      <c r="S288" s="3821"/>
      <c r="T288" s="3821"/>
      <c r="U288" s="3821"/>
      <c r="V288" s="3821"/>
      <c r="W288" s="3821"/>
      <c r="X288" s="3821"/>
      <c r="Y288" s="3821"/>
      <c r="Z288" s="3821"/>
      <c r="AA288" s="3821"/>
      <c r="AB288" s="3821"/>
      <c r="AC288" s="3821"/>
    </row>
    <row r="289" spans="1:29">
      <c r="A289" s="3821"/>
      <c r="B289" s="3821"/>
      <c r="C289" s="3821"/>
      <c r="D289" s="3821"/>
      <c r="E289" s="3821"/>
      <c r="F289" s="3821"/>
      <c r="G289" s="3821"/>
      <c r="H289" s="3821"/>
      <c r="I289" s="3821"/>
      <c r="J289" s="3821"/>
      <c r="K289" s="3821"/>
      <c r="L289" s="3821"/>
      <c r="M289" s="3821"/>
      <c r="N289" s="3821"/>
      <c r="O289" s="3821"/>
      <c r="P289" s="3821"/>
      <c r="Q289" s="3821"/>
      <c r="R289" s="3821"/>
      <c r="S289" s="3821"/>
      <c r="T289" s="3821"/>
      <c r="U289" s="3821"/>
      <c r="V289" s="3821"/>
      <c r="W289" s="3821"/>
      <c r="X289" s="3821"/>
      <c r="Y289" s="3821"/>
      <c r="Z289" s="3821"/>
      <c r="AA289" s="3821"/>
      <c r="AB289" s="3821"/>
      <c r="AC289" s="3821"/>
    </row>
    <row r="290" spans="1:29">
      <c r="A290" s="3821"/>
      <c r="B290" s="3821"/>
      <c r="C290" s="3821"/>
      <c r="D290" s="3821"/>
      <c r="E290" s="3821"/>
      <c r="F290" s="3821"/>
      <c r="G290" s="3821"/>
      <c r="H290" s="3821"/>
      <c r="I290" s="3821"/>
      <c r="J290" s="3821"/>
      <c r="K290" s="3821"/>
      <c r="L290" s="3821"/>
      <c r="M290" s="3821"/>
      <c r="N290" s="3821"/>
      <c r="O290" s="3821"/>
      <c r="P290" s="3821"/>
      <c r="Q290" s="3821"/>
      <c r="R290" s="3821"/>
      <c r="S290" s="3821"/>
      <c r="T290" s="3821"/>
      <c r="U290" s="3821"/>
      <c r="V290" s="3821"/>
      <c r="W290" s="3821"/>
      <c r="X290" s="3821"/>
      <c r="Y290" s="3821"/>
      <c r="Z290" s="3821"/>
      <c r="AA290" s="3821"/>
      <c r="AB290" s="3821"/>
      <c r="AC290" s="3821"/>
    </row>
    <row r="291" spans="1:29">
      <c r="A291" s="3821"/>
      <c r="B291" s="3821"/>
      <c r="C291" s="3821"/>
      <c r="D291" s="3821"/>
      <c r="E291" s="3821"/>
      <c r="F291" s="3821"/>
      <c r="G291" s="3821"/>
      <c r="H291" s="3821"/>
      <c r="I291" s="3821"/>
      <c r="J291" s="3821"/>
      <c r="K291" s="3821"/>
      <c r="L291" s="3821"/>
      <c r="M291" s="3821"/>
      <c r="N291" s="3821"/>
      <c r="O291" s="3821"/>
      <c r="P291" s="3821"/>
      <c r="Q291" s="3821"/>
      <c r="R291" s="3821"/>
      <c r="S291" s="3821"/>
      <c r="T291" s="3821"/>
      <c r="U291" s="3821"/>
      <c r="V291" s="3821"/>
      <c r="W291" s="3821"/>
      <c r="X291" s="3821"/>
      <c r="Y291" s="3821"/>
      <c r="Z291" s="3821"/>
      <c r="AA291" s="3821"/>
      <c r="AB291" s="3821"/>
      <c r="AC291" s="3821"/>
    </row>
    <row r="292" spans="1:29">
      <c r="A292" s="3821"/>
      <c r="B292" s="3821"/>
      <c r="C292" s="3821"/>
      <c r="D292" s="3821"/>
      <c r="E292" s="3821"/>
      <c r="F292" s="3821"/>
      <c r="G292" s="3821"/>
      <c r="H292" s="3821"/>
      <c r="I292" s="3821"/>
      <c r="J292" s="3821"/>
      <c r="K292" s="3821"/>
      <c r="L292" s="3821"/>
      <c r="M292" s="3821"/>
      <c r="N292" s="3821"/>
      <c r="O292" s="3821"/>
      <c r="P292" s="3821"/>
      <c r="Q292" s="3821"/>
      <c r="R292" s="3821"/>
      <c r="S292" s="3821"/>
      <c r="T292" s="3821"/>
      <c r="U292" s="3821"/>
      <c r="V292" s="3821"/>
      <c r="W292" s="3821"/>
      <c r="X292" s="3821"/>
      <c r="Y292" s="3821"/>
      <c r="Z292" s="3821"/>
      <c r="AA292" s="3821"/>
      <c r="AB292" s="3821"/>
      <c r="AC292" s="3821"/>
    </row>
    <row r="293" spans="1:29">
      <c r="A293" s="3821"/>
      <c r="B293" s="3821"/>
      <c r="C293" s="3821"/>
      <c r="D293" s="3821"/>
      <c r="E293" s="3821"/>
      <c r="F293" s="3821"/>
      <c r="G293" s="3821"/>
      <c r="H293" s="3821"/>
      <c r="I293" s="3821"/>
      <c r="J293" s="3821"/>
      <c r="K293" s="3821"/>
      <c r="L293" s="3821"/>
      <c r="M293" s="3821"/>
      <c r="N293" s="3821"/>
      <c r="O293" s="3821"/>
      <c r="P293" s="3821"/>
      <c r="Q293" s="3821"/>
      <c r="R293" s="3821"/>
      <c r="S293" s="3821"/>
      <c r="T293" s="3821"/>
      <c r="U293" s="3821"/>
      <c r="V293" s="3821"/>
      <c r="W293" s="3821"/>
      <c r="X293" s="3821"/>
      <c r="Y293" s="3821"/>
      <c r="Z293" s="3821"/>
      <c r="AA293" s="3821"/>
      <c r="AB293" s="3821"/>
      <c r="AC293" s="3821"/>
    </row>
    <row r="294" spans="1:29">
      <c r="A294" s="3821"/>
      <c r="B294" s="3821"/>
      <c r="C294" s="3821"/>
      <c r="D294" s="3821"/>
      <c r="E294" s="3821"/>
      <c r="F294" s="3821"/>
      <c r="G294" s="3821"/>
      <c r="H294" s="3821"/>
      <c r="I294" s="3821"/>
      <c r="J294" s="3821"/>
      <c r="K294" s="3821"/>
      <c r="L294" s="3821"/>
      <c r="M294" s="3821"/>
      <c r="N294" s="3821"/>
      <c r="O294" s="3821"/>
      <c r="P294" s="3821"/>
      <c r="Q294" s="3821"/>
      <c r="R294" s="3821"/>
      <c r="S294" s="3821"/>
      <c r="T294" s="3821"/>
      <c r="U294" s="3821"/>
      <c r="V294" s="3821"/>
      <c r="W294" s="3821"/>
      <c r="X294" s="3821"/>
      <c r="Y294" s="3821"/>
      <c r="Z294" s="3821"/>
      <c r="AA294" s="3821"/>
      <c r="AB294" s="3821"/>
      <c r="AC294" s="3821"/>
    </row>
    <row r="295" spans="1:29">
      <c r="A295" s="3821"/>
      <c r="B295" s="3821"/>
      <c r="C295" s="3821"/>
      <c r="D295" s="3821"/>
      <c r="E295" s="3821"/>
      <c r="F295" s="3821"/>
      <c r="G295" s="3821"/>
      <c r="H295" s="3821"/>
      <c r="I295" s="3821"/>
      <c r="J295" s="3821"/>
      <c r="K295" s="3821"/>
      <c r="L295" s="3821"/>
      <c r="M295" s="3821"/>
      <c r="N295" s="3821"/>
      <c r="O295" s="3821"/>
      <c r="P295" s="3821"/>
      <c r="Q295" s="3821"/>
      <c r="R295" s="3821"/>
      <c r="S295" s="3821"/>
      <c r="T295" s="3821"/>
      <c r="U295" s="3821"/>
      <c r="V295" s="3821"/>
      <c r="W295" s="3821"/>
      <c r="X295" s="3821"/>
      <c r="Y295" s="3821"/>
      <c r="Z295" s="3821"/>
      <c r="AA295" s="3821"/>
      <c r="AB295" s="3821"/>
      <c r="AC295" s="3821"/>
    </row>
    <row r="296" spans="1:29">
      <c r="A296" s="3821"/>
      <c r="B296" s="3821"/>
      <c r="C296" s="3821"/>
      <c r="D296" s="3821"/>
      <c r="E296" s="3821"/>
      <c r="F296" s="3821"/>
      <c r="G296" s="3821"/>
      <c r="H296" s="3821"/>
      <c r="I296" s="3821"/>
      <c r="J296" s="3821"/>
      <c r="K296" s="3821"/>
      <c r="L296" s="3821"/>
      <c r="M296" s="3821"/>
      <c r="N296" s="3821"/>
      <c r="O296" s="3821"/>
      <c r="P296" s="3821"/>
      <c r="Q296" s="3821"/>
      <c r="R296" s="3821"/>
      <c r="S296" s="3821"/>
      <c r="T296" s="3821"/>
      <c r="U296" s="3821"/>
      <c r="V296" s="3821"/>
      <c r="W296" s="3821"/>
      <c r="X296" s="3821"/>
      <c r="Y296" s="3821"/>
      <c r="Z296" s="3821"/>
      <c r="AA296" s="3821"/>
      <c r="AB296" s="3821"/>
      <c r="AC296" s="3821"/>
    </row>
    <row r="297" spans="1:29">
      <c r="A297" s="3821"/>
      <c r="B297" s="3821"/>
      <c r="C297" s="3821"/>
      <c r="D297" s="3821"/>
      <c r="E297" s="3821"/>
      <c r="F297" s="3821"/>
      <c r="G297" s="3821"/>
      <c r="H297" s="3821"/>
      <c r="I297" s="3821"/>
      <c r="J297" s="3821"/>
      <c r="K297" s="3821"/>
      <c r="L297" s="3821"/>
      <c r="M297" s="3821"/>
      <c r="N297" s="3821"/>
      <c r="O297" s="3821"/>
      <c r="P297" s="3821"/>
      <c r="Q297" s="3821"/>
      <c r="R297" s="3821"/>
      <c r="S297" s="3821"/>
      <c r="T297" s="3821"/>
      <c r="U297" s="3821"/>
      <c r="V297" s="3821"/>
      <c r="W297" s="3821"/>
      <c r="X297" s="3821"/>
      <c r="Y297" s="3821"/>
      <c r="Z297" s="3821"/>
      <c r="AA297" s="3821"/>
      <c r="AB297" s="3821"/>
      <c r="AC297" s="3821"/>
    </row>
    <row r="298" spans="1:29">
      <c r="A298" s="3821"/>
      <c r="B298" s="3821"/>
      <c r="C298" s="3821"/>
      <c r="D298" s="3821"/>
      <c r="E298" s="3821"/>
      <c r="F298" s="3821"/>
      <c r="G298" s="3821"/>
      <c r="H298" s="3821"/>
      <c r="I298" s="3821"/>
      <c r="J298" s="3821"/>
      <c r="K298" s="3821"/>
      <c r="L298" s="3821"/>
      <c r="M298" s="3821"/>
      <c r="N298" s="3821"/>
      <c r="O298" s="3821"/>
      <c r="P298" s="3821"/>
      <c r="Q298" s="3821"/>
      <c r="R298" s="3821"/>
      <c r="S298" s="3821"/>
      <c r="T298" s="3821"/>
      <c r="U298" s="3821"/>
      <c r="V298" s="3821"/>
      <c r="W298" s="3821"/>
      <c r="X298" s="3821"/>
      <c r="Y298" s="3821"/>
      <c r="Z298" s="3821"/>
      <c r="AA298" s="3821"/>
      <c r="AB298" s="3821"/>
      <c r="AC298" s="3821"/>
    </row>
    <row r="299" spans="1:29">
      <c r="A299" s="3821"/>
      <c r="B299" s="3821"/>
      <c r="C299" s="3821"/>
      <c r="D299" s="3821"/>
      <c r="E299" s="3821"/>
      <c r="F299" s="3821"/>
      <c r="G299" s="3821"/>
      <c r="H299" s="3821"/>
      <c r="I299" s="3821"/>
      <c r="J299" s="3821"/>
      <c r="K299" s="3821"/>
      <c r="L299" s="3821"/>
      <c r="M299" s="3821"/>
      <c r="N299" s="3821"/>
      <c r="O299" s="3821"/>
      <c r="P299" s="3821"/>
      <c r="Q299" s="3821"/>
      <c r="R299" s="3821"/>
      <c r="S299" s="3821"/>
      <c r="T299" s="3821"/>
      <c r="U299" s="3821"/>
      <c r="V299" s="3821"/>
      <c r="W299" s="3821"/>
      <c r="X299" s="3821"/>
      <c r="Y299" s="3821"/>
      <c r="Z299" s="3821"/>
      <c r="AA299" s="3821"/>
      <c r="AB299" s="3821"/>
      <c r="AC299" s="3821"/>
    </row>
    <row r="300" spans="1:29">
      <c r="A300" s="3821"/>
      <c r="B300" s="3821"/>
      <c r="C300" s="3821"/>
      <c r="D300" s="3821"/>
      <c r="E300" s="3821"/>
      <c r="F300" s="3821"/>
      <c r="G300" s="3821"/>
      <c r="H300" s="3821"/>
      <c r="I300" s="3821"/>
      <c r="J300" s="3821"/>
      <c r="K300" s="3821"/>
      <c r="L300" s="3821"/>
      <c r="M300" s="3821"/>
      <c r="N300" s="3821"/>
      <c r="O300" s="3821"/>
      <c r="P300" s="3821"/>
      <c r="Q300" s="3821"/>
      <c r="R300" s="3821"/>
      <c r="S300" s="3821"/>
      <c r="T300" s="3821"/>
      <c r="U300" s="3821"/>
      <c r="V300" s="3821"/>
      <c r="W300" s="3821"/>
      <c r="X300" s="3821"/>
      <c r="Y300" s="3821"/>
      <c r="Z300" s="3821"/>
      <c r="AA300" s="3821"/>
      <c r="AB300" s="3821"/>
      <c r="AC300" s="3821"/>
    </row>
    <row r="301" spans="1:29">
      <c r="A301" s="3821"/>
      <c r="B301" s="3821"/>
      <c r="C301" s="3821"/>
      <c r="D301" s="3821"/>
      <c r="E301" s="3821"/>
      <c r="F301" s="3821"/>
      <c r="G301" s="3821"/>
      <c r="H301" s="3821"/>
      <c r="I301" s="3821"/>
      <c r="J301" s="3821"/>
      <c r="K301" s="3821"/>
      <c r="L301" s="3821"/>
      <c r="M301" s="3821"/>
      <c r="N301" s="3821"/>
      <c r="O301" s="3821"/>
      <c r="P301" s="3821"/>
      <c r="Q301" s="3821"/>
      <c r="R301" s="3821"/>
      <c r="S301" s="3821"/>
      <c r="T301" s="3821"/>
      <c r="U301" s="3821"/>
      <c r="V301" s="3821"/>
      <c r="W301" s="3821"/>
      <c r="X301" s="3821"/>
      <c r="Y301" s="3821"/>
      <c r="Z301" s="3821"/>
      <c r="AA301" s="3821"/>
      <c r="AB301" s="3821"/>
      <c r="AC301" s="3821"/>
    </row>
    <row r="302" spans="1:29">
      <c r="A302" s="3821"/>
      <c r="B302" s="3821"/>
      <c r="C302" s="3821"/>
      <c r="D302" s="3821"/>
      <c r="E302" s="3821"/>
      <c r="F302" s="3821"/>
      <c r="G302" s="3821"/>
      <c r="H302" s="3821"/>
      <c r="I302" s="3821"/>
      <c r="J302" s="3821"/>
      <c r="K302" s="3821"/>
      <c r="L302" s="3821"/>
      <c r="M302" s="3821"/>
      <c r="N302" s="3821"/>
      <c r="O302" s="3821"/>
      <c r="P302" s="3821"/>
      <c r="Q302" s="3821"/>
      <c r="R302" s="3821"/>
      <c r="S302" s="3821"/>
      <c r="T302" s="3821"/>
      <c r="U302" s="3821"/>
      <c r="V302" s="3821"/>
      <c r="W302" s="3821"/>
      <c r="X302" s="3821"/>
      <c r="Y302" s="3821"/>
      <c r="Z302" s="3821"/>
      <c r="AA302" s="3821"/>
      <c r="AB302" s="3821"/>
      <c r="AC302" s="3821"/>
    </row>
    <row r="303" spans="1:29">
      <c r="A303" s="3821"/>
      <c r="B303" s="3821"/>
      <c r="C303" s="3821"/>
      <c r="D303" s="3821"/>
      <c r="E303" s="3821"/>
      <c r="F303" s="3821"/>
      <c r="G303" s="3821"/>
      <c r="H303" s="3821"/>
      <c r="I303" s="3821"/>
      <c r="J303" s="3821"/>
      <c r="K303" s="3821"/>
      <c r="L303" s="3821"/>
      <c r="M303" s="3821"/>
      <c r="N303" s="3821"/>
      <c r="O303" s="3821"/>
      <c r="P303" s="3821"/>
      <c r="Q303" s="3821"/>
      <c r="R303" s="3821"/>
      <c r="S303" s="3821"/>
      <c r="T303" s="3821"/>
      <c r="U303" s="3821"/>
      <c r="V303" s="3821"/>
      <c r="W303" s="3821"/>
      <c r="X303" s="3821"/>
      <c r="Y303" s="3821"/>
      <c r="Z303" s="3821"/>
      <c r="AA303" s="3821"/>
      <c r="AB303" s="3821"/>
      <c r="AC303" s="3821"/>
    </row>
    <row r="304" spans="1:29">
      <c r="A304" s="3821"/>
      <c r="B304" s="3821"/>
      <c r="C304" s="3821"/>
      <c r="D304" s="3821"/>
      <c r="E304" s="3821"/>
      <c r="F304" s="3821"/>
      <c r="G304" s="3821"/>
      <c r="H304" s="3821"/>
      <c r="I304" s="3821"/>
      <c r="J304" s="3821"/>
      <c r="K304" s="3821"/>
      <c r="L304" s="3821"/>
      <c r="M304" s="3821"/>
      <c r="N304" s="3821"/>
      <c r="O304" s="3821"/>
      <c r="P304" s="3821"/>
      <c r="Q304" s="3821"/>
      <c r="R304" s="3821"/>
      <c r="S304" s="3821"/>
      <c r="T304" s="3821"/>
      <c r="U304" s="3821"/>
      <c r="V304" s="3821"/>
      <c r="W304" s="3821"/>
      <c r="X304" s="3821"/>
      <c r="Y304" s="3821"/>
      <c r="Z304" s="3821"/>
      <c r="AA304" s="3821"/>
      <c r="AB304" s="3821"/>
      <c r="AC304" s="3821"/>
    </row>
    <row r="305" spans="1:29">
      <c r="A305" s="3821"/>
      <c r="B305" s="3821"/>
      <c r="C305" s="3821"/>
      <c r="D305" s="3821"/>
      <c r="E305" s="3821"/>
      <c r="F305" s="3821"/>
      <c r="G305" s="3821"/>
      <c r="H305" s="3821"/>
      <c r="I305" s="3821"/>
      <c r="J305" s="3821"/>
      <c r="K305" s="3821"/>
      <c r="L305" s="3821"/>
      <c r="M305" s="3821"/>
      <c r="N305" s="3821"/>
      <c r="O305" s="3821"/>
      <c r="P305" s="3821"/>
      <c r="Q305" s="3821"/>
      <c r="R305" s="3821"/>
      <c r="S305" s="3821"/>
      <c r="T305" s="3821"/>
      <c r="U305" s="3821"/>
      <c r="V305" s="3821"/>
      <c r="W305" s="3821"/>
      <c r="X305" s="3821"/>
      <c r="Y305" s="3821"/>
      <c r="Z305" s="3821"/>
      <c r="AA305" s="3821"/>
      <c r="AB305" s="3821"/>
      <c r="AC305" s="3821"/>
    </row>
    <row r="306" spans="1:29">
      <c r="A306" s="3821"/>
      <c r="B306" s="3821"/>
      <c r="C306" s="3821"/>
      <c r="D306" s="3821"/>
      <c r="E306" s="3821"/>
      <c r="F306" s="3821"/>
      <c r="G306" s="3821"/>
      <c r="H306" s="3821"/>
      <c r="I306" s="3821"/>
      <c r="J306" s="3821"/>
      <c r="K306" s="3821"/>
      <c r="L306" s="3821"/>
      <c r="M306" s="3821"/>
      <c r="N306" s="3821"/>
      <c r="O306" s="3821"/>
      <c r="P306" s="3821"/>
      <c r="Q306" s="3821"/>
      <c r="R306" s="3821"/>
      <c r="S306" s="3821"/>
      <c r="T306" s="3821"/>
      <c r="U306" s="3821"/>
      <c r="V306" s="3821"/>
      <c r="W306" s="3821"/>
      <c r="X306" s="3821"/>
      <c r="Y306" s="3821"/>
      <c r="Z306" s="3821"/>
      <c r="AA306" s="3821"/>
      <c r="AB306" s="3821"/>
      <c r="AC306" s="3821"/>
    </row>
    <row r="307" spans="1:29">
      <c r="A307" s="3821"/>
      <c r="B307" s="3821"/>
      <c r="C307" s="3821"/>
      <c r="D307" s="3821"/>
      <c r="E307" s="3821"/>
      <c r="F307" s="3821"/>
      <c r="G307" s="3821"/>
      <c r="H307" s="3821"/>
      <c r="I307" s="3821"/>
      <c r="J307" s="3821"/>
      <c r="K307" s="3821"/>
      <c r="L307" s="3821"/>
      <c r="M307" s="3821"/>
      <c r="N307" s="3821"/>
      <c r="O307" s="3821"/>
      <c r="P307" s="3821"/>
      <c r="Q307" s="3821"/>
      <c r="R307" s="3821"/>
      <c r="S307" s="3821"/>
      <c r="T307" s="3821"/>
      <c r="U307" s="3821"/>
      <c r="V307" s="3821"/>
      <c r="W307" s="3821"/>
      <c r="X307" s="3821"/>
      <c r="Y307" s="3821"/>
      <c r="Z307" s="3821"/>
      <c r="AA307" s="3821"/>
      <c r="AB307" s="3821"/>
      <c r="AC307" s="3821"/>
    </row>
    <row r="308" spans="1:29">
      <c r="A308" s="3821"/>
      <c r="B308" s="3821"/>
      <c r="C308" s="3821"/>
      <c r="D308" s="3821"/>
      <c r="E308" s="3821"/>
      <c r="F308" s="3821"/>
      <c r="G308" s="3821"/>
      <c r="H308" s="3821"/>
      <c r="I308" s="3821"/>
      <c r="J308" s="3821"/>
      <c r="K308" s="3821"/>
      <c r="L308" s="3821"/>
      <c r="M308" s="3821"/>
      <c r="N308" s="3821"/>
      <c r="O308" s="3821"/>
      <c r="P308" s="3821"/>
      <c r="Q308" s="3821"/>
      <c r="R308" s="3821"/>
      <c r="S308" s="3821"/>
      <c r="T308" s="3821"/>
      <c r="U308" s="3821"/>
      <c r="V308" s="3821"/>
      <c r="W308" s="3821"/>
      <c r="X308" s="3821"/>
      <c r="Y308" s="3821"/>
      <c r="Z308" s="3821"/>
      <c r="AA308" s="3821"/>
      <c r="AB308" s="3821"/>
      <c r="AC308" s="3821"/>
    </row>
    <row r="309" spans="1:29">
      <c r="A309" s="3821"/>
      <c r="B309" s="3821"/>
      <c r="C309" s="3821"/>
      <c r="D309" s="3821"/>
      <c r="E309" s="3821"/>
      <c r="F309" s="3821"/>
      <c r="G309" s="3821"/>
      <c r="H309" s="3821"/>
      <c r="I309" s="3821"/>
      <c r="J309" s="3821"/>
      <c r="K309" s="3821"/>
      <c r="L309" s="3821"/>
      <c r="M309" s="3821"/>
      <c r="N309" s="3821"/>
      <c r="O309" s="3821"/>
      <c r="P309" s="3821"/>
      <c r="Q309" s="3821"/>
      <c r="R309" s="3821"/>
      <c r="S309" s="3821"/>
      <c r="T309" s="3821"/>
      <c r="U309" s="3821"/>
      <c r="V309" s="3821"/>
      <c r="W309" s="3821"/>
      <c r="X309" s="3821"/>
      <c r="Y309" s="3821"/>
      <c r="Z309" s="3821"/>
      <c r="AA309" s="3821"/>
      <c r="AB309" s="3821"/>
      <c r="AC309" s="3821"/>
    </row>
    <row r="310" spans="1:29">
      <c r="A310" s="3821"/>
      <c r="B310" s="3821"/>
      <c r="C310" s="3821"/>
      <c r="D310" s="3821"/>
      <c r="E310" s="3821"/>
      <c r="F310" s="3821"/>
      <c r="G310" s="3821"/>
      <c r="H310" s="3821"/>
      <c r="I310" s="3821"/>
      <c r="J310" s="3821"/>
      <c r="K310" s="3821"/>
      <c r="L310" s="3821"/>
      <c r="M310" s="3821"/>
      <c r="N310" s="3821"/>
      <c r="O310" s="3821"/>
      <c r="P310" s="3821"/>
      <c r="Q310" s="3821"/>
      <c r="R310" s="3821"/>
      <c r="S310" s="3821"/>
      <c r="T310" s="3821"/>
      <c r="U310" s="3821"/>
      <c r="V310" s="3821"/>
      <c r="W310" s="3821"/>
      <c r="X310" s="3821"/>
      <c r="Y310" s="3821"/>
      <c r="Z310" s="3821"/>
      <c r="AA310" s="3821"/>
      <c r="AB310" s="3821"/>
      <c r="AC310" s="3821"/>
    </row>
    <row r="311" spans="1:29">
      <c r="A311" s="3821"/>
      <c r="B311" s="3821"/>
      <c r="C311" s="3821"/>
      <c r="D311" s="3821"/>
      <c r="E311" s="3821"/>
      <c r="F311" s="3821"/>
      <c r="G311" s="3821"/>
      <c r="H311" s="3821"/>
      <c r="I311" s="3821"/>
      <c r="J311" s="3821"/>
      <c r="K311" s="3821"/>
      <c r="L311" s="3821"/>
      <c r="M311" s="3821"/>
      <c r="N311" s="3821"/>
      <c r="O311" s="3821"/>
      <c r="P311" s="3821"/>
      <c r="Q311" s="3821"/>
      <c r="R311" s="3821"/>
      <c r="S311" s="3821"/>
      <c r="T311" s="3821"/>
      <c r="U311" s="3821"/>
      <c r="V311" s="3821"/>
      <c r="W311" s="3821"/>
      <c r="X311" s="3821"/>
      <c r="Y311" s="3821"/>
      <c r="Z311" s="3821"/>
      <c r="AA311" s="3821"/>
      <c r="AB311" s="3821"/>
      <c r="AC311" s="3821"/>
    </row>
    <row r="312" spans="1:29">
      <c r="A312" s="3821"/>
      <c r="B312" s="3821"/>
      <c r="C312" s="3821"/>
      <c r="D312" s="3821"/>
      <c r="E312" s="3821"/>
      <c r="F312" s="3821"/>
      <c r="G312" s="3821"/>
      <c r="H312" s="3821"/>
      <c r="I312" s="3821"/>
      <c r="J312" s="3821"/>
      <c r="K312" s="3821"/>
      <c r="L312" s="3821"/>
      <c r="M312" s="3821"/>
      <c r="N312" s="3821"/>
      <c r="O312" s="3821"/>
      <c r="P312" s="3821"/>
      <c r="Q312" s="3821"/>
      <c r="R312" s="3821"/>
      <c r="S312" s="3821"/>
      <c r="T312" s="3821"/>
      <c r="U312" s="3821"/>
      <c r="V312" s="3821"/>
      <c r="W312" s="3821"/>
      <c r="X312" s="3821"/>
      <c r="Y312" s="3821"/>
      <c r="Z312" s="3821"/>
      <c r="AA312" s="3821"/>
      <c r="AB312" s="3821"/>
      <c r="AC312" s="3821"/>
    </row>
    <row r="313" spans="1:29">
      <c r="A313" s="3821"/>
      <c r="B313" s="3821"/>
      <c r="C313" s="3821"/>
      <c r="D313" s="3821"/>
      <c r="E313" s="3821"/>
      <c r="F313" s="3821"/>
      <c r="G313" s="3821"/>
      <c r="H313" s="3821"/>
      <c r="I313" s="3821"/>
      <c r="J313" s="3821"/>
      <c r="K313" s="3821"/>
      <c r="L313" s="3821"/>
      <c r="M313" s="3821"/>
      <c r="N313" s="3821"/>
      <c r="O313" s="3821"/>
      <c r="P313" s="3821"/>
      <c r="Q313" s="3821"/>
      <c r="R313" s="3821"/>
      <c r="S313" s="3821"/>
      <c r="T313" s="3821"/>
      <c r="U313" s="3821"/>
      <c r="V313" s="3821"/>
      <c r="W313" s="3821"/>
      <c r="X313" s="3821"/>
      <c r="Y313" s="3821"/>
      <c r="Z313" s="3821"/>
      <c r="AA313" s="3821"/>
      <c r="AB313" s="3821"/>
      <c r="AC313" s="3821"/>
    </row>
    <row r="314" spans="1:29">
      <c r="A314" s="3821"/>
      <c r="B314" s="3821"/>
      <c r="C314" s="3821"/>
      <c r="D314" s="3821"/>
      <c r="E314" s="3821"/>
      <c r="F314" s="3821"/>
      <c r="G314" s="3821"/>
      <c r="H314" s="3821"/>
      <c r="I314" s="3821"/>
      <c r="J314" s="3821"/>
      <c r="K314" s="3821"/>
      <c r="L314" s="3821"/>
      <c r="M314" s="3821"/>
      <c r="N314" s="3821"/>
      <c r="O314" s="3821"/>
      <c r="P314" s="3821"/>
      <c r="Q314" s="3821"/>
      <c r="R314" s="3821"/>
      <c r="S314" s="3821"/>
      <c r="T314" s="3821"/>
      <c r="U314" s="3821"/>
      <c r="V314" s="3821"/>
      <c r="W314" s="3821"/>
      <c r="X314" s="3821"/>
      <c r="Y314" s="3821"/>
      <c r="Z314" s="3821"/>
      <c r="AA314" s="3821"/>
      <c r="AB314" s="3821"/>
      <c r="AC314" s="3821"/>
    </row>
    <row r="315" spans="1:29">
      <c r="A315" s="3821"/>
      <c r="B315" s="3821"/>
      <c r="C315" s="3821"/>
      <c r="D315" s="3821"/>
      <c r="E315" s="3821"/>
      <c r="F315" s="3821"/>
      <c r="G315" s="3821"/>
      <c r="H315" s="3821"/>
      <c r="I315" s="3821"/>
      <c r="J315" s="3821"/>
      <c r="K315" s="3821"/>
      <c r="L315" s="3821"/>
      <c r="M315" s="3821"/>
      <c r="N315" s="3821"/>
      <c r="O315" s="3821"/>
      <c r="P315" s="3821"/>
      <c r="Q315" s="3821"/>
      <c r="R315" s="3821"/>
      <c r="S315" s="3821"/>
      <c r="T315" s="3821"/>
      <c r="U315" s="3821"/>
      <c r="V315" s="3821"/>
      <c r="W315" s="3821"/>
      <c r="X315" s="3821"/>
      <c r="Y315" s="3821"/>
      <c r="Z315" s="3821"/>
      <c r="AA315" s="3821"/>
      <c r="AB315" s="3821"/>
      <c r="AC315" s="3821"/>
    </row>
    <row r="316" spans="1:29">
      <c r="A316" s="3821"/>
      <c r="B316" s="3821"/>
      <c r="C316" s="3821"/>
      <c r="D316" s="3821"/>
      <c r="E316" s="3821"/>
      <c r="F316" s="3821"/>
      <c r="G316" s="3821"/>
      <c r="H316" s="3821"/>
      <c r="I316" s="3821"/>
      <c r="J316" s="3821"/>
      <c r="K316" s="3821"/>
      <c r="L316" s="3821"/>
      <c r="M316" s="3821"/>
      <c r="N316" s="3821"/>
      <c r="O316" s="3821"/>
      <c r="P316" s="3821"/>
      <c r="Q316" s="3821"/>
      <c r="R316" s="3821"/>
      <c r="S316" s="3821"/>
      <c r="T316" s="3821"/>
      <c r="U316" s="3821"/>
      <c r="V316" s="3821"/>
      <c r="W316" s="3821"/>
      <c r="X316" s="3821"/>
      <c r="Y316" s="3821"/>
      <c r="Z316" s="3821"/>
      <c r="AA316" s="3821"/>
      <c r="AB316" s="3821"/>
      <c r="AC316" s="3821"/>
    </row>
    <row r="317" spans="1:29">
      <c r="A317" s="3821"/>
      <c r="B317" s="3821"/>
      <c r="C317" s="3821"/>
      <c r="D317" s="3821"/>
      <c r="E317" s="3821"/>
      <c r="F317" s="3821"/>
      <c r="G317" s="3821"/>
      <c r="H317" s="3821"/>
      <c r="I317" s="3821"/>
      <c r="J317" s="3821"/>
      <c r="K317" s="3821"/>
      <c r="L317" s="3821"/>
      <c r="M317" s="3821"/>
      <c r="N317" s="3821"/>
      <c r="O317" s="3821"/>
      <c r="P317" s="3821"/>
      <c r="Q317" s="3821"/>
      <c r="R317" s="3821"/>
      <c r="S317" s="3821"/>
      <c r="T317" s="3821"/>
      <c r="U317" s="3821"/>
      <c r="V317" s="3821"/>
      <c r="W317" s="3821"/>
      <c r="X317" s="3821"/>
      <c r="Y317" s="3821"/>
      <c r="Z317" s="3821"/>
      <c r="AA317" s="3821"/>
      <c r="AB317" s="3821"/>
      <c r="AC317" s="3821"/>
    </row>
    <row r="318" spans="1:29">
      <c r="A318" s="3821"/>
      <c r="B318" s="3821"/>
      <c r="C318" s="3821"/>
      <c r="D318" s="3821"/>
      <c r="E318" s="3821"/>
      <c r="F318" s="3821"/>
      <c r="G318" s="3821"/>
      <c r="H318" s="3821"/>
      <c r="I318" s="3821"/>
      <c r="J318" s="3821"/>
      <c r="K318" s="3821"/>
      <c r="L318" s="3821"/>
      <c r="M318" s="3821"/>
      <c r="N318" s="3821"/>
      <c r="O318" s="3821"/>
      <c r="P318" s="3821"/>
      <c r="Q318" s="3821"/>
      <c r="R318" s="3821"/>
      <c r="S318" s="3821"/>
      <c r="T318" s="3821"/>
      <c r="U318" s="3821"/>
      <c r="V318" s="3821"/>
      <c r="W318" s="3821"/>
      <c r="X318" s="3821"/>
      <c r="Y318" s="3821"/>
      <c r="Z318" s="3821"/>
      <c r="AA318" s="3821"/>
      <c r="AB318" s="3821"/>
      <c r="AC318" s="3821"/>
    </row>
    <row r="319" spans="1:29">
      <c r="N319" s="3821"/>
      <c r="O319" s="3821"/>
      <c r="P319" s="3821"/>
      <c r="Q319" s="3821"/>
      <c r="R319" s="3821"/>
      <c r="S319" s="3821"/>
      <c r="T319" s="3821"/>
      <c r="U319" s="3821"/>
      <c r="V319" s="3821"/>
      <c r="W319" s="3821"/>
      <c r="X319" s="3821"/>
      <c r="Y319" s="3821"/>
      <c r="Z319" s="3821"/>
      <c r="AA319" s="3821"/>
      <c r="AB319" s="3821"/>
      <c r="AC319" s="3821"/>
    </row>
    <row r="320" spans="1:29">
      <c r="AC320" s="3821"/>
    </row>
    <row r="321" spans="29:29">
      <c r="AC321" s="3821"/>
    </row>
    <row r="322" spans="29:29">
      <c r="AC322" s="3821"/>
    </row>
    <row r="323" spans="29:29">
      <c r="AC323" s="3821"/>
    </row>
    <row r="324" spans="29:29">
      <c r="AC324" s="3821"/>
    </row>
    <row r="325" spans="29:29">
      <c r="AC325" s="3821"/>
    </row>
    <row r="326" spans="29:29">
      <c r="AC326" s="3821"/>
    </row>
    <row r="327" spans="29:29">
      <c r="AC327" s="3821"/>
    </row>
    <row r="328" spans="29:29">
      <c r="AC328" s="3821"/>
    </row>
    <row r="329" spans="29:29">
      <c r="AC329" s="3821"/>
    </row>
    <row r="330" spans="29:29">
      <c r="AC330" s="3821"/>
    </row>
    <row r="331" spans="29:29">
      <c r="AC331" s="3821"/>
    </row>
    <row r="332" spans="29:29">
      <c r="AC332" s="3821"/>
    </row>
    <row r="333" spans="29:29">
      <c r="AC333" s="3821"/>
    </row>
    <row r="334" spans="29:29">
      <c r="AC334" s="3821"/>
    </row>
    <row r="335" spans="29:29">
      <c r="AC335" s="3821"/>
    </row>
    <row r="336" spans="29:29">
      <c r="AC336" s="3821"/>
    </row>
    <row r="337" spans="29:29">
      <c r="AC337" s="3821"/>
    </row>
    <row r="338" spans="29:29">
      <c r="AC338" s="3821"/>
    </row>
    <row r="339" spans="29:29">
      <c r="AC339" s="3821"/>
    </row>
    <row r="340" spans="29:29">
      <c r="AC340" s="3821"/>
    </row>
    <row r="341" spans="29:29">
      <c r="AC341" s="3821"/>
    </row>
    <row r="342" spans="29:29">
      <c r="AC342" s="3821"/>
    </row>
    <row r="343" spans="29:29">
      <c r="AC343" s="3821"/>
    </row>
    <row r="344" spans="29:29">
      <c r="AC344" s="3821"/>
    </row>
    <row r="345" spans="29:29">
      <c r="AC345" s="3821"/>
    </row>
    <row r="346" spans="29:29">
      <c r="AC346" s="3821"/>
    </row>
    <row r="347" spans="29:29">
      <c r="AC347" s="3821"/>
    </row>
    <row r="348" spans="29:29">
      <c r="AC348" s="3821"/>
    </row>
    <row r="349" spans="29:29">
      <c r="AC349" s="3821"/>
    </row>
    <row r="350" spans="29:29">
      <c r="AC350" s="3821"/>
    </row>
    <row r="351" spans="29:29">
      <c r="AC351" s="3821"/>
    </row>
    <row r="352" spans="29:29">
      <c r="AC352" s="3821"/>
    </row>
    <row r="353" spans="29:29">
      <c r="AC353" s="3821"/>
    </row>
    <row r="354" spans="29:29">
      <c r="AC354" s="3821"/>
    </row>
    <row r="355" spans="29:29">
      <c r="AC355" s="3821"/>
    </row>
    <row r="356" spans="29:29">
      <c r="AC356" s="3821"/>
    </row>
    <row r="357" spans="29:29">
      <c r="AC357" s="3821"/>
    </row>
    <row r="358" spans="29:29">
      <c r="AC358" s="3821"/>
    </row>
    <row r="359" spans="29:29">
      <c r="AC359" s="3821"/>
    </row>
    <row r="360" spans="29:29">
      <c r="AC360" s="3821"/>
    </row>
    <row r="361" spans="29:29">
      <c r="AC361" s="3821"/>
    </row>
    <row r="362" spans="29:29">
      <c r="AC362" s="3821"/>
    </row>
    <row r="363" spans="29:29">
      <c r="AC363" s="3821"/>
    </row>
    <row r="364" spans="29:29">
      <c r="AC364" s="3821"/>
    </row>
    <row r="365" spans="29:29">
      <c r="AC365" s="3821"/>
    </row>
    <row r="366" spans="29:29">
      <c r="AC366" s="3821"/>
    </row>
    <row r="367" spans="29:29">
      <c r="AC367" s="3821"/>
    </row>
    <row r="368" spans="29:29">
      <c r="AC368" s="3821"/>
    </row>
    <row r="369" spans="29:29">
      <c r="AC369" s="3821"/>
    </row>
    <row r="370" spans="29:29">
      <c r="AC370" s="3821"/>
    </row>
    <row r="371" spans="29:29">
      <c r="AC371" s="3821"/>
    </row>
    <row r="372" spans="29:29">
      <c r="AC372" s="3821"/>
    </row>
    <row r="373" spans="29:29">
      <c r="AC373" s="3821"/>
    </row>
    <row r="374" spans="29:29">
      <c r="AC374" s="3821"/>
    </row>
    <row r="375" spans="29:29">
      <c r="AC375" s="3821"/>
    </row>
    <row r="376" spans="29:29">
      <c r="AC376" s="3821"/>
    </row>
    <row r="377" spans="29:29">
      <c r="AC377" s="3821"/>
    </row>
    <row r="378" spans="29:29">
      <c r="AC378" s="3821"/>
    </row>
    <row r="379" spans="29:29">
      <c r="AC379" s="3821"/>
    </row>
    <row r="380" spans="29:29">
      <c r="AC380" s="3821"/>
    </row>
    <row r="381" spans="29:29">
      <c r="AC381" s="3821"/>
    </row>
    <row r="382" spans="29:29">
      <c r="AC382" s="3821"/>
    </row>
    <row r="383" spans="29:29">
      <c r="AC383" s="3821"/>
    </row>
    <row r="384" spans="29:29">
      <c r="AC384" s="3821"/>
    </row>
    <row r="385" spans="29:29">
      <c r="AC385" s="3821"/>
    </row>
    <row r="386" spans="29:29">
      <c r="AC386" s="3821"/>
    </row>
    <row r="387" spans="29:29">
      <c r="AC387" s="3821"/>
    </row>
    <row r="388" spans="29:29">
      <c r="AC388" s="3821"/>
    </row>
    <row r="389" spans="29:29">
      <c r="AC389" s="3821"/>
    </row>
    <row r="390" spans="29:29">
      <c r="AC390" s="3821"/>
    </row>
    <row r="391" spans="29:29">
      <c r="AC391" s="3821"/>
    </row>
    <row r="392" spans="29:29">
      <c r="AC392" s="3821"/>
    </row>
    <row r="393" spans="29:29">
      <c r="AC393" s="3821"/>
    </row>
    <row r="394" spans="29:29">
      <c r="AC394" s="3821"/>
    </row>
    <row r="395" spans="29:29">
      <c r="AC395" s="3821"/>
    </row>
    <row r="396" spans="29:29">
      <c r="AC396" s="3821"/>
    </row>
    <row r="397" spans="29:29">
      <c r="AC397" s="3821"/>
    </row>
    <row r="398" spans="29:29">
      <c r="AC398" s="3821"/>
    </row>
    <row r="399" spans="29:29">
      <c r="AC399" s="3821"/>
    </row>
    <row r="400" spans="29:29">
      <c r="AC400" s="3821"/>
    </row>
    <row r="401" spans="29:29">
      <c r="AC401" s="3821"/>
    </row>
    <row r="402" spans="29:29">
      <c r="AC402" s="3821"/>
    </row>
    <row r="403" spans="29:29">
      <c r="AC403" s="3821"/>
    </row>
    <row r="404" spans="29:29">
      <c r="AC404" s="3821"/>
    </row>
    <row r="405" spans="29:29">
      <c r="AC405" s="3821"/>
    </row>
    <row r="406" spans="29:29">
      <c r="AC406" s="3821"/>
    </row>
    <row r="407" spans="29:29">
      <c r="AC407" s="3821"/>
    </row>
    <row r="408" spans="29:29">
      <c r="AC408" s="3821"/>
    </row>
    <row r="409" spans="29:29">
      <c r="AC409" s="3821"/>
    </row>
    <row r="410" spans="29:29">
      <c r="AC410" s="3821"/>
    </row>
    <row r="411" spans="29:29">
      <c r="AC411" s="3821"/>
    </row>
    <row r="412" spans="29:29">
      <c r="AC412" s="3821"/>
    </row>
    <row r="413" spans="29:29">
      <c r="AC413" s="3821"/>
    </row>
    <row r="414" spans="29:29">
      <c r="AC414" s="3821"/>
    </row>
    <row r="415" spans="29:29">
      <c r="AC415" s="3821"/>
    </row>
    <row r="416" spans="29:29">
      <c r="AC416" s="3821"/>
    </row>
    <row r="417" spans="29:29">
      <c r="AC417" s="3821"/>
    </row>
    <row r="418" spans="29:29">
      <c r="AC418" s="3821"/>
    </row>
    <row r="419" spans="29:29">
      <c r="AC419" s="3821"/>
    </row>
    <row r="420" spans="29:29">
      <c r="AC420" s="3821"/>
    </row>
    <row r="421" spans="29:29">
      <c r="AC421" s="3821"/>
    </row>
    <row r="422" spans="29:29">
      <c r="AC422" s="3821"/>
    </row>
    <row r="423" spans="29:29">
      <c r="AC423" s="3821"/>
    </row>
    <row r="424" spans="29:29">
      <c r="AC424" s="3821"/>
    </row>
    <row r="425" spans="29:29">
      <c r="AC425" s="3821"/>
    </row>
    <row r="426" spans="29:29">
      <c r="AC426" s="3821"/>
    </row>
    <row r="427" spans="29:29">
      <c r="AC427" s="3821"/>
    </row>
    <row r="428" spans="29:29">
      <c r="AC428" s="3821"/>
    </row>
    <row r="429" spans="29:29">
      <c r="AC429" s="3821"/>
    </row>
    <row r="430" spans="29:29">
      <c r="AC430" s="3821"/>
    </row>
    <row r="431" spans="29:29">
      <c r="AC431" s="3821"/>
    </row>
    <row r="432" spans="29:29">
      <c r="AC432" s="3821"/>
    </row>
    <row r="433" spans="29:29">
      <c r="AC433" s="3821"/>
    </row>
    <row r="434" spans="29:29">
      <c r="AC434" s="3821"/>
    </row>
    <row r="435" spans="29:29">
      <c r="AC435" s="3821"/>
    </row>
    <row r="436" spans="29:29">
      <c r="AC436" s="3821"/>
    </row>
    <row r="437" spans="29:29">
      <c r="AC437" s="3821"/>
    </row>
    <row r="438" spans="29:29">
      <c r="AC438" s="3821"/>
    </row>
    <row r="439" spans="29:29">
      <c r="AC439" s="3821"/>
    </row>
    <row r="440" spans="29:29">
      <c r="AC440" s="3821"/>
    </row>
    <row r="441" spans="29:29">
      <c r="AC441" s="3821"/>
    </row>
    <row r="442" spans="29:29">
      <c r="AC442" s="3821"/>
    </row>
    <row r="443" spans="29:29">
      <c r="AC443" s="3821"/>
    </row>
    <row r="444" spans="29:29">
      <c r="AC444" s="3821"/>
    </row>
    <row r="445" spans="29:29">
      <c r="AC445" s="3821"/>
    </row>
    <row r="446" spans="29:29">
      <c r="AC446" s="3821"/>
    </row>
    <row r="447" spans="29:29">
      <c r="AC447" s="3821"/>
    </row>
    <row r="448" spans="29:29">
      <c r="AC448" s="3821"/>
    </row>
    <row r="449" spans="29:29">
      <c r="AC449" s="3821"/>
    </row>
    <row r="450" spans="29:29">
      <c r="AC450" s="3821"/>
    </row>
    <row r="451" spans="29:29">
      <c r="AC451" s="3821"/>
    </row>
    <row r="452" spans="29:29">
      <c r="AC452" s="3821"/>
    </row>
    <row r="453" spans="29:29">
      <c r="AC453" s="3821"/>
    </row>
    <row r="454" spans="29:29">
      <c r="AC454" s="3821"/>
    </row>
    <row r="455" spans="29:29">
      <c r="AC455" s="3821"/>
    </row>
    <row r="456" spans="29:29">
      <c r="AC456" s="3821"/>
    </row>
    <row r="457" spans="29:29">
      <c r="AC457" s="3821"/>
    </row>
    <row r="458" spans="29:29">
      <c r="AC458" s="3821"/>
    </row>
    <row r="459" spans="29:29">
      <c r="AC459" s="3821"/>
    </row>
    <row r="460" spans="29:29">
      <c r="AC460" s="3821"/>
    </row>
    <row r="461" spans="29:29">
      <c r="AC461" s="3821"/>
    </row>
    <row r="462" spans="29:29">
      <c r="AC462" s="3821"/>
    </row>
    <row r="463" spans="29:29">
      <c r="AC463" s="3821"/>
    </row>
    <row r="464" spans="29:29">
      <c r="AC464" s="3821"/>
    </row>
    <row r="465" spans="29:29">
      <c r="AC465" s="3821"/>
    </row>
    <row r="466" spans="29:29">
      <c r="AC466" s="3821"/>
    </row>
    <row r="467" spans="29:29">
      <c r="AC467" s="3821"/>
    </row>
    <row r="468" spans="29:29">
      <c r="AC468" s="3821"/>
    </row>
    <row r="469" spans="29:29">
      <c r="AC469" s="3821"/>
    </row>
    <row r="470" spans="29:29">
      <c r="AC470" s="3821"/>
    </row>
    <row r="471" spans="29:29">
      <c r="AC471" s="3821"/>
    </row>
    <row r="472" spans="29:29">
      <c r="AC472" s="3821"/>
    </row>
    <row r="473" spans="29:29">
      <c r="AC473" s="3821"/>
    </row>
    <row r="474" spans="29:29">
      <c r="AC474" s="3821"/>
    </row>
    <row r="475" spans="29:29">
      <c r="AC475" s="3821"/>
    </row>
    <row r="476" spans="29:29">
      <c r="AC476" s="3821"/>
    </row>
    <row r="477" spans="29:29">
      <c r="AC477" s="3821"/>
    </row>
    <row r="478" spans="29:29">
      <c r="AC478" s="3821"/>
    </row>
    <row r="479" spans="29:29">
      <c r="AC479" s="3821"/>
    </row>
    <row r="480" spans="29:29">
      <c r="AC480" s="3821"/>
    </row>
    <row r="481" spans="29:29">
      <c r="AC481" s="3821"/>
    </row>
    <row r="482" spans="29:29">
      <c r="AC482" s="3821"/>
    </row>
    <row r="483" spans="29:29">
      <c r="AC483" s="3821"/>
    </row>
    <row r="484" spans="29:29">
      <c r="AC484" s="3821"/>
    </row>
    <row r="485" spans="29:29">
      <c r="AC485" s="3821"/>
    </row>
    <row r="486" spans="29:29">
      <c r="AC486" s="3821"/>
    </row>
    <row r="487" spans="29:29">
      <c r="AC487" s="3821"/>
    </row>
    <row r="488" spans="29:29">
      <c r="AC488" s="3821"/>
    </row>
    <row r="489" spans="29:29">
      <c r="AC489" s="3821"/>
    </row>
    <row r="490" spans="29:29">
      <c r="AC490" s="3821"/>
    </row>
    <row r="491" spans="29:29">
      <c r="AC491" s="3821"/>
    </row>
    <row r="492" spans="29:29">
      <c r="AC492" s="3821"/>
    </row>
    <row r="493" spans="29:29">
      <c r="AC493" s="3821"/>
    </row>
    <row r="494" spans="29:29">
      <c r="AC494" s="3821"/>
    </row>
    <row r="495" spans="29:29">
      <c r="AC495" s="3821"/>
    </row>
    <row r="496" spans="29:29">
      <c r="AC496" s="3821"/>
    </row>
    <row r="497" spans="29:29">
      <c r="AC497" s="3821"/>
    </row>
    <row r="498" spans="29:29">
      <c r="AC498" s="3821"/>
    </row>
    <row r="499" spans="29:29">
      <c r="AC499" s="3821"/>
    </row>
    <row r="500" spans="29:29">
      <c r="AC500" s="3821"/>
    </row>
    <row r="501" spans="29:29">
      <c r="AC501" s="3821"/>
    </row>
    <row r="502" spans="29:29">
      <c r="AC502" s="3821"/>
    </row>
    <row r="503" spans="29:29">
      <c r="AC503" s="3821"/>
    </row>
    <row r="504" spans="29:29">
      <c r="AC504" s="3821"/>
    </row>
    <row r="505" spans="29:29">
      <c r="AC505" s="3821"/>
    </row>
    <row r="506" spans="29:29">
      <c r="AC506" s="3821"/>
    </row>
    <row r="507" spans="29:29">
      <c r="AC507" s="3821"/>
    </row>
    <row r="508" spans="29:29">
      <c r="AC508" s="3821"/>
    </row>
    <row r="509" spans="29:29">
      <c r="AC509" s="3821"/>
    </row>
    <row r="510" spans="29:29">
      <c r="AC510" s="3821"/>
    </row>
    <row r="511" spans="29:29">
      <c r="AC511" s="3821"/>
    </row>
    <row r="512" spans="29:29">
      <c r="AC512" s="3821"/>
    </row>
    <row r="513" spans="29:29">
      <c r="AC513" s="3821"/>
    </row>
    <row r="514" spans="29:29">
      <c r="AC514" s="3821"/>
    </row>
    <row r="515" spans="29:29">
      <c r="AC515" s="3821"/>
    </row>
    <row r="516" spans="29:29">
      <c r="AC516" s="3821"/>
    </row>
    <row r="517" spans="29:29">
      <c r="AC517" s="3821"/>
    </row>
    <row r="518" spans="29:29">
      <c r="AC518" s="3821"/>
    </row>
    <row r="519" spans="29:29">
      <c r="AC519" s="3821"/>
    </row>
    <row r="520" spans="29:29">
      <c r="AC520" s="3821"/>
    </row>
    <row r="521" spans="29:29">
      <c r="AC521" s="3821"/>
    </row>
    <row r="522" spans="29:29">
      <c r="AC522" s="3821"/>
    </row>
    <row r="523" spans="29:29">
      <c r="AC523" s="3821"/>
    </row>
    <row r="524" spans="29:29">
      <c r="AC524" s="3821"/>
    </row>
    <row r="525" spans="29:29">
      <c r="AC525" s="3821"/>
    </row>
    <row r="526" spans="29:29">
      <c r="AC526" s="3821"/>
    </row>
    <row r="527" spans="29:29">
      <c r="AC527" s="3821"/>
    </row>
    <row r="528" spans="29:29">
      <c r="AC528" s="3821"/>
    </row>
    <row r="529" spans="29:29">
      <c r="AC529" s="3821"/>
    </row>
    <row r="530" spans="29:29">
      <c r="AC530" s="3821"/>
    </row>
    <row r="531" spans="29:29">
      <c r="AC531" s="3821"/>
    </row>
    <row r="532" spans="29:29">
      <c r="AC532" s="3821"/>
    </row>
    <row r="533" spans="29:29">
      <c r="AC533" s="3821"/>
    </row>
    <row r="534" spans="29:29">
      <c r="AC534" s="3821"/>
    </row>
    <row r="535" spans="29:29">
      <c r="AC535" s="3821"/>
    </row>
    <row r="536" spans="29:29">
      <c r="AC536" s="3821"/>
    </row>
    <row r="537" spans="29:29">
      <c r="AC537" s="3821"/>
    </row>
    <row r="538" spans="29:29">
      <c r="AC538" s="3821"/>
    </row>
    <row r="539" spans="29:29">
      <c r="AC539" s="3821"/>
    </row>
    <row r="540" spans="29:29">
      <c r="AC540" s="3821"/>
    </row>
    <row r="541" spans="29:29">
      <c r="AC541" s="3821"/>
    </row>
    <row r="542" spans="29:29">
      <c r="AC542" s="3821"/>
    </row>
    <row r="543" spans="29:29">
      <c r="AC543" s="3821"/>
    </row>
    <row r="544" spans="29:29">
      <c r="AC544" s="3821"/>
    </row>
    <row r="545" spans="29:29">
      <c r="AC545" s="3821"/>
    </row>
    <row r="546" spans="29:29">
      <c r="AC546" s="3821"/>
    </row>
    <row r="547" spans="29:29">
      <c r="AC547" s="3821"/>
    </row>
    <row r="548" spans="29:29">
      <c r="AC548" s="3821"/>
    </row>
    <row r="549" spans="29:29">
      <c r="AC549" s="3821"/>
    </row>
    <row r="550" spans="29:29">
      <c r="AC550" s="3821"/>
    </row>
    <row r="551" spans="29:29">
      <c r="AC551" s="3821"/>
    </row>
    <row r="552" spans="29:29">
      <c r="AC552" s="3821"/>
    </row>
    <row r="553" spans="29:29">
      <c r="AC553" s="3821"/>
    </row>
    <row r="554" spans="29:29">
      <c r="AC554" s="3821"/>
    </row>
    <row r="555" spans="29:29">
      <c r="AC555" s="3821"/>
    </row>
    <row r="556" spans="29:29">
      <c r="AC556" s="3821"/>
    </row>
    <row r="557" spans="29:29">
      <c r="AC557" s="3821"/>
    </row>
    <row r="558" spans="29:29">
      <c r="AC558" s="3821"/>
    </row>
    <row r="559" spans="29:29">
      <c r="AC559" s="3821"/>
    </row>
    <row r="560" spans="29:29">
      <c r="AC560" s="3821"/>
    </row>
    <row r="561" spans="29:29">
      <c r="AC561" s="3821"/>
    </row>
    <row r="562" spans="29:29">
      <c r="AC562" s="3821"/>
    </row>
    <row r="563" spans="29:29">
      <c r="AC563" s="3821"/>
    </row>
    <row r="564" spans="29:29">
      <c r="AC564" s="3821"/>
    </row>
    <row r="565" spans="29:29">
      <c r="AC565" s="3821"/>
    </row>
    <row r="566" spans="29:29">
      <c r="AC566" s="3821"/>
    </row>
    <row r="567" spans="29:29">
      <c r="AC567" s="3821"/>
    </row>
    <row r="568" spans="29:29">
      <c r="AC568" s="3821"/>
    </row>
    <row r="569" spans="29:29">
      <c r="AC569" s="3821"/>
    </row>
    <row r="570" spans="29:29">
      <c r="AC570" s="3821"/>
    </row>
    <row r="571" spans="29:29">
      <c r="AC571" s="3821"/>
    </row>
    <row r="572" spans="29:29">
      <c r="AC572" s="3821"/>
    </row>
    <row r="573" spans="29:29">
      <c r="AC573" s="3821"/>
    </row>
    <row r="574" spans="29:29">
      <c r="AC574" s="3821"/>
    </row>
    <row r="575" spans="29:29">
      <c r="AC575" s="3821"/>
    </row>
    <row r="576" spans="29:29">
      <c r="AC576" s="3821"/>
    </row>
    <row r="577" spans="29:29">
      <c r="AC577" s="3821"/>
    </row>
    <row r="578" spans="29:29">
      <c r="AC578" s="3821"/>
    </row>
    <row r="579" spans="29:29">
      <c r="AC579" s="3821"/>
    </row>
    <row r="580" spans="29:29">
      <c r="AC580" s="3821"/>
    </row>
    <row r="581" spans="29:29">
      <c r="AC581" s="3821"/>
    </row>
    <row r="582" spans="29:29">
      <c r="AC582" s="3821"/>
    </row>
    <row r="583" spans="29:29">
      <c r="AC583" s="3821"/>
    </row>
    <row r="584" spans="29:29">
      <c r="AC584" s="3821"/>
    </row>
    <row r="585" spans="29:29">
      <c r="AC585" s="3821"/>
    </row>
    <row r="586" spans="29:29">
      <c r="AC586" s="3821"/>
    </row>
    <row r="587" spans="29:29">
      <c r="AC587" s="3821"/>
    </row>
    <row r="588" spans="29:29">
      <c r="AC588" s="3821"/>
    </row>
    <row r="589" spans="29:29">
      <c r="AC589" s="3821"/>
    </row>
    <row r="590" spans="29:29">
      <c r="AC590" s="3821"/>
    </row>
    <row r="591" spans="29:29">
      <c r="AC591" s="3821"/>
    </row>
    <row r="592" spans="29:29">
      <c r="AC592" s="3821"/>
    </row>
    <row r="593" spans="29:29">
      <c r="AC593" s="3821"/>
    </row>
    <row r="594" spans="29:29">
      <c r="AC594" s="3821"/>
    </row>
    <row r="595" spans="29:29">
      <c r="AC595" s="3821"/>
    </row>
    <row r="596" spans="29:29">
      <c r="AC596" s="3821"/>
    </row>
    <row r="597" spans="29:29">
      <c r="AC597" s="3821"/>
    </row>
    <row r="598" spans="29:29">
      <c r="AC598" s="3821"/>
    </row>
    <row r="599" spans="29:29">
      <c r="AC599" s="3821"/>
    </row>
    <row r="600" spans="29:29">
      <c r="AC600" s="3821"/>
    </row>
    <row r="601" spans="29:29">
      <c r="AC601" s="3821"/>
    </row>
    <row r="602" spans="29:29">
      <c r="AC602" s="3821"/>
    </row>
    <row r="603" spans="29:29">
      <c r="AC603" s="3821"/>
    </row>
    <row r="604" spans="29:29">
      <c r="AC604" s="3821"/>
    </row>
    <row r="605" spans="29:29">
      <c r="AC605" s="3821"/>
    </row>
    <row r="606" spans="29:29">
      <c r="AC606" s="3821"/>
    </row>
    <row r="607" spans="29:29">
      <c r="AC607" s="3821"/>
    </row>
    <row r="608" spans="29:29">
      <c r="AC608" s="3821"/>
    </row>
    <row r="609" spans="29:29">
      <c r="AC609" s="3821"/>
    </row>
    <row r="610" spans="29:29">
      <c r="AC610" s="3821"/>
    </row>
    <row r="611" spans="29:29">
      <c r="AC611" s="3821"/>
    </row>
    <row r="612" spans="29:29">
      <c r="AC612" s="3821"/>
    </row>
    <row r="613" spans="29:29">
      <c r="AC613" s="3821"/>
    </row>
    <row r="614" spans="29:29">
      <c r="AC614" s="3821"/>
    </row>
    <row r="615" spans="29:29">
      <c r="AC615" s="3821"/>
    </row>
    <row r="616" spans="29:29">
      <c r="AC616" s="3821"/>
    </row>
    <row r="617" spans="29:29">
      <c r="AC617" s="3821"/>
    </row>
    <row r="618" spans="29:29">
      <c r="AC618" s="3821"/>
    </row>
    <row r="619" spans="29:29">
      <c r="AC619" s="3821"/>
    </row>
    <row r="620" spans="29:29">
      <c r="AC620" s="3821"/>
    </row>
    <row r="621" spans="29:29">
      <c r="AC621" s="3821"/>
    </row>
    <row r="622" spans="29:29">
      <c r="AC622" s="3821"/>
    </row>
    <row r="623" spans="29:29">
      <c r="AC623" s="3821"/>
    </row>
    <row r="624" spans="29:29">
      <c r="AC624" s="3821"/>
    </row>
    <row r="625" spans="29:29">
      <c r="AC625" s="3821"/>
    </row>
    <row r="626" spans="29:29">
      <c r="AC626" s="3821"/>
    </row>
    <row r="627" spans="29:29">
      <c r="AC627" s="3821"/>
    </row>
    <row r="628" spans="29:29">
      <c r="AC628" s="3821"/>
    </row>
    <row r="629" spans="29:29">
      <c r="AC629" s="3821"/>
    </row>
    <row r="630" spans="29:29">
      <c r="AC630" s="3821"/>
    </row>
    <row r="631" spans="29:29">
      <c r="AC631" s="3821"/>
    </row>
    <row r="632" spans="29:29">
      <c r="AC632" s="3821"/>
    </row>
    <row r="633" spans="29:29">
      <c r="AC633" s="3821"/>
    </row>
    <row r="634" spans="29:29">
      <c r="AC634" s="3821"/>
    </row>
    <row r="635" spans="29:29">
      <c r="AC635" s="3821"/>
    </row>
    <row r="636" spans="29:29">
      <c r="AC636" s="3821"/>
    </row>
    <row r="637" spans="29:29">
      <c r="AC637" s="3821"/>
    </row>
    <row r="638" spans="29:29">
      <c r="AC638" s="3821"/>
    </row>
    <row r="639" spans="29:29">
      <c r="AC639" s="3821"/>
    </row>
    <row r="640" spans="29:29">
      <c r="AC640" s="3821"/>
    </row>
    <row r="641" spans="29:29">
      <c r="AC641" s="3821"/>
    </row>
    <row r="642" spans="29:29">
      <c r="AC642" s="3821"/>
    </row>
    <row r="643" spans="29:29">
      <c r="AC643" s="3821"/>
    </row>
    <row r="644" spans="29:29">
      <c r="AC644" s="3821"/>
    </row>
    <row r="645" spans="29:29">
      <c r="AC645" s="3821"/>
    </row>
    <row r="646" spans="29:29">
      <c r="AC646" s="3821"/>
    </row>
    <row r="647" spans="29:29">
      <c r="AC647" s="3821"/>
    </row>
    <row r="648" spans="29:29">
      <c r="AC648" s="3821"/>
    </row>
    <row r="649" spans="29:29">
      <c r="AC649" s="3821"/>
    </row>
    <row r="650" spans="29:29">
      <c r="AC650" s="3821"/>
    </row>
    <row r="651" spans="29:29">
      <c r="AC651" s="3821"/>
    </row>
    <row r="652" spans="29:29">
      <c r="AC652" s="3821"/>
    </row>
    <row r="653" spans="29:29">
      <c r="AC653" s="3821"/>
    </row>
    <row r="654" spans="29:29">
      <c r="AC654" s="3821"/>
    </row>
    <row r="655" spans="29:29">
      <c r="AC655" s="3821"/>
    </row>
    <row r="656" spans="29:29">
      <c r="AC656" s="3821"/>
    </row>
    <row r="657" spans="29:29">
      <c r="AC657" s="3821"/>
    </row>
    <row r="658" spans="29:29">
      <c r="AC658" s="3821"/>
    </row>
    <row r="659" spans="29:29">
      <c r="AC659" s="3821"/>
    </row>
    <row r="660" spans="29:29">
      <c r="AC660" s="3821"/>
    </row>
    <row r="661" spans="29:29">
      <c r="AC661" s="3821"/>
    </row>
    <row r="662" spans="29:29">
      <c r="AC662" s="3821"/>
    </row>
    <row r="663" spans="29:29">
      <c r="AC663" s="3821"/>
    </row>
    <row r="664" spans="29:29">
      <c r="AC664" s="3821"/>
    </row>
    <row r="665" spans="29:29">
      <c r="AC665" s="3821"/>
    </row>
    <row r="666" spans="29:29">
      <c r="AC666" s="3821"/>
    </row>
    <row r="667" spans="29:29">
      <c r="AC667" s="3821"/>
    </row>
    <row r="668" spans="29:29">
      <c r="AC668" s="3821"/>
    </row>
    <row r="669" spans="29:29">
      <c r="AC669" s="3821"/>
    </row>
    <row r="670" spans="29:29">
      <c r="AC670" s="3821"/>
    </row>
    <row r="671" spans="29:29">
      <c r="AC671" s="3821"/>
    </row>
    <row r="672" spans="29:29">
      <c r="AC672" s="3821"/>
    </row>
    <row r="673" spans="29:29">
      <c r="AC673" s="3821"/>
    </row>
    <row r="674" spans="29:29">
      <c r="AC674" s="3821"/>
    </row>
    <row r="675" spans="29:29">
      <c r="AC675" s="3821"/>
    </row>
    <row r="676" spans="29:29">
      <c r="AC676" s="3821"/>
    </row>
    <row r="677" spans="29:29">
      <c r="AC677" s="3821"/>
    </row>
    <row r="678" spans="29:29">
      <c r="AC678" s="3821"/>
    </row>
    <row r="679" spans="29:29">
      <c r="AC679" s="3821"/>
    </row>
    <row r="680" spans="29:29">
      <c r="AC680" s="3821"/>
    </row>
    <row r="681" spans="29:29">
      <c r="AC681" s="3821"/>
    </row>
    <row r="682" spans="29:29">
      <c r="AC682" s="3821"/>
    </row>
    <row r="683" spans="29:29">
      <c r="AC683" s="3821"/>
    </row>
    <row r="684" spans="29:29">
      <c r="AC684" s="3821"/>
    </row>
    <row r="685" spans="29:29">
      <c r="AC685" s="3821"/>
    </row>
    <row r="686" spans="29:29">
      <c r="AC686" s="3821"/>
    </row>
    <row r="687" spans="29:29">
      <c r="AC687" s="3821"/>
    </row>
    <row r="688" spans="29:29">
      <c r="AC688" s="3821"/>
    </row>
    <row r="689" spans="29:29">
      <c r="AC689" s="3821"/>
    </row>
    <row r="690" spans="29:29">
      <c r="AC690" s="3821"/>
    </row>
    <row r="691" spans="29:29">
      <c r="AC691" s="3821"/>
    </row>
    <row r="692" spans="29:29">
      <c r="AC692" s="3821"/>
    </row>
    <row r="693" spans="29:29">
      <c r="AC693" s="3821"/>
    </row>
    <row r="694" spans="29:29">
      <c r="AC694" s="3821"/>
    </row>
    <row r="695" spans="29:29">
      <c r="AC695" s="3821"/>
    </row>
    <row r="696" spans="29:29">
      <c r="AC696" s="3821"/>
    </row>
    <row r="697" spans="29:29">
      <c r="AC697" s="3821"/>
    </row>
    <row r="698" spans="29:29">
      <c r="AC698" s="3821"/>
    </row>
    <row r="699" spans="29:29">
      <c r="AC699" s="3821"/>
    </row>
    <row r="700" spans="29:29">
      <c r="AC700" s="3821"/>
    </row>
    <row r="701" spans="29:29">
      <c r="AC701" s="3821"/>
    </row>
    <row r="702" spans="29:29">
      <c r="AC702" s="3821"/>
    </row>
    <row r="703" spans="29:29">
      <c r="AC703" s="3821"/>
    </row>
    <row r="704" spans="29:29">
      <c r="AC704" s="3821"/>
    </row>
    <row r="705" spans="29:29">
      <c r="AC705" s="3821"/>
    </row>
    <row r="706" spans="29:29">
      <c r="AC706" s="3821"/>
    </row>
    <row r="707" spans="29:29">
      <c r="AC707" s="3821"/>
    </row>
    <row r="708" spans="29:29">
      <c r="AC708" s="3821"/>
    </row>
    <row r="709" spans="29:29">
      <c r="AC709" s="3821"/>
    </row>
    <row r="710" spans="29:29">
      <c r="AC710" s="3821"/>
    </row>
    <row r="711" spans="29:29">
      <c r="AC711" s="3821"/>
    </row>
    <row r="712" spans="29:29">
      <c r="AC712" s="3821"/>
    </row>
    <row r="713" spans="29:29">
      <c r="AC713" s="3821"/>
    </row>
    <row r="714" spans="29:29">
      <c r="AC714" s="3821"/>
    </row>
    <row r="715" spans="29:29">
      <c r="AC715" s="3821"/>
    </row>
    <row r="716" spans="29:29">
      <c r="AC716" s="3821"/>
    </row>
    <row r="717" spans="29:29">
      <c r="AC717" s="3821"/>
    </row>
    <row r="718" spans="29:29">
      <c r="AC718" s="3821"/>
    </row>
    <row r="719" spans="29:29">
      <c r="AC719" s="3821"/>
    </row>
    <row r="720" spans="29:29">
      <c r="AC720" s="3821"/>
    </row>
    <row r="721" spans="29:29">
      <c r="AC721" s="3821"/>
    </row>
    <row r="722" spans="29:29">
      <c r="AC722" s="3821"/>
    </row>
    <row r="723" spans="29:29">
      <c r="AC723" s="3821"/>
    </row>
    <row r="724" spans="29:29">
      <c r="AC724" s="3821"/>
    </row>
    <row r="725" spans="29:29">
      <c r="AC725" s="3821"/>
    </row>
    <row r="726" spans="29:29">
      <c r="AC726" s="3821"/>
    </row>
    <row r="727" spans="29:29">
      <c r="AC727" s="3821"/>
    </row>
    <row r="728" spans="29:29">
      <c r="AC728" s="3821"/>
    </row>
    <row r="729" spans="29:29">
      <c r="AC729" s="3821"/>
    </row>
    <row r="730" spans="29:29">
      <c r="AC730" s="3821"/>
    </row>
    <row r="731" spans="29:29">
      <c r="AC731" s="3821"/>
    </row>
    <row r="732" spans="29:29">
      <c r="AC732" s="3821"/>
    </row>
    <row r="733" spans="29:29">
      <c r="AC733" s="3821"/>
    </row>
    <row r="734" spans="29:29">
      <c r="AC734" s="3821"/>
    </row>
    <row r="735" spans="29:29">
      <c r="AC735" s="3821"/>
    </row>
    <row r="736" spans="29:29">
      <c r="AC736" s="3821"/>
    </row>
    <row r="737" spans="29:29">
      <c r="AC737" s="3821"/>
    </row>
    <row r="738" spans="29:29">
      <c r="AC738" s="3821"/>
    </row>
    <row r="739" spans="29:29">
      <c r="AC739" s="3821"/>
    </row>
    <row r="740" spans="29:29">
      <c r="AC740" s="3821"/>
    </row>
    <row r="741" spans="29:29">
      <c r="AC741" s="3821"/>
    </row>
    <row r="742" spans="29:29">
      <c r="AC742" s="3821"/>
    </row>
    <row r="743" spans="29:29">
      <c r="AC743" s="3821"/>
    </row>
    <row r="744" spans="29:29">
      <c r="AC744" s="3821"/>
    </row>
    <row r="745" spans="29:29">
      <c r="AC745" s="3821"/>
    </row>
    <row r="746" spans="29:29">
      <c r="AC746" s="3821"/>
    </row>
    <row r="747" spans="29:29">
      <c r="AC747" s="3821"/>
    </row>
    <row r="748" spans="29:29">
      <c r="AC748" s="3821"/>
    </row>
    <row r="749" spans="29:29">
      <c r="AC749" s="3821"/>
    </row>
    <row r="750" spans="29:29">
      <c r="AC750" s="3821"/>
    </row>
    <row r="751" spans="29:29">
      <c r="AC751" s="3821"/>
    </row>
    <row r="752" spans="29:29">
      <c r="AC752" s="3821"/>
    </row>
    <row r="753" spans="29:29">
      <c r="AC753" s="3821"/>
    </row>
    <row r="754" spans="29:29">
      <c r="AC754" s="3821"/>
    </row>
    <row r="755" spans="29:29">
      <c r="AC755" s="3821"/>
    </row>
    <row r="756" spans="29:29">
      <c r="AC756" s="3821"/>
    </row>
    <row r="757" spans="29:29">
      <c r="AC757" s="3821"/>
    </row>
    <row r="758" spans="29:29">
      <c r="AC758" s="3821"/>
    </row>
    <row r="759" spans="29:29">
      <c r="AC759" s="3821"/>
    </row>
    <row r="760" spans="29:29">
      <c r="AC760" s="3821"/>
    </row>
    <row r="761" spans="29:29">
      <c r="AC761" s="3821"/>
    </row>
    <row r="762" spans="29:29">
      <c r="AC762" s="3821"/>
    </row>
    <row r="763" spans="29:29">
      <c r="AC763" s="3821"/>
    </row>
    <row r="764" spans="29:29">
      <c r="AC764" s="3821"/>
    </row>
    <row r="765" spans="29:29">
      <c r="AC765" s="3821"/>
    </row>
    <row r="766" spans="29:29">
      <c r="AC766" s="3821"/>
    </row>
    <row r="767" spans="29:29">
      <c r="AC767" s="3821"/>
    </row>
    <row r="768" spans="29:29">
      <c r="AC768" s="3821"/>
    </row>
    <row r="769" spans="29:29">
      <c r="AC769" s="3821"/>
    </row>
    <row r="770" spans="29:29">
      <c r="AC770" s="3821"/>
    </row>
    <row r="771" spans="29:29">
      <c r="AC771" s="3821"/>
    </row>
    <row r="772" spans="29:29">
      <c r="AC772" s="3821"/>
    </row>
    <row r="773" spans="29:29">
      <c r="AC773" s="3821"/>
    </row>
    <row r="774" spans="29:29">
      <c r="AC774" s="3821"/>
    </row>
    <row r="775" spans="29:29">
      <c r="AC775" s="3821"/>
    </row>
    <row r="776" spans="29:29">
      <c r="AC776" s="3821"/>
    </row>
    <row r="777" spans="29:29">
      <c r="AC777" s="3821"/>
    </row>
    <row r="778" spans="29:29">
      <c r="AC778" s="3821"/>
    </row>
    <row r="779" spans="29:29">
      <c r="AC779" s="3821"/>
    </row>
    <row r="780" spans="29:29">
      <c r="AC780" s="3821"/>
    </row>
    <row r="781" spans="29:29">
      <c r="AC781" s="3821"/>
    </row>
    <row r="782" spans="29:29">
      <c r="AC782" s="3821"/>
    </row>
    <row r="783" spans="29:29">
      <c r="AC783" s="3821"/>
    </row>
    <row r="784" spans="29:29">
      <c r="AC784" s="3821"/>
    </row>
    <row r="785" spans="29:29">
      <c r="AC785" s="3821"/>
    </row>
    <row r="786" spans="29:29">
      <c r="AC786" s="3821"/>
    </row>
    <row r="787" spans="29:29">
      <c r="AC787" s="3821"/>
    </row>
    <row r="788" spans="29:29">
      <c r="AC788" s="3821"/>
    </row>
    <row r="789" spans="29:29">
      <c r="AC789" s="3821"/>
    </row>
    <row r="790" spans="29:29">
      <c r="AC790" s="3821"/>
    </row>
    <row r="791" spans="29:29">
      <c r="AC791" s="3821"/>
    </row>
    <row r="792" spans="29:29">
      <c r="AC792" s="3821"/>
    </row>
    <row r="793" spans="29:29">
      <c r="AC793" s="3821"/>
    </row>
    <row r="794" spans="29:29">
      <c r="AC794" s="38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cfRule type="containsText" dxfId="151" priority="16" stopIfTrue="1" operator="containsText" text="超过">
      <formula>NOT(ISERROR(SEARCH("超过",F52)))</formula>
    </cfRule>
  </conditionalFormatting>
  <conditionalFormatting sqref="H54">
    <cfRule type="containsText" dxfId="150" priority="15" stopIfTrue="1" operator="containsText" text="超过">
      <formula>NOT(ISERROR(SEARCH("超过",H54)))</formula>
    </cfRule>
  </conditionalFormatting>
  <conditionalFormatting sqref="F54">
    <cfRule type="containsText" dxfId="149" priority="14" stopIfTrue="1" operator="containsText" text="超过">
      <formula>NOT(ISERROR(SEARCH("超过",F54)))</formula>
    </cfRule>
  </conditionalFormatting>
  <conditionalFormatting sqref="F53 H53">
    <cfRule type="containsText" dxfId="148" priority="13" stopIfTrue="1" operator="containsText" text="超过">
      <formula>NOT(ISERROR(SEARCH("超过",F53)))</formula>
    </cfRule>
  </conditionalFormatting>
  <conditionalFormatting sqref="E52">
    <cfRule type="expression" dxfId="147" priority="12" stopIfTrue="1">
      <formula>$F$52="超过30%"</formula>
    </cfRule>
  </conditionalFormatting>
  <conditionalFormatting sqref="E53">
    <cfRule type="expression" dxfId="146" priority="11" stopIfTrue="1">
      <formula>$F$53="超过20%"</formula>
    </cfRule>
  </conditionalFormatting>
  <conditionalFormatting sqref="E54">
    <cfRule type="expression" dxfId="145" priority="10" stopIfTrue="1">
      <formula>$F$54="超过30%"</formula>
    </cfRule>
  </conditionalFormatting>
  <conditionalFormatting sqref="G54">
    <cfRule type="expression" dxfId="144" priority="9" stopIfTrue="1">
      <formula>$H$54="超过30%"</formula>
    </cfRule>
  </conditionalFormatting>
  <conditionalFormatting sqref="G52">
    <cfRule type="expression" dxfId="143" priority="8" stopIfTrue="1">
      <formula>$H$52="超过30%"</formula>
    </cfRule>
  </conditionalFormatting>
  <conditionalFormatting sqref="G53">
    <cfRule type="expression" dxfId="142" priority="7" stopIfTrue="1">
      <formula>$H$53="超过20%"</formula>
    </cfRule>
  </conditionalFormatting>
  <conditionalFormatting sqref="J52">
    <cfRule type="containsText" dxfId="141" priority="6" stopIfTrue="1" operator="containsText" text="超过">
      <formula>NOT(ISERROR(SEARCH("超过",J52)))</formula>
    </cfRule>
  </conditionalFormatting>
  <conditionalFormatting sqref="J54">
    <cfRule type="containsText" dxfId="140" priority="5" stopIfTrue="1" operator="containsText" text="超过">
      <formula>NOT(ISERROR(SEARCH("超过",J54)))</formula>
    </cfRule>
  </conditionalFormatting>
  <conditionalFormatting sqref="J53">
    <cfRule type="containsText" dxfId="139" priority="4" stopIfTrue="1" operator="containsText" text="超过">
      <formula>NOT(ISERROR(SEARCH("超过",J53)))</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2660</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49674</v>
      </c>
      <c r="D13" s="451"/>
      <c r="E13" s="365"/>
      <c r="F13" s="452"/>
      <c r="G13" s="444"/>
      <c r="H13" s="447"/>
      <c r="I13" s="447"/>
      <c r="J13" s="447"/>
      <c r="K13" s="448"/>
    </row>
    <row r="14" spans="1:41" s="2118" customFormat="1" ht="13.5" customHeight="1">
      <c r="A14" s="1634" t="s">
        <v>1851</v>
      </c>
      <c r="B14" s="449" t="s">
        <v>480</v>
      </c>
      <c r="C14" s="53">
        <f ca="1">ROUND(C13*F14,0)</f>
        <v>1490</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1341</v>
      </c>
      <c r="D15" s="451"/>
      <c r="E15" s="365"/>
      <c r="F15" s="453">
        <f>'数据-取费表'!B34</f>
        <v>0.03</v>
      </c>
      <c r="G15" s="444" t="s">
        <v>503</v>
      </c>
      <c r="H15" s="447"/>
      <c r="I15" s="447"/>
      <c r="J15" s="447"/>
      <c r="K15" s="448"/>
    </row>
    <row r="16" spans="1:41" s="2119" customFormat="1" ht="13.5" customHeight="1">
      <c r="A16" s="1634" t="s">
        <v>1853</v>
      </c>
      <c r="B16" s="449" t="s">
        <v>484</v>
      </c>
      <c r="C16" s="53">
        <f ca="1">ROUND(D16*E16/10000,0)</f>
        <v>2760</v>
      </c>
      <c r="D16" s="451">
        <f ca="1">IF(B1="",'数据-汇总表'!E3,INDIRECT("'数据-取费表'!K"&amp;$K$1)+INDIRECT("'数据-取费表'!S"&amp;$K$1))</f>
        <v>183978.59999999998</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745</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56010</v>
      </c>
      <c r="D18" s="461"/>
      <c r="E18" s="462"/>
      <c r="F18" s="462"/>
      <c r="G18" s="1327" t="s">
        <v>2436</v>
      </c>
      <c r="H18" s="447"/>
      <c r="I18" s="447"/>
      <c r="J18" s="447"/>
      <c r="K18" s="448"/>
    </row>
    <row r="19" spans="1:14" s="2121" customFormat="1" ht="13.5" customHeight="1">
      <c r="A19" s="1635" t="s">
        <v>1856</v>
      </c>
      <c r="B19" s="459" t="s">
        <v>493</v>
      </c>
      <c r="C19" s="460">
        <f ca="1">ROUND(C18*F19,0)</f>
        <v>1120</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7">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4118</v>
      </c>
      <c r="D21" s="467">
        <f ca="1">C23</f>
        <v>1.4E-3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2458</v>
      </c>
    </row>
    <row r="22" spans="1:14" s="2122" customFormat="1" ht="13.5" customHeight="1">
      <c r="A22" s="1634" t="s">
        <v>1850</v>
      </c>
      <c r="B22" s="1328" t="s">
        <v>2439</v>
      </c>
      <c r="C22" s="487">
        <f ca="1">ROUND(IF('数据-取费表'!B22&lt;=1,(C18+C19)*F21*'数据-取费表'!B20/2,(C18+C19)*(POWER((1+F21),'数据-取费表'!B20/2)-1)),0)</f>
        <v>4118</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1.4E-3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2840</v>
      </c>
      <c r="C24" s="478">
        <f ca="1">C25</f>
        <v>9141</v>
      </c>
      <c r="D24" s="489">
        <f ca="1">C26</f>
        <v>3.2000000000000002E-3</v>
      </c>
      <c r="E24" s="469" t="s">
        <v>508</v>
      </c>
      <c r="F24" s="479">
        <f ca="1">IF(B1="",'数据-取费表'!Q16,INDIRECT("'数据-取费表'!q"&amp;$K$1))</f>
        <v>0.16</v>
      </c>
      <c r="G24" s="444"/>
      <c r="H24" s="447"/>
      <c r="I24" s="447"/>
      <c r="J24" s="447"/>
      <c r="K24" s="448"/>
    </row>
    <row r="25" spans="1:14" s="2122" customFormat="1" ht="13.5" customHeight="1">
      <c r="A25" s="1634" t="s">
        <v>1850</v>
      </c>
      <c r="B25" s="1328" t="s">
        <v>2440</v>
      </c>
      <c r="C25" s="490">
        <f ca="1">ROUND((C18+C19)*F24,0)</f>
        <v>9141</v>
      </c>
      <c r="D25" s="472"/>
      <c r="E25" s="473"/>
      <c r="F25" s="480"/>
      <c r="G25" s="1326" t="s">
        <v>2437</v>
      </c>
      <c r="H25" s="457"/>
      <c r="I25" s="457"/>
      <c r="J25" s="457"/>
      <c r="K25" s="458"/>
    </row>
    <row r="26" spans="1:14" s="2122" customFormat="1" ht="13.5" customHeight="1">
      <c r="A26" s="1634" t="s">
        <v>1851</v>
      </c>
      <c r="B26" s="1328" t="s">
        <v>510</v>
      </c>
      <c r="C26" s="491">
        <f ca="1">ROUND(F20*F24,4)</f>
        <v>3.2000000000000002E-3</v>
      </c>
      <c r="D26" s="472"/>
      <c r="E26" s="481"/>
      <c r="F26" s="480"/>
      <c r="G26" s="1326" t="s">
        <v>511</v>
      </c>
      <c r="H26" s="457"/>
      <c r="I26" s="457"/>
      <c r="J26" s="457"/>
      <c r="K26" s="458"/>
    </row>
    <row r="27" spans="1:14" s="2122" customFormat="1" ht="13.5" customHeight="1">
      <c r="A27" s="1638" t="s">
        <v>1869</v>
      </c>
      <c r="B27" s="459" t="s">
        <v>512</v>
      </c>
      <c r="C27" s="3058">
        <f>ROUND(F27/(1+'数据-取费表'!C42),4)</f>
        <v>5.33E-2</v>
      </c>
      <c r="D27" s="462" t="s">
        <v>2838</v>
      </c>
      <c r="E27" s="462"/>
      <c r="F27" s="466">
        <f>'数据-取费表'!B41</f>
        <v>5.6000000000000001E-2</v>
      </c>
      <c r="G27" s="1962" t="s">
        <v>2294</v>
      </c>
      <c r="H27" s="447"/>
      <c r="I27" s="447"/>
      <c r="J27" s="447"/>
      <c r="K27" s="448"/>
    </row>
    <row r="28" spans="1:14" s="2123" customFormat="1" ht="13.5" customHeight="1">
      <c r="A28" s="1638" t="s">
        <v>1870</v>
      </c>
      <c r="B28" s="476" t="s">
        <v>513</v>
      </c>
      <c r="C28" s="470">
        <f ca="1">ROUND((C18+C19+C21+C24)/(1-C20-D21-D24-C27),0)</f>
        <v>76336</v>
      </c>
      <c r="D28" s="477"/>
      <c r="E28" s="469"/>
      <c r="F28" s="471"/>
      <c r="G28" s="1327" t="s">
        <v>2438</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0" zoomScale="80" zoomScaleNormal="95" zoomScaleSheetLayoutView="80" workbookViewId="0">
      <selection activeCell="C7" sqref="C7:J8"/>
    </sheetView>
  </sheetViews>
  <sheetFormatPr defaultRowHeight="14.25"/>
  <cols>
    <col min="1" max="1" width="15.625" style="3201" customWidth="1"/>
    <col min="2" max="2" width="15.75" style="3201" customWidth="1"/>
    <col min="3" max="3" width="15.25" style="3201" customWidth="1"/>
    <col min="4" max="4" width="12.25" style="3201" customWidth="1"/>
    <col min="5" max="5" width="16.125" style="3201" customWidth="1"/>
    <col min="6" max="6" width="12.25" style="3201" customWidth="1"/>
    <col min="7" max="7" width="15.625" style="3201" customWidth="1"/>
    <col min="8" max="8" width="12.25" style="3201" customWidth="1"/>
    <col min="9" max="9" width="15.625" style="3201" customWidth="1"/>
    <col min="10" max="15" width="12.25" style="3201" customWidth="1"/>
    <col min="16" max="16" width="4.75" style="3201" customWidth="1"/>
    <col min="17" max="17" width="19.5" style="3201" customWidth="1"/>
    <col min="18" max="22" width="6.125" style="3201" customWidth="1"/>
    <col min="23" max="23" width="5.75" style="3201" customWidth="1"/>
    <col min="24" max="24" width="4.25" style="3201" customWidth="1"/>
    <col min="25" max="25" width="3.5" style="3201" customWidth="1"/>
    <col min="26" max="26" width="19.75" style="3201" customWidth="1"/>
    <col min="27" max="28" width="9.375" style="3201" customWidth="1"/>
    <col min="29" max="16384" width="9" style="3201"/>
  </cols>
  <sheetData>
    <row r="1" spans="1:30" s="3178" customFormat="1" ht="28.5" customHeight="1">
      <c r="A1" s="3168" t="s">
        <v>3009</v>
      </c>
      <c r="B1" s="3169"/>
      <c r="C1" s="3170" t="s">
        <v>3010</v>
      </c>
      <c r="D1" s="3171" t="s">
        <v>3011</v>
      </c>
      <c r="E1" s="3172"/>
      <c r="F1" s="3173"/>
      <c r="G1" s="3172"/>
      <c r="H1" s="3172"/>
      <c r="I1" s="3172"/>
      <c r="J1" s="3172"/>
      <c r="K1" s="3174"/>
      <c r="L1" s="3172"/>
      <c r="M1" s="3174"/>
      <c r="N1" s="3174"/>
      <c r="O1" s="3174"/>
      <c r="P1" s="3175"/>
      <c r="Q1" s="3175"/>
      <c r="R1" s="3175"/>
      <c r="S1" s="3175"/>
      <c r="T1" s="3175"/>
      <c r="U1" s="3175"/>
      <c r="V1" s="3175"/>
      <c r="W1" s="3175"/>
      <c r="X1" s="3175"/>
      <c r="Y1" s="3175"/>
      <c r="Z1" s="3175"/>
      <c r="AA1" s="3175"/>
      <c r="AB1" s="3175"/>
      <c r="AC1" s="3176"/>
      <c r="AD1" s="3177"/>
    </row>
    <row r="2" spans="1:30" s="3178" customFormat="1" ht="28.5" customHeight="1">
      <c r="A2" s="3179" t="s">
        <v>3012</v>
      </c>
      <c r="B2" s="3180">
        <f>F68</f>
        <v>249073</v>
      </c>
      <c r="C2" s="3181"/>
      <c r="D2" s="3181"/>
      <c r="E2" s="3182"/>
      <c r="F2" s="3183"/>
      <c r="G2" s="3182"/>
      <c r="H2" s="3182"/>
      <c r="I2" s="3182"/>
      <c r="J2" s="3182"/>
      <c r="K2" s="3184"/>
      <c r="L2" s="3182"/>
      <c r="M2" s="3184"/>
      <c r="N2" s="3184"/>
      <c r="O2" s="3184"/>
      <c r="P2" s="3175"/>
      <c r="Q2" s="3175"/>
      <c r="R2" s="3175"/>
      <c r="S2" s="3175"/>
      <c r="T2" s="3175"/>
      <c r="U2" s="3175"/>
      <c r="V2" s="3175"/>
      <c r="W2" s="3175"/>
      <c r="X2" s="3175"/>
      <c r="Y2" s="3175"/>
      <c r="Z2" s="3175"/>
      <c r="AA2" s="3175"/>
      <c r="AB2" s="3175"/>
      <c r="AC2" s="3176"/>
      <c r="AD2" s="3177"/>
    </row>
    <row r="3" spans="1:30" s="3178" customFormat="1" ht="28.5" customHeight="1">
      <c r="A3" s="3185" t="s">
        <v>3013</v>
      </c>
      <c r="B3" s="3186">
        <f>ROUND(B2*10000/'[1]数据-汇总表'!E3,0)</f>
        <v>3996</v>
      </c>
      <c r="C3" s="3187"/>
      <c r="D3" s="3188"/>
      <c r="E3" s="3187"/>
      <c r="F3" s="3187"/>
      <c r="G3" s="3182"/>
      <c r="H3" s="3182"/>
      <c r="I3" s="3182"/>
      <c r="J3" s="3182"/>
      <c r="K3" s="3184"/>
      <c r="L3" s="3182"/>
      <c r="M3" s="3184"/>
      <c r="N3" s="3184"/>
      <c r="O3" s="3184"/>
      <c r="P3" s="3175"/>
      <c r="Q3" s="3175"/>
      <c r="R3" s="3175"/>
      <c r="S3" s="3175"/>
      <c r="T3" s="3175"/>
      <c r="U3" s="3175"/>
      <c r="V3" s="3175"/>
      <c r="W3" s="3175"/>
      <c r="X3" s="3175"/>
      <c r="Y3" s="3175"/>
      <c r="Z3" s="3175"/>
      <c r="AA3" s="3175"/>
      <c r="AB3" s="3189"/>
      <c r="AC3" s="3173"/>
    </row>
    <row r="4" spans="1:30" s="3178" customFormat="1" ht="28.5" customHeight="1">
      <c r="A4" s="3190" t="s">
        <v>3014</v>
      </c>
      <c r="B4" s="3191">
        <f>IF(B48="单位面积地价",C50,ROUND(B2*10000/'[1]数据-汇总表'!D3,0))</f>
        <v>10257</v>
      </c>
      <c r="C4" s="3187"/>
      <c r="D4" s="3188"/>
      <c r="E4" s="3187"/>
      <c r="F4" s="3187"/>
      <c r="G4" s="3182"/>
      <c r="H4" s="3182"/>
      <c r="I4" s="3182"/>
      <c r="J4" s="3182"/>
      <c r="K4" s="3184"/>
      <c r="L4" s="3182"/>
      <c r="M4" s="3184"/>
      <c r="N4" s="3184"/>
      <c r="O4" s="3184"/>
      <c r="P4" s="3175"/>
      <c r="Q4" s="3175"/>
      <c r="R4" s="3175"/>
      <c r="S4" s="3175"/>
      <c r="T4" s="3175"/>
      <c r="U4" s="3175"/>
      <c r="V4" s="3175"/>
      <c r="W4" s="3175"/>
      <c r="X4" s="3175"/>
      <c r="Y4" s="3175"/>
      <c r="Z4" s="3175"/>
      <c r="AA4" s="3175"/>
      <c r="AB4" s="3175"/>
      <c r="AC4" s="3173"/>
    </row>
    <row r="5" spans="1:30" s="3178" customFormat="1" ht="28.5" customHeight="1" thickBot="1">
      <c r="A5" s="3192"/>
      <c r="B5" s="3193">
        <f>ROUND(B2/('[1]数据-汇总表'!D3/666.67),0)</f>
        <v>684</v>
      </c>
      <c r="C5" s="3194" t="s">
        <v>3015</v>
      </c>
      <c r="D5" s="3187"/>
      <c r="E5" s="3187"/>
      <c r="F5" s="3187"/>
      <c r="G5" s="3182"/>
      <c r="H5" s="3182"/>
      <c r="I5" s="3182"/>
      <c r="J5" s="3182"/>
      <c r="K5" s="3184"/>
      <c r="L5" s="3182"/>
      <c r="M5" s="3184"/>
      <c r="N5" s="3184"/>
      <c r="O5" s="3184"/>
      <c r="P5" s="3175"/>
      <c r="Q5" s="3175"/>
      <c r="R5" s="3175"/>
      <c r="S5" s="3175"/>
      <c r="T5" s="3175"/>
      <c r="U5" s="3175"/>
      <c r="V5" s="3175"/>
      <c r="W5" s="3175"/>
      <c r="X5" s="3175"/>
      <c r="Y5" s="3175"/>
      <c r="Z5" s="3175"/>
      <c r="AA5" s="3175"/>
      <c r="AB5" s="3175"/>
      <c r="AC5" s="3173"/>
    </row>
    <row r="6" spans="1:30" ht="20.25">
      <c r="A6" s="3195" t="s">
        <v>3016</v>
      </c>
      <c r="B6" s="3196"/>
      <c r="C6" s="4188" t="s">
        <v>3017</v>
      </c>
      <c r="D6" s="4189"/>
      <c r="E6" s="4188" t="s">
        <v>3018</v>
      </c>
      <c r="F6" s="4189"/>
      <c r="G6" s="4188" t="s">
        <v>3019</v>
      </c>
      <c r="H6" s="4189"/>
      <c r="I6" s="4188" t="s">
        <v>3020</v>
      </c>
      <c r="J6" s="4189"/>
      <c r="K6" s="3197" t="s">
        <v>3021</v>
      </c>
      <c r="L6" s="3198"/>
      <c r="M6" s="3184"/>
      <c r="N6" s="3184"/>
      <c r="O6" s="3199"/>
      <c r="P6" s="4190" t="s">
        <v>3022</v>
      </c>
      <c r="Q6" s="4191"/>
      <c r="R6" s="4196" t="s">
        <v>3023</v>
      </c>
      <c r="S6" s="4197"/>
      <c r="T6" s="4196" t="s">
        <v>3024</v>
      </c>
      <c r="U6" s="4197"/>
      <c r="V6" s="4202" t="s">
        <v>3025</v>
      </c>
      <c r="W6" s="4202"/>
      <c r="X6" s="3200"/>
      <c r="Y6" s="4196" t="s">
        <v>3022</v>
      </c>
      <c r="Z6" s="4197"/>
      <c r="AA6" s="4185" t="s">
        <v>3023</v>
      </c>
      <c r="AB6" s="4186" t="s">
        <v>3024</v>
      </c>
      <c r="AC6" s="4185" t="s">
        <v>3025</v>
      </c>
    </row>
    <row r="7" spans="1:30" ht="20.25">
      <c r="A7" s="3202"/>
      <c r="B7" s="3203"/>
      <c r="C7" s="4136" t="s">
        <v>3026</v>
      </c>
      <c r="D7" s="4135"/>
      <c r="E7" s="4134" t="str">
        <f>[1]土地案例!A8</f>
        <v>天心区大托镇先锋村</v>
      </c>
      <c r="F7" s="4135"/>
      <c r="G7" s="4134" t="str">
        <f>[1]土地案例!A19</f>
        <v>天心区木莲冲路</v>
      </c>
      <c r="H7" s="4135"/>
      <c r="I7" s="4134" t="str">
        <f>[1]土地案例!A56</f>
        <v>雨花区劳动东路180号</v>
      </c>
      <c r="J7" s="4135"/>
      <c r="K7" s="3197"/>
      <c r="L7" s="3198"/>
      <c r="M7" s="3184"/>
      <c r="N7" s="3184"/>
      <c r="O7" s="3199"/>
      <c r="P7" s="4192"/>
      <c r="Q7" s="4193"/>
      <c r="R7" s="4198"/>
      <c r="S7" s="4199"/>
      <c r="T7" s="4198"/>
      <c r="U7" s="4199"/>
      <c r="V7" s="4202"/>
      <c r="W7" s="4202"/>
      <c r="X7" s="3200"/>
      <c r="Y7" s="4198"/>
      <c r="Z7" s="4199"/>
      <c r="AA7" s="4186"/>
      <c r="AB7" s="4186"/>
      <c r="AC7" s="4186"/>
    </row>
    <row r="8" spans="1:30" ht="21" thickBot="1">
      <c r="A8" s="3202"/>
      <c r="B8" s="3203"/>
      <c r="C8" s="4137" t="s">
        <v>3028</v>
      </c>
      <c r="D8" s="4138"/>
      <c r="E8" s="4137" t="s">
        <v>3028</v>
      </c>
      <c r="F8" s="4138"/>
      <c r="G8" s="4132" t="s">
        <v>3028</v>
      </c>
      <c r="H8" s="4133"/>
      <c r="I8" s="4132" t="s">
        <v>3028</v>
      </c>
      <c r="J8" s="4133"/>
      <c r="K8" s="3197" t="s">
        <v>3029</v>
      </c>
      <c r="L8" s="3198"/>
      <c r="M8" s="3184"/>
      <c r="N8" s="3184"/>
      <c r="O8" s="3199"/>
      <c r="P8" s="4194"/>
      <c r="Q8" s="4195"/>
      <c r="R8" s="4198"/>
      <c r="S8" s="4199"/>
      <c r="T8" s="4200"/>
      <c r="U8" s="4201"/>
      <c r="V8" s="4202"/>
      <c r="W8" s="4202"/>
      <c r="X8" s="3200"/>
      <c r="Y8" s="4200"/>
      <c r="Z8" s="4201"/>
      <c r="AA8" s="4187"/>
      <c r="AB8" s="4187"/>
      <c r="AC8" s="4187"/>
    </row>
    <row r="9" spans="1:30" s="3217" customFormat="1" ht="21" thickBot="1">
      <c r="A9" s="3204"/>
      <c r="B9" s="3205" t="s">
        <v>3030</v>
      </c>
      <c r="C9" s="3206">
        <f>'[1]数据-取费表'!B2</f>
        <v>42940</v>
      </c>
      <c r="D9" s="3207">
        <v>100</v>
      </c>
      <c r="E9" s="3208" t="str">
        <f>[1]土地案例!G8</f>
        <v>2016-12-02</v>
      </c>
      <c r="F9" s="3209">
        <f>SUMIF(72:72,YEAR(E9)&amp;"-"&amp;INT((MONTH(E9)+2)/3),73:73)</f>
        <v>97</v>
      </c>
      <c r="G9" s="3210" t="str">
        <f>[1]土地案例!G19</f>
        <v>2015-12-10</v>
      </c>
      <c r="H9" s="3207">
        <f>SUMIF(72:72,YEAR(G9)&amp;"-"&amp;INT((MONTH(G9)+2)/3),73:73)</f>
        <v>93</v>
      </c>
      <c r="I9" s="3210" t="str">
        <f>[1]土地案例!G56</f>
        <v>2015-08-31</v>
      </c>
      <c r="J9" s="3207">
        <f>SUMIF(72:72,YEAR(I9)&amp;"-"&amp;INT((MONTH(I9)+2)/3),73:73)</f>
        <v>92</v>
      </c>
      <c r="K9" s="3197"/>
      <c r="L9" s="3211"/>
      <c r="M9" s="3184"/>
      <c r="N9" s="3184"/>
      <c r="O9" s="3212"/>
      <c r="P9" s="4203" t="s">
        <v>3031</v>
      </c>
      <c r="Q9" s="4204"/>
      <c r="R9" s="3213" t="s">
        <v>3032</v>
      </c>
      <c r="S9" s="3214">
        <f t="shared" ref="S9:S17" si="0">F9</f>
        <v>97</v>
      </c>
      <c r="T9" s="3213" t="s">
        <v>3032</v>
      </c>
      <c r="U9" s="3214">
        <f t="shared" ref="U9:U17" si="1">H9</f>
        <v>93</v>
      </c>
      <c r="V9" s="3213" t="s">
        <v>3032</v>
      </c>
      <c r="W9" s="3214">
        <f t="shared" ref="W9:W17" si="2">J9</f>
        <v>92</v>
      </c>
      <c r="X9" s="3215"/>
      <c r="Y9" s="4203" t="s">
        <v>3031</v>
      </c>
      <c r="Z9" s="4205"/>
      <c r="AA9" s="3216">
        <f>D9/F9</f>
        <v>1.0309278350515463</v>
      </c>
      <c r="AB9" s="3216">
        <f>D9/H9</f>
        <v>1.075268817204301</v>
      </c>
      <c r="AC9" s="3216">
        <f>D9/J9</f>
        <v>1.0869565217391304</v>
      </c>
    </row>
    <row r="10" spans="1:30" s="3217" customFormat="1" ht="21" thickBot="1">
      <c r="A10" s="3218"/>
      <c r="B10" s="3219" t="s">
        <v>3033</v>
      </c>
      <c r="C10" s="3220" t="s">
        <v>533</v>
      </c>
      <c r="D10" s="3207">
        <v>100</v>
      </c>
      <c r="E10" s="3221" t="s">
        <v>3034</v>
      </c>
      <c r="F10" s="3209">
        <f>SUMIF(75:75,E10,76:76)-SUMIF(75:75,C10,76:76)+100</f>
        <v>100</v>
      </c>
      <c r="G10" s="3221" t="s">
        <v>3034</v>
      </c>
      <c r="H10" s="3207">
        <f>SUMIF(75:75,G10,76:76)-SUMIF(75:75,C10,76:76)+100</f>
        <v>100</v>
      </c>
      <c r="I10" s="3221" t="s">
        <v>3034</v>
      </c>
      <c r="J10" s="3207">
        <f>SUMIF(75:75,I10,76:76)-SUMIF(75:75,C10,76:76)+100</f>
        <v>100</v>
      </c>
      <c r="K10" s="3197"/>
      <c r="L10" s="3211"/>
      <c r="M10" s="3184"/>
      <c r="N10" s="3184"/>
      <c r="O10" s="3212"/>
      <c r="P10" s="4203" t="s">
        <v>534</v>
      </c>
      <c r="Q10" s="4205"/>
      <c r="R10" s="3213" t="s">
        <v>3035</v>
      </c>
      <c r="S10" s="3214">
        <f t="shared" si="0"/>
        <v>100</v>
      </c>
      <c r="T10" s="3213" t="s">
        <v>3035</v>
      </c>
      <c r="U10" s="3214">
        <f t="shared" si="1"/>
        <v>100</v>
      </c>
      <c r="V10" s="3213" t="s">
        <v>3035</v>
      </c>
      <c r="W10" s="3214">
        <f t="shared" si="2"/>
        <v>100</v>
      </c>
      <c r="X10" s="3215"/>
      <c r="Y10" s="4203" t="s">
        <v>534</v>
      </c>
      <c r="Z10" s="4205"/>
      <c r="AA10" s="3216">
        <f t="shared" ref="AA10:AA47" si="3">D10/F10</f>
        <v>1</v>
      </c>
      <c r="AB10" s="3216">
        <f t="shared" ref="AB10:AB47" si="4">D10/H10</f>
        <v>1</v>
      </c>
      <c r="AC10" s="3216">
        <f t="shared" ref="AC10:AC47" si="5">D10/J10</f>
        <v>1</v>
      </c>
    </row>
    <row r="11" spans="1:30" s="3217" customFormat="1" ht="20.25">
      <c r="A11" s="3222"/>
      <c r="B11" s="3223" t="s">
        <v>2764</v>
      </c>
      <c r="C11" s="3224" t="s">
        <v>2988</v>
      </c>
      <c r="D11" s="3225">
        <v>100</v>
      </c>
      <c r="E11" s="3226" t="s">
        <v>924</v>
      </c>
      <c r="F11" s="3225">
        <f>SUMIF(77:77,E11,78:78)-SUMIF(77:77,C11,78:78)+100</f>
        <v>98</v>
      </c>
      <c r="G11" s="3226" t="s">
        <v>2988</v>
      </c>
      <c r="H11" s="3225">
        <f>SUMIF(77:77,G11,78:78)-SUMIF(77:77,C11,78:78)+100</f>
        <v>100</v>
      </c>
      <c r="I11" s="3226" t="s">
        <v>924</v>
      </c>
      <c r="J11" s="3225">
        <f>SUMIF(77:77,I11,78:78)-SUMIF(77:77,C11,78:78)+100</f>
        <v>98</v>
      </c>
      <c r="K11" s="3197"/>
      <c r="L11" s="3211"/>
      <c r="M11" s="3184"/>
      <c r="N11" s="3184"/>
      <c r="O11" s="3227"/>
      <c r="P11" s="4206" t="s">
        <v>536</v>
      </c>
      <c r="Q11" s="3228" t="str">
        <f t="shared" ref="Q11:Q17" si="6">B11</f>
        <v>用途</v>
      </c>
      <c r="R11" s="3213" t="s">
        <v>3035</v>
      </c>
      <c r="S11" s="3214">
        <f t="shared" si="0"/>
        <v>98</v>
      </c>
      <c r="T11" s="3213" t="s">
        <v>3035</v>
      </c>
      <c r="U11" s="3214">
        <f t="shared" si="1"/>
        <v>100</v>
      </c>
      <c r="V11" s="3213" t="s">
        <v>3035</v>
      </c>
      <c r="W11" s="3214">
        <f t="shared" si="2"/>
        <v>98</v>
      </c>
      <c r="X11" s="3215"/>
      <c r="Y11" s="4207" t="s">
        <v>537</v>
      </c>
      <c r="Z11" s="3216" t="str">
        <f t="shared" ref="Z11:Z17" si="7">Q11</f>
        <v>用途</v>
      </c>
      <c r="AA11" s="3216">
        <f t="shared" si="3"/>
        <v>1.0204081632653061</v>
      </c>
      <c r="AB11" s="3216">
        <f t="shared" si="4"/>
        <v>1</v>
      </c>
      <c r="AC11" s="3216">
        <f t="shared" si="5"/>
        <v>1.0204081632653061</v>
      </c>
    </row>
    <row r="12" spans="1:30" s="3236" customFormat="1" ht="28.5">
      <c r="A12" s="3229"/>
      <c r="B12" s="3219" t="s">
        <v>3036</v>
      </c>
      <c r="C12" s="3230" t="str">
        <f>[1]项目基本情况!D20</f>
        <v>住宅69.64、商业39.63</v>
      </c>
      <c r="D12" s="3231">
        <v>100</v>
      </c>
      <c r="E12" s="3232" t="s">
        <v>3037</v>
      </c>
      <c r="F12" s="3231">
        <f>ROUND(100/'[1]数据-取费表'!G16,0)</f>
        <v>100</v>
      </c>
      <c r="G12" s="3230" t="s">
        <v>3037</v>
      </c>
      <c r="H12" s="3231">
        <f>ROUND(100/'[1]数据-取费表'!G16,0)</f>
        <v>100</v>
      </c>
      <c r="I12" s="3230" t="s">
        <v>3037</v>
      </c>
      <c r="J12" s="3231">
        <f>ROUND(100/'[1]数据-取费表'!G16,0)</f>
        <v>100</v>
      </c>
      <c r="K12" s="3233"/>
      <c r="L12" s="3234"/>
      <c r="M12" s="3184"/>
      <c r="N12" s="3184"/>
      <c r="O12" s="3235"/>
      <c r="P12" s="4206"/>
      <c r="Q12" s="3228" t="str">
        <f t="shared" si="6"/>
        <v>土地使用年限（年）</v>
      </c>
      <c r="R12" s="3213" t="s">
        <v>3032</v>
      </c>
      <c r="S12" s="3214">
        <f t="shared" si="0"/>
        <v>100</v>
      </c>
      <c r="T12" s="3213" t="s">
        <v>3032</v>
      </c>
      <c r="U12" s="3214">
        <f t="shared" si="1"/>
        <v>100</v>
      </c>
      <c r="V12" s="3213" t="s">
        <v>3032</v>
      </c>
      <c r="W12" s="3214">
        <f t="shared" si="2"/>
        <v>100</v>
      </c>
      <c r="X12" s="3215"/>
      <c r="Y12" s="4207"/>
      <c r="Z12" s="3216" t="str">
        <f t="shared" si="7"/>
        <v>土地使用年限（年）</v>
      </c>
      <c r="AA12" s="3216">
        <f t="shared" si="3"/>
        <v>1</v>
      </c>
      <c r="AB12" s="3216">
        <f t="shared" si="4"/>
        <v>1</v>
      </c>
      <c r="AC12" s="3216">
        <f t="shared" si="5"/>
        <v>1</v>
      </c>
    </row>
    <row r="13" spans="1:30" ht="21" thickBot="1">
      <c r="A13" s="3237"/>
      <c r="B13" s="3219" t="s">
        <v>3038</v>
      </c>
      <c r="C13" s="3238">
        <f>'[1]数据-汇总表'!I4</f>
        <v>2.57</v>
      </c>
      <c r="D13" s="3231">
        <v>100</v>
      </c>
      <c r="E13" s="3239">
        <f>[1]土地案例!E8</f>
        <v>2.5</v>
      </c>
      <c r="F13" s="3231">
        <f>LOOKUP(E13,82:82,83:83)-LOOKUP(C13,82:82,83:83)+100</f>
        <v>100</v>
      </c>
      <c r="G13" s="3238">
        <f>[1]土地案例!E19</f>
        <v>4.3</v>
      </c>
      <c r="H13" s="3231">
        <f>LOOKUP(G13,82:82,83:83)-LOOKUP(C13,82:82,83:83)+100</f>
        <v>104</v>
      </c>
      <c r="I13" s="3239">
        <f>[1]土地案例!E56</f>
        <v>3.91</v>
      </c>
      <c r="J13" s="3231">
        <f>LOOKUP(I13,82:82,83:83)-LOOKUP(C13,82:82,83:83)+100</f>
        <v>102</v>
      </c>
      <c r="K13" s="3240">
        <v>2</v>
      </c>
      <c r="L13" s="3241"/>
      <c r="M13" s="3184"/>
      <c r="N13" s="3184"/>
      <c r="O13" s="3242"/>
      <c r="P13" s="4206"/>
      <c r="Q13" s="3228" t="str">
        <f t="shared" si="6"/>
        <v>容积率</v>
      </c>
      <c r="R13" s="3213" t="s">
        <v>3032</v>
      </c>
      <c r="S13" s="3214">
        <f t="shared" si="0"/>
        <v>100</v>
      </c>
      <c r="T13" s="3213" t="s">
        <v>3032</v>
      </c>
      <c r="U13" s="3214">
        <f t="shared" si="1"/>
        <v>104</v>
      </c>
      <c r="V13" s="3213" t="s">
        <v>3032</v>
      </c>
      <c r="W13" s="3214">
        <f t="shared" si="2"/>
        <v>102</v>
      </c>
      <c r="X13" s="3215"/>
      <c r="Y13" s="4207"/>
      <c r="Z13" s="3216" t="str">
        <f t="shared" si="7"/>
        <v>容积率</v>
      </c>
      <c r="AA13" s="3216">
        <f t="shared" si="3"/>
        <v>1</v>
      </c>
      <c r="AB13" s="3216">
        <f t="shared" si="4"/>
        <v>0.96153846153846156</v>
      </c>
      <c r="AC13" s="3216">
        <f t="shared" si="5"/>
        <v>0.98039215686274506</v>
      </c>
    </row>
    <row r="14" spans="1:30" s="3217" customFormat="1" ht="21" hidden="1" thickBot="1">
      <c r="A14" s="3218"/>
      <c r="B14" s="3243" t="s">
        <v>3039</v>
      </c>
      <c r="C14" s="3244"/>
      <c r="D14" s="3245">
        <v>100</v>
      </c>
      <c r="E14" s="3246"/>
      <c r="F14" s="3231">
        <f>SUMIF(84:84,E14,85:85)-SUMIF(84:84,C14,85:85)+100</f>
        <v>100</v>
      </c>
      <c r="G14" s="3230"/>
      <c r="H14" s="3231">
        <f>SUMIF(84:84,G14,85:85)-SUMIF(84:84,C14,85:85)+100</f>
        <v>100</v>
      </c>
      <c r="I14" s="3232"/>
      <c r="J14" s="3231">
        <f>SUMIF(84:84,I14,85:85)-SUMIF(84:84,C14,85:85)+100</f>
        <v>100</v>
      </c>
      <c r="K14" s="3233"/>
      <c r="L14" s="3211"/>
      <c r="M14" s="3184"/>
      <c r="N14" s="3184"/>
      <c r="O14" s="3227"/>
      <c r="P14" s="4206"/>
      <c r="Q14" s="3228" t="str">
        <f t="shared" si="6"/>
        <v>配建</v>
      </c>
      <c r="R14" s="3213" t="s">
        <v>3032</v>
      </c>
      <c r="S14" s="3214">
        <f t="shared" si="0"/>
        <v>100</v>
      </c>
      <c r="T14" s="3213" t="s">
        <v>3032</v>
      </c>
      <c r="U14" s="3214">
        <f t="shared" si="1"/>
        <v>100</v>
      </c>
      <c r="V14" s="3213" t="s">
        <v>3032</v>
      </c>
      <c r="W14" s="3214">
        <f t="shared" si="2"/>
        <v>100</v>
      </c>
      <c r="X14" s="3215"/>
      <c r="Y14" s="4207"/>
      <c r="Z14" s="3216" t="str">
        <f t="shared" si="7"/>
        <v>配建</v>
      </c>
      <c r="AA14" s="3216">
        <f>D14/F14</f>
        <v>1</v>
      </c>
      <c r="AB14" s="3216">
        <f>D14/H14</f>
        <v>1</v>
      </c>
      <c r="AC14" s="3216">
        <f>D14/J14</f>
        <v>1</v>
      </c>
    </row>
    <row r="15" spans="1:30" ht="21" hidden="1" thickBot="1">
      <c r="A15" s="3247"/>
      <c r="B15" s="3248"/>
      <c r="C15" s="3249"/>
      <c r="D15" s="3250">
        <v>100</v>
      </c>
      <c r="E15" s="3251"/>
      <c r="F15" s="3231">
        <f>SUMIF(86:86,E15,87:87)-SUMIF(86:86,C15,87:87)+100</f>
        <v>100</v>
      </c>
      <c r="G15" s="3252"/>
      <c r="H15" s="3250">
        <f>SUMIF(86:86,G15,87:87)-SUMIF(86:86,C15,87:87)+100</f>
        <v>100</v>
      </c>
      <c r="I15" s="3252"/>
      <c r="J15" s="3250">
        <f>SUMIF(86:86,I15,87:87)-SUMIF(86:86,C15,87:87)+100</f>
        <v>100</v>
      </c>
      <c r="K15" s="3233"/>
      <c r="L15" s="3253"/>
      <c r="M15" s="3184"/>
      <c r="N15" s="3184"/>
      <c r="O15" s="3242"/>
      <c r="P15" s="4206"/>
      <c r="Q15" s="3228">
        <f t="shared" si="6"/>
        <v>0</v>
      </c>
      <c r="R15" s="3213" t="s">
        <v>3035</v>
      </c>
      <c r="S15" s="3214">
        <f t="shared" si="0"/>
        <v>100</v>
      </c>
      <c r="T15" s="3213" t="s">
        <v>3035</v>
      </c>
      <c r="U15" s="3214">
        <f t="shared" si="1"/>
        <v>100</v>
      </c>
      <c r="V15" s="3213" t="s">
        <v>3035</v>
      </c>
      <c r="W15" s="3214">
        <f t="shared" si="2"/>
        <v>100</v>
      </c>
      <c r="X15" s="3215"/>
      <c r="Y15" s="4207"/>
      <c r="Z15" s="3216">
        <f t="shared" si="7"/>
        <v>0</v>
      </c>
      <c r="AA15" s="3216">
        <f>D15/F15</f>
        <v>1</v>
      </c>
      <c r="AB15" s="3216">
        <f>D15/H15</f>
        <v>1</v>
      </c>
      <c r="AC15" s="3216">
        <f>D15/J15</f>
        <v>1</v>
      </c>
    </row>
    <row r="16" spans="1:30" ht="21" hidden="1" thickBot="1">
      <c r="A16" s="3254"/>
      <c r="B16" s="3255"/>
      <c r="C16" s="3256"/>
      <c r="D16" s="3257">
        <v>100</v>
      </c>
      <c r="E16" s="3251"/>
      <c r="F16" s="3257">
        <f>SUMIF(88:88,E16,89:89)-SUMIF(88:88,C16,89:89)+100</f>
        <v>100</v>
      </c>
      <c r="G16" s="3252"/>
      <c r="H16" s="3257">
        <f>SUMIF(88:88,G16,89:89)-SUMIF(88:88,C16,89:89)+100</f>
        <v>100</v>
      </c>
      <c r="I16" s="3252"/>
      <c r="J16" s="3257">
        <f>SUMIF(88:88,I16,89:89)-SUMIF(88:88,C16,89:89)+100</f>
        <v>100</v>
      </c>
      <c r="K16" s="3233"/>
      <c r="L16" s="3253"/>
      <c r="M16" s="3184"/>
      <c r="N16" s="3184"/>
      <c r="O16" s="3242"/>
      <c r="P16" s="4206"/>
      <c r="Q16" s="3228">
        <f t="shared" si="6"/>
        <v>0</v>
      </c>
      <c r="R16" s="3213" t="s">
        <v>3035</v>
      </c>
      <c r="S16" s="3214">
        <f t="shared" si="0"/>
        <v>100</v>
      </c>
      <c r="T16" s="3213" t="s">
        <v>3035</v>
      </c>
      <c r="U16" s="3214">
        <f t="shared" si="1"/>
        <v>100</v>
      </c>
      <c r="V16" s="3213" t="s">
        <v>3035</v>
      </c>
      <c r="W16" s="3214">
        <f t="shared" si="2"/>
        <v>100</v>
      </c>
      <c r="X16" s="3215"/>
      <c r="Y16" s="4207"/>
      <c r="Z16" s="3216">
        <f t="shared" si="7"/>
        <v>0</v>
      </c>
      <c r="AA16" s="3216">
        <f>D16/F16</f>
        <v>1</v>
      </c>
      <c r="AB16" s="3216">
        <f>D16/H16</f>
        <v>1</v>
      </c>
      <c r="AC16" s="3216">
        <f>D16/J16</f>
        <v>1</v>
      </c>
    </row>
    <row r="17" spans="1:29" ht="99.75">
      <c r="A17" s="3258" t="s">
        <v>3040</v>
      </c>
      <c r="B17" s="3259" t="s">
        <v>295</v>
      </c>
      <c r="C17" s="3260" t="str">
        <f>[1]估价对象房地状况!C15</f>
        <v>估价对象周边居住用地比例一般、有一定数量居住小区、入住率一般，综合评价居住社区成熟度一般。</v>
      </c>
      <c r="D17" s="3261">
        <v>100</v>
      </c>
      <c r="E17" s="3262" t="s">
        <v>3041</v>
      </c>
      <c r="F17" s="3263">
        <f>SUMIF(90:90,E18,91:91)-SUMIF(90:90,C18,91:91)+100</f>
        <v>102</v>
      </c>
      <c r="G17" s="3264" t="s">
        <v>3041</v>
      </c>
      <c r="H17" s="3263">
        <f>SUMIF(90:90,G18,91:91)-SUMIF(90:90,C18,91:91)+100</f>
        <v>102</v>
      </c>
      <c r="I17" s="3262" t="s">
        <v>3041</v>
      </c>
      <c r="J17" s="3263">
        <f>SUMIF(90:90,I18,91:91)-SUMIF(90:90,C18,91:91)+100</f>
        <v>102</v>
      </c>
      <c r="K17" s="3265">
        <v>2</v>
      </c>
      <c r="L17" s="3253"/>
      <c r="M17" s="3184"/>
      <c r="N17" s="3184"/>
      <c r="O17" s="3242"/>
      <c r="P17" s="4208" t="s">
        <v>3042</v>
      </c>
      <c r="Q17" s="3266" t="str">
        <f t="shared" si="6"/>
        <v>居住社区成熟度</v>
      </c>
      <c r="R17" s="3267" t="s">
        <v>3032</v>
      </c>
      <c r="S17" s="3268">
        <f t="shared" si="0"/>
        <v>102</v>
      </c>
      <c r="T17" s="3267" t="s">
        <v>3032</v>
      </c>
      <c r="U17" s="3268">
        <f t="shared" si="1"/>
        <v>102</v>
      </c>
      <c r="V17" s="3267" t="s">
        <v>3032</v>
      </c>
      <c r="W17" s="3268">
        <f t="shared" si="2"/>
        <v>102</v>
      </c>
      <c r="X17" s="3200"/>
      <c r="Y17" s="4208" t="s">
        <v>3042</v>
      </c>
      <c r="Z17" s="3269" t="str">
        <f t="shared" si="7"/>
        <v>居住社区成熟度</v>
      </c>
      <c r="AA17" s="3269">
        <f t="shared" si="3"/>
        <v>0.98039215686274506</v>
      </c>
      <c r="AB17" s="3269">
        <f t="shared" si="4"/>
        <v>0.98039215686274506</v>
      </c>
      <c r="AC17" s="3269">
        <f t="shared" si="5"/>
        <v>0.98039215686274506</v>
      </c>
    </row>
    <row r="18" spans="1:29" ht="20.25">
      <c r="A18" s="3270"/>
      <c r="B18" s="3271"/>
      <c r="C18" s="3272" t="s">
        <v>3043</v>
      </c>
      <c r="D18" s="3273"/>
      <c r="E18" s="3274" t="s">
        <v>3044</v>
      </c>
      <c r="F18" s="3275"/>
      <c r="G18" s="3272" t="s">
        <v>3044</v>
      </c>
      <c r="H18" s="3276"/>
      <c r="I18" s="3274" t="s">
        <v>3044</v>
      </c>
      <c r="J18" s="3275"/>
      <c r="K18" s="3233"/>
      <c r="L18" s="3253"/>
      <c r="M18" s="3184"/>
      <c r="N18" s="3184"/>
      <c r="O18" s="3242"/>
      <c r="P18" s="4209"/>
      <c r="Q18" s="3266"/>
      <c r="R18" s="3267"/>
      <c r="S18" s="3268"/>
      <c r="T18" s="3267"/>
      <c r="U18" s="3268"/>
      <c r="V18" s="3267"/>
      <c r="W18" s="3268"/>
      <c r="X18" s="3200"/>
      <c r="Y18" s="4209"/>
      <c r="Z18" s="3269"/>
      <c r="AA18" s="3269">
        <v>1</v>
      </c>
      <c r="AB18" s="3269">
        <v>1</v>
      </c>
      <c r="AC18" s="3269">
        <v>1</v>
      </c>
    </row>
    <row r="19" spans="1:29" ht="71.25">
      <c r="A19" s="3270"/>
      <c r="B19" s="3277" t="s">
        <v>3045</v>
      </c>
      <c r="C19" s="3278" t="str">
        <f>[1]估价对象房地状况!C16</f>
        <v>估价对象周边商业氛围一般、大型商业较少、人流量一般、商业繁华度一般。</v>
      </c>
      <c r="D19" s="3279">
        <v>100</v>
      </c>
      <c r="E19" s="3280" t="s">
        <v>3046</v>
      </c>
      <c r="F19" s="3276">
        <f>SUMIF(92:92,E20,93:93)-SUMIF(92:92,C20,93:93)+100</f>
        <v>102</v>
      </c>
      <c r="G19" s="3281" t="s">
        <v>3046</v>
      </c>
      <c r="H19" s="3282">
        <f>SUMIF(92:92,G20,93:93)-SUMIF(92:92,C20,93:93)+100</f>
        <v>102</v>
      </c>
      <c r="I19" s="3280" t="s">
        <v>3046</v>
      </c>
      <c r="J19" s="3282">
        <f>SUMIF(92:92,I20,93:93)-SUMIF(92:92,C20,93:93)+100</f>
        <v>102</v>
      </c>
      <c r="K19" s="3265">
        <v>2</v>
      </c>
      <c r="L19" s="3253"/>
      <c r="M19" s="3184"/>
      <c r="N19" s="3184"/>
      <c r="O19" s="3242"/>
      <c r="P19" s="4209"/>
      <c r="Q19" s="3266" t="str">
        <f>B19</f>
        <v>商业繁华度</v>
      </c>
      <c r="R19" s="3267" t="s">
        <v>3032</v>
      </c>
      <c r="S19" s="3268">
        <f>F19</f>
        <v>102</v>
      </c>
      <c r="T19" s="3267" t="s">
        <v>3032</v>
      </c>
      <c r="U19" s="3268">
        <f>H19</f>
        <v>102</v>
      </c>
      <c r="V19" s="3267" t="s">
        <v>3032</v>
      </c>
      <c r="W19" s="3268">
        <f>J19</f>
        <v>102</v>
      </c>
      <c r="X19" s="3200"/>
      <c r="Y19" s="4209"/>
      <c r="Z19" s="3269" t="str">
        <f>Q19</f>
        <v>商业繁华度</v>
      </c>
      <c r="AA19" s="3269">
        <f t="shared" si="3"/>
        <v>0.98039215686274506</v>
      </c>
      <c r="AB19" s="3269">
        <f t="shared" si="4"/>
        <v>0.98039215686274506</v>
      </c>
      <c r="AC19" s="3269">
        <f t="shared" si="5"/>
        <v>0.98039215686274506</v>
      </c>
    </row>
    <row r="20" spans="1:29" ht="20.25">
      <c r="A20" s="3270"/>
      <c r="B20" s="3283"/>
      <c r="C20" s="3284" t="s">
        <v>3043</v>
      </c>
      <c r="D20" s="3279"/>
      <c r="E20" s="3285" t="s">
        <v>3044</v>
      </c>
      <c r="F20" s="3276"/>
      <c r="G20" s="3284" t="s">
        <v>3044</v>
      </c>
      <c r="H20" s="3275"/>
      <c r="I20" s="3285" t="s">
        <v>3044</v>
      </c>
      <c r="J20" s="3275"/>
      <c r="K20" s="3233"/>
      <c r="L20" s="3253"/>
      <c r="M20" s="3184"/>
      <c r="N20" s="3184"/>
      <c r="O20" s="3242"/>
      <c r="P20" s="4209"/>
      <c r="Q20" s="3266"/>
      <c r="R20" s="3267"/>
      <c r="S20" s="3268"/>
      <c r="T20" s="3267"/>
      <c r="U20" s="3268"/>
      <c r="V20" s="3267"/>
      <c r="W20" s="3268"/>
      <c r="X20" s="3200"/>
      <c r="Y20" s="4209"/>
      <c r="Z20" s="3269"/>
      <c r="AA20" s="3269">
        <v>1</v>
      </c>
      <c r="AB20" s="3269">
        <v>1</v>
      </c>
      <c r="AC20" s="3269">
        <v>1</v>
      </c>
    </row>
    <row r="21" spans="1:29" ht="20.25" hidden="1">
      <c r="A21" s="3270"/>
      <c r="B21" s="3277" t="s">
        <v>3047</v>
      </c>
      <c r="C21" s="3278">
        <f>[1]估价对象房地状况!C17</f>
        <v>0</v>
      </c>
      <c r="D21" s="3286">
        <v>100</v>
      </c>
      <c r="E21" s="3287"/>
      <c r="F21" s="3282">
        <f>SUMIF(94:94,E22,95:95)-SUMIF(94:94,C22,95:95)+100</f>
        <v>100</v>
      </c>
      <c r="G21" s="3288"/>
      <c r="H21" s="3276">
        <f>SUMIF(94:94,G22,95:95)-SUMIF(94:94,C22,95:95)+100</f>
        <v>100</v>
      </c>
      <c r="I21" s="3287"/>
      <c r="J21" s="3276">
        <f>SUMIF(94:94,I22,95:95)-SUMIF(94:94,C22,95:95)+100</f>
        <v>100</v>
      </c>
      <c r="K21" s="3265"/>
      <c r="L21" s="3253"/>
      <c r="M21" s="3184"/>
      <c r="N21" s="3184"/>
      <c r="O21" s="3242"/>
      <c r="P21" s="4209"/>
      <c r="Q21" s="3266" t="str">
        <f>B21</f>
        <v>办公集聚程度</v>
      </c>
      <c r="R21" s="3267" t="s">
        <v>3048</v>
      </c>
      <c r="S21" s="3268">
        <f>F21</f>
        <v>100</v>
      </c>
      <c r="T21" s="3267" t="s">
        <v>3048</v>
      </c>
      <c r="U21" s="3268">
        <f>H21</f>
        <v>100</v>
      </c>
      <c r="V21" s="3267" t="s">
        <v>3048</v>
      </c>
      <c r="W21" s="3268">
        <f>J21</f>
        <v>100</v>
      </c>
      <c r="X21" s="3200"/>
      <c r="Y21" s="4209"/>
      <c r="Z21" s="3269" t="str">
        <f>Q21</f>
        <v>办公集聚程度</v>
      </c>
      <c r="AA21" s="3269">
        <f t="shared" si="3"/>
        <v>1</v>
      </c>
      <c r="AB21" s="3269">
        <f t="shared" si="4"/>
        <v>1</v>
      </c>
      <c r="AC21" s="3269">
        <f t="shared" si="5"/>
        <v>1</v>
      </c>
    </row>
    <row r="22" spans="1:29" ht="20.25" hidden="1">
      <c r="A22" s="3270"/>
      <c r="B22" s="3283"/>
      <c r="C22" s="3272"/>
      <c r="D22" s="3273"/>
      <c r="E22" s="3274"/>
      <c r="F22" s="3275"/>
      <c r="G22" s="3272"/>
      <c r="H22" s="3275"/>
      <c r="I22" s="3274"/>
      <c r="J22" s="3275"/>
      <c r="K22" s="3233"/>
      <c r="L22" s="3253"/>
      <c r="M22" s="3184"/>
      <c r="N22" s="3184"/>
      <c r="O22" s="3242"/>
      <c r="P22" s="4209"/>
      <c r="Q22" s="3266"/>
      <c r="R22" s="3267"/>
      <c r="S22" s="3268"/>
      <c r="T22" s="3267"/>
      <c r="U22" s="3268"/>
      <c r="V22" s="3267"/>
      <c r="W22" s="3268"/>
      <c r="X22" s="3200"/>
      <c r="Y22" s="4209"/>
      <c r="Z22" s="3269"/>
      <c r="AA22" s="3269">
        <v>1</v>
      </c>
      <c r="AB22" s="3269">
        <v>1</v>
      </c>
      <c r="AC22" s="3269">
        <v>1</v>
      </c>
    </row>
    <row r="23" spans="1:29" ht="85.5">
      <c r="A23" s="3270"/>
      <c r="B23" s="3277" t="s">
        <v>3049</v>
      </c>
      <c r="C23" s="3278" t="str">
        <f>[1]估价对象房地状况!C18</f>
        <v>估价对象周边路网密集程度一般、有一定数量公交车、停车较便捷，综合评价交通便捷度一般。</v>
      </c>
      <c r="D23" s="3279">
        <v>100</v>
      </c>
      <c r="E23" s="3280" t="s">
        <v>3050</v>
      </c>
      <c r="F23" s="3282">
        <f>SUMIF(96:96,E24,97:97)-SUMIF(96:96,C24,97:97)+100</f>
        <v>102</v>
      </c>
      <c r="G23" s="3281" t="s">
        <v>3051</v>
      </c>
      <c r="H23" s="3276">
        <f>SUMIF(96:96,G24,97:97)-SUMIF(96:96,C24,97:97)+100</f>
        <v>102</v>
      </c>
      <c r="I23" s="3280" t="s">
        <v>3052</v>
      </c>
      <c r="J23" s="3276">
        <f>SUMIF(96:96,I24,97:97)-SUMIF(96:96,C24,97:97)+100</f>
        <v>100</v>
      </c>
      <c r="K23" s="3265">
        <v>2</v>
      </c>
      <c r="L23" s="3253"/>
      <c r="M23" s="3184"/>
      <c r="N23" s="3184"/>
      <c r="O23" s="3242"/>
      <c r="P23" s="4209"/>
      <c r="Q23" s="3266" t="str">
        <f>B23</f>
        <v>交通便捷度</v>
      </c>
      <c r="R23" s="3267" t="s">
        <v>3048</v>
      </c>
      <c r="S23" s="3268">
        <f>F23</f>
        <v>102</v>
      </c>
      <c r="T23" s="3267" t="s">
        <v>3048</v>
      </c>
      <c r="U23" s="3268">
        <f>H23</f>
        <v>102</v>
      </c>
      <c r="V23" s="3267" t="s">
        <v>3048</v>
      </c>
      <c r="W23" s="3268">
        <f>J23</f>
        <v>100</v>
      </c>
      <c r="X23" s="3200"/>
      <c r="Y23" s="4209"/>
      <c r="Z23" s="3269" t="str">
        <f>Q23</f>
        <v>交通便捷度</v>
      </c>
      <c r="AA23" s="3269">
        <f t="shared" si="3"/>
        <v>0.98039215686274506</v>
      </c>
      <c r="AB23" s="3269">
        <f t="shared" si="4"/>
        <v>0.98039215686274506</v>
      </c>
      <c r="AC23" s="3269">
        <f t="shared" si="5"/>
        <v>1</v>
      </c>
    </row>
    <row r="24" spans="1:29" ht="20.25">
      <c r="A24" s="3270"/>
      <c r="B24" s="3259"/>
      <c r="C24" s="3272" t="s">
        <v>3043</v>
      </c>
      <c r="D24" s="3273"/>
      <c r="E24" s="3274" t="s">
        <v>3044</v>
      </c>
      <c r="F24" s="3275"/>
      <c r="G24" s="3272" t="s">
        <v>3044</v>
      </c>
      <c r="H24" s="3275"/>
      <c r="I24" s="3274" t="s">
        <v>3043</v>
      </c>
      <c r="J24" s="3275"/>
      <c r="K24" s="3233"/>
      <c r="L24" s="3253"/>
      <c r="M24" s="3184"/>
      <c r="N24" s="3184"/>
      <c r="O24" s="3242"/>
      <c r="P24" s="4209"/>
      <c r="Q24" s="3266"/>
      <c r="R24" s="3267"/>
      <c r="S24" s="3268"/>
      <c r="T24" s="3267"/>
      <c r="U24" s="3268"/>
      <c r="V24" s="3267"/>
      <c r="W24" s="3268"/>
      <c r="X24" s="3200"/>
      <c r="Y24" s="4209"/>
      <c r="Z24" s="3269"/>
      <c r="AA24" s="3269">
        <v>1</v>
      </c>
      <c r="AB24" s="3269">
        <v>1</v>
      </c>
      <c r="AC24" s="3269">
        <v>1</v>
      </c>
    </row>
    <row r="25" spans="1:29" ht="27">
      <c r="A25" s="3202"/>
      <c r="B25" s="3289" t="s">
        <v>3053</v>
      </c>
      <c r="C25" s="3278" t="str">
        <f>[1]估价对象房地状况!C19</f>
        <v>一致</v>
      </c>
      <c r="D25" s="3279">
        <v>100</v>
      </c>
      <c r="E25" s="3280" t="s">
        <v>3054</v>
      </c>
      <c r="F25" s="3282">
        <f>SUMIF(98:98,E26,99:99)-SUMIF(98:98,C26,99:99)+100</f>
        <v>100</v>
      </c>
      <c r="G25" s="3280" t="s">
        <v>3054</v>
      </c>
      <c r="H25" s="3276">
        <f>SUMIF(98:98,G26,99:99)-SUMIF(98:98,C26,99:99)+100</f>
        <v>100</v>
      </c>
      <c r="I25" s="3280" t="s">
        <v>3054</v>
      </c>
      <c r="J25" s="3276">
        <f>SUMIF(98:98,I26,99:99)-SUMIF(98:98,C26,99:99)+100</f>
        <v>100</v>
      </c>
      <c r="K25" s="3265">
        <v>2</v>
      </c>
      <c r="L25" s="3253"/>
      <c r="M25" s="3184"/>
      <c r="N25" s="3184"/>
      <c r="O25" s="3242"/>
      <c r="P25" s="4209"/>
      <c r="Q25" s="3266" t="str">
        <f t="shared" ref="Q25:Q39" si="8">B25</f>
        <v>区域土地利用方向</v>
      </c>
      <c r="R25" s="3267" t="s">
        <v>3055</v>
      </c>
      <c r="S25" s="3268">
        <f>F25</f>
        <v>100</v>
      </c>
      <c r="T25" s="3267" t="s">
        <v>3048</v>
      </c>
      <c r="U25" s="3268">
        <f>H25</f>
        <v>100</v>
      </c>
      <c r="V25" s="3267" t="s">
        <v>3048</v>
      </c>
      <c r="W25" s="3268">
        <f>J25</f>
        <v>100</v>
      </c>
      <c r="X25" s="3200"/>
      <c r="Y25" s="4209"/>
      <c r="Z25" s="3269" t="str">
        <f>Q25</f>
        <v>区域土地利用方向</v>
      </c>
      <c r="AA25" s="3269">
        <f t="shared" si="3"/>
        <v>1</v>
      </c>
      <c r="AB25" s="3269">
        <f t="shared" si="4"/>
        <v>1</v>
      </c>
      <c r="AC25" s="3269">
        <f t="shared" si="5"/>
        <v>1</v>
      </c>
    </row>
    <row r="26" spans="1:29" ht="20.25">
      <c r="A26" s="3202"/>
      <c r="B26" s="3290"/>
      <c r="C26" s="3272" t="s">
        <v>3056</v>
      </c>
      <c r="D26" s="3273"/>
      <c r="E26" s="3274" t="s">
        <v>3056</v>
      </c>
      <c r="F26" s="3275"/>
      <c r="G26" s="3272" t="s">
        <v>3056</v>
      </c>
      <c r="H26" s="3275"/>
      <c r="I26" s="3274" t="s">
        <v>3056</v>
      </c>
      <c r="J26" s="3275"/>
      <c r="K26" s="3233"/>
      <c r="L26" s="3253"/>
      <c r="M26" s="3184"/>
      <c r="N26" s="3184"/>
      <c r="O26" s="3242"/>
      <c r="P26" s="4209"/>
      <c r="Q26" s="3266"/>
      <c r="R26" s="3267"/>
      <c r="S26" s="3268"/>
      <c r="T26" s="3267"/>
      <c r="U26" s="3268"/>
      <c r="V26" s="3267"/>
      <c r="W26" s="3268"/>
      <c r="X26" s="3200"/>
      <c r="Y26" s="4209"/>
      <c r="Z26" s="3269"/>
      <c r="AA26" s="3269"/>
      <c r="AB26" s="3269"/>
      <c r="AC26" s="3269"/>
    </row>
    <row r="27" spans="1:29" ht="128.25">
      <c r="A27" s="3202"/>
      <c r="B27" s="3259" t="s">
        <v>3057</v>
      </c>
      <c r="C27" s="3278" t="str">
        <f>[1]估价对象房地状况!C20</f>
        <v>估价对象周边无大型绿化，公园等自然环境一般：周边有长沙理工大学，无其他博物馆，图书馆等人文环境一般；综合评价环境状况一般。</v>
      </c>
      <c r="D27" s="3279">
        <v>100</v>
      </c>
      <c r="E27" s="3280" t="s">
        <v>3058</v>
      </c>
      <c r="F27" s="3276">
        <f>SUMIF(100:100,E28,101:101)-SUMIF(100:100,C28,101:101)+100</f>
        <v>100</v>
      </c>
      <c r="G27" s="3281" t="s">
        <v>3059</v>
      </c>
      <c r="H27" s="3276">
        <f>SUMIF(100:100,G28,101:101)-SUMIF(100:100,C28,101:101)+100</f>
        <v>100</v>
      </c>
      <c r="I27" s="3280" t="s">
        <v>3060</v>
      </c>
      <c r="J27" s="3276">
        <f>SUMIF(100:100,I28,101:101)-SUMIF(100:100,C28,101:101)+100</f>
        <v>100</v>
      </c>
      <c r="K27" s="3265">
        <v>2</v>
      </c>
      <c r="L27" s="3253"/>
      <c r="M27" s="3184"/>
      <c r="N27" s="3184"/>
      <c r="O27" s="3242"/>
      <c r="P27" s="4209"/>
      <c r="Q27" s="3266" t="str">
        <f t="shared" si="8"/>
        <v>自然及人文环境状况</v>
      </c>
      <c r="R27" s="3267" t="s">
        <v>3048</v>
      </c>
      <c r="S27" s="3268">
        <f>F27</f>
        <v>100</v>
      </c>
      <c r="T27" s="3267" t="s">
        <v>3048</v>
      </c>
      <c r="U27" s="3268">
        <f>H27</f>
        <v>100</v>
      </c>
      <c r="V27" s="3267" t="s">
        <v>3048</v>
      </c>
      <c r="W27" s="3268">
        <f>J27</f>
        <v>100</v>
      </c>
      <c r="X27" s="3200"/>
      <c r="Y27" s="4209"/>
      <c r="Z27" s="3269" t="str">
        <f>Q27</f>
        <v>自然及人文环境状况</v>
      </c>
      <c r="AA27" s="3269">
        <f t="shared" si="3"/>
        <v>1</v>
      </c>
      <c r="AB27" s="3269">
        <f t="shared" si="4"/>
        <v>1</v>
      </c>
      <c r="AC27" s="3269">
        <f t="shared" si="5"/>
        <v>1</v>
      </c>
    </row>
    <row r="28" spans="1:29" ht="20.25">
      <c r="A28" s="3202"/>
      <c r="B28" s="3283"/>
      <c r="C28" s="3272" t="s">
        <v>3043</v>
      </c>
      <c r="D28" s="3273"/>
      <c r="E28" s="3274" t="s">
        <v>3043</v>
      </c>
      <c r="F28" s="3275"/>
      <c r="G28" s="3272" t="s">
        <v>3043</v>
      </c>
      <c r="H28" s="3275"/>
      <c r="I28" s="3274" t="s">
        <v>3043</v>
      </c>
      <c r="J28" s="3275"/>
      <c r="K28" s="3233"/>
      <c r="L28" s="3253"/>
      <c r="M28" s="3184"/>
      <c r="N28" s="3184"/>
      <c r="O28" s="3242"/>
      <c r="P28" s="4209"/>
      <c r="Q28" s="3266"/>
      <c r="R28" s="3267"/>
      <c r="S28" s="3268"/>
      <c r="T28" s="3267"/>
      <c r="U28" s="3268"/>
      <c r="V28" s="3267"/>
      <c r="W28" s="3268"/>
      <c r="X28" s="3200"/>
      <c r="Y28" s="4209"/>
      <c r="Z28" s="3269"/>
      <c r="AA28" s="3269">
        <v>1</v>
      </c>
      <c r="AB28" s="3269">
        <v>1</v>
      </c>
      <c r="AC28" s="3269">
        <v>1</v>
      </c>
    </row>
    <row r="29" spans="1:29" s="3217" customFormat="1" ht="42.75">
      <c r="A29" s="3291"/>
      <c r="B29" s="3292" t="s">
        <v>3061</v>
      </c>
      <c r="C29" s="3278" t="str">
        <f>[1]估价对象房地状况!C21</f>
        <v>估价对象所在区域公共配套设施较齐备。</v>
      </c>
      <c r="D29" s="3279">
        <v>100</v>
      </c>
      <c r="E29" s="3280" t="s">
        <v>3062</v>
      </c>
      <c r="F29" s="3276">
        <f>SUMIF(102:102,E30,103:103)-SUMIF(102:102,C30,103:103)+100</f>
        <v>100</v>
      </c>
      <c r="G29" s="3281" t="s">
        <v>3062</v>
      </c>
      <c r="H29" s="3276">
        <f>SUMIF(102:102,G30,103:103)-SUMIF(102:102,C30,103:103)+100</f>
        <v>100</v>
      </c>
      <c r="I29" s="3280" t="s">
        <v>3062</v>
      </c>
      <c r="J29" s="3276">
        <f>SUMIF(102:102,I30,103:103)-SUMIF(102:102,C30,103:103)+100</f>
        <v>100</v>
      </c>
      <c r="K29" s="3265">
        <v>2</v>
      </c>
      <c r="L29" s="3211"/>
      <c r="M29" s="3184"/>
      <c r="N29" s="3184"/>
      <c r="O29" s="3227"/>
      <c r="P29" s="4209"/>
      <c r="Q29" s="3228" t="str">
        <f t="shared" si="8"/>
        <v>公共配套设施</v>
      </c>
      <c r="R29" s="3213" t="s">
        <v>3048</v>
      </c>
      <c r="S29" s="3214">
        <f>F29</f>
        <v>100</v>
      </c>
      <c r="T29" s="3213" t="s">
        <v>3048</v>
      </c>
      <c r="U29" s="3214">
        <f>H29</f>
        <v>100</v>
      </c>
      <c r="V29" s="3213" t="s">
        <v>3048</v>
      </c>
      <c r="W29" s="3214">
        <f>J29</f>
        <v>100</v>
      </c>
      <c r="X29" s="3215"/>
      <c r="Y29" s="4209"/>
      <c r="Z29" s="3216" t="str">
        <f>Q29</f>
        <v>公共配套设施</v>
      </c>
      <c r="AA29" s="3269">
        <f>D29/F29</f>
        <v>1</v>
      </c>
      <c r="AB29" s="3269">
        <f>D29/H29</f>
        <v>1</v>
      </c>
      <c r="AC29" s="3269">
        <f>D29/J29</f>
        <v>1</v>
      </c>
    </row>
    <row r="30" spans="1:29" s="3217" customFormat="1" ht="20.25">
      <c r="A30" s="3291"/>
      <c r="B30" s="3283"/>
      <c r="C30" s="3293" t="s">
        <v>3044</v>
      </c>
      <c r="D30" s="3273"/>
      <c r="E30" s="3274" t="s">
        <v>3044</v>
      </c>
      <c r="F30" s="3275"/>
      <c r="G30" s="3272" t="s">
        <v>3044</v>
      </c>
      <c r="H30" s="3275"/>
      <c r="I30" s="3274" t="s">
        <v>3044</v>
      </c>
      <c r="J30" s="3275"/>
      <c r="K30" s="3233"/>
      <c r="L30" s="3211"/>
      <c r="M30" s="3184"/>
      <c r="N30" s="3184"/>
      <c r="O30" s="3227"/>
      <c r="P30" s="4209"/>
      <c r="Q30" s="3228"/>
      <c r="R30" s="3213"/>
      <c r="S30" s="3214"/>
      <c r="T30" s="3213"/>
      <c r="U30" s="3214"/>
      <c r="V30" s="3213"/>
      <c r="W30" s="3214"/>
      <c r="X30" s="3215"/>
      <c r="Y30" s="4209"/>
      <c r="Z30" s="3216"/>
      <c r="AA30" s="3269">
        <v>1</v>
      </c>
      <c r="AB30" s="3269">
        <v>1</v>
      </c>
      <c r="AC30" s="3269">
        <v>1</v>
      </c>
    </row>
    <row r="31" spans="1:29" s="3217" customFormat="1" ht="20.25">
      <c r="A31" s="3291"/>
      <c r="B31" s="3292" t="s">
        <v>3063</v>
      </c>
      <c r="C31" s="3278" t="str">
        <f>[1]估价对象房地状况!C22</f>
        <v>六通</v>
      </c>
      <c r="D31" s="3279">
        <v>100</v>
      </c>
      <c r="E31" s="3280" t="s">
        <v>3064</v>
      </c>
      <c r="F31" s="3276">
        <f>SUMIF(104:104,E32,105:105)-SUMIF(104:104,C32,105:105)+100</f>
        <v>100</v>
      </c>
      <c r="G31" s="3280" t="s">
        <v>3064</v>
      </c>
      <c r="H31" s="3276">
        <f>SUMIF(104:104,G32,105:105)-SUMIF(104:104,C32,105:105)+100</f>
        <v>100</v>
      </c>
      <c r="I31" s="3280" t="s">
        <v>3064</v>
      </c>
      <c r="J31" s="3276">
        <f>SUMIF(104:104,I32,105:105)-SUMIF(104:104,C32,105:105)+100</f>
        <v>100</v>
      </c>
      <c r="K31" s="3265">
        <v>1</v>
      </c>
      <c r="L31" s="3211"/>
      <c r="M31" s="3184"/>
      <c r="N31" s="3184"/>
      <c r="O31" s="3227"/>
      <c r="P31" s="4209"/>
      <c r="Q31" s="3228" t="str">
        <f t="shared" ref="Q31" si="9">B31</f>
        <v>基础设施水平</v>
      </c>
      <c r="R31" s="3213" t="s">
        <v>3065</v>
      </c>
      <c r="S31" s="3214">
        <f>F31</f>
        <v>100</v>
      </c>
      <c r="T31" s="3213" t="s">
        <v>3066</v>
      </c>
      <c r="U31" s="3214">
        <f>H31</f>
        <v>100</v>
      </c>
      <c r="V31" s="3213" t="s">
        <v>3067</v>
      </c>
      <c r="W31" s="3214">
        <f>J31</f>
        <v>100</v>
      </c>
      <c r="X31" s="3215"/>
      <c r="Y31" s="4209"/>
      <c r="Z31" s="3216" t="str">
        <f>Q31</f>
        <v>基础设施水平</v>
      </c>
      <c r="AA31" s="3269">
        <f>D31/F31</f>
        <v>1</v>
      </c>
      <c r="AB31" s="3269">
        <f>D31/H31</f>
        <v>1</v>
      </c>
      <c r="AC31" s="3269">
        <f>D31/J31</f>
        <v>1</v>
      </c>
    </row>
    <row r="32" spans="1:29" s="3217" customFormat="1" ht="20.25">
      <c r="A32" s="3291"/>
      <c r="B32" s="3283"/>
      <c r="C32" s="3293" t="s">
        <v>3068</v>
      </c>
      <c r="D32" s="3273"/>
      <c r="E32" s="3294" t="s">
        <v>3068</v>
      </c>
      <c r="F32" s="3275"/>
      <c r="G32" s="3293" t="s">
        <v>3068</v>
      </c>
      <c r="H32" s="3275"/>
      <c r="I32" s="3293" t="s">
        <v>3068</v>
      </c>
      <c r="J32" s="3275"/>
      <c r="K32" s="3233"/>
      <c r="L32" s="3211"/>
      <c r="M32" s="3184"/>
      <c r="N32" s="3184"/>
      <c r="O32" s="3227"/>
      <c r="P32" s="4209"/>
      <c r="Q32" s="3228"/>
      <c r="R32" s="3213"/>
      <c r="S32" s="3214"/>
      <c r="T32" s="3213"/>
      <c r="U32" s="3214"/>
      <c r="V32" s="3213"/>
      <c r="W32" s="3214"/>
      <c r="X32" s="3215"/>
      <c r="Y32" s="4209"/>
      <c r="Z32" s="3216"/>
      <c r="AA32" s="3269">
        <v>1</v>
      </c>
      <c r="AB32" s="3269">
        <v>1</v>
      </c>
      <c r="AC32" s="3269">
        <v>1</v>
      </c>
    </row>
    <row r="33" spans="1:29" ht="20.25">
      <c r="A33" s="3270"/>
      <c r="B33" s="3283" t="s">
        <v>3069</v>
      </c>
      <c r="C33" s="3295" t="s">
        <v>3070</v>
      </c>
      <c r="D33" s="3296">
        <v>100</v>
      </c>
      <c r="E33" s="3297" t="s">
        <v>3070</v>
      </c>
      <c r="F33" s="3250">
        <f>SUMIF(106:106,E33,107:107)-SUMIF(106:106,C33,107:107)+100</f>
        <v>100</v>
      </c>
      <c r="G33" s="3295" t="s">
        <v>3070</v>
      </c>
      <c r="H33" s="3250">
        <f>SUMIF(106:106,G33,107:107)-SUMIF(106:106,C33,107:107)+100</f>
        <v>100</v>
      </c>
      <c r="I33" s="3295" t="s">
        <v>3070</v>
      </c>
      <c r="J33" s="3250">
        <f>SUMIF(106:106,I33,107:107)-SUMIF(106:106,C33,107:107)+100</f>
        <v>100</v>
      </c>
      <c r="K33" s="3265">
        <v>2</v>
      </c>
      <c r="L33" s="3253"/>
      <c r="M33" s="3184"/>
      <c r="N33" s="3184"/>
      <c r="O33" s="3242"/>
      <c r="P33" s="4209"/>
      <c r="Q33" s="3266" t="str">
        <f t="shared" si="8"/>
        <v>临街状况</v>
      </c>
      <c r="R33" s="3267" t="s">
        <v>3071</v>
      </c>
      <c r="S33" s="3268">
        <f t="shared" ref="S33:S47" si="10">F33</f>
        <v>100</v>
      </c>
      <c r="T33" s="3267" t="s">
        <v>3035</v>
      </c>
      <c r="U33" s="3268">
        <f t="shared" ref="U33:U47" si="11">H33</f>
        <v>100</v>
      </c>
      <c r="V33" s="3267" t="s">
        <v>3066</v>
      </c>
      <c r="W33" s="3268">
        <f t="shared" ref="W33:W47" si="12">J33</f>
        <v>100</v>
      </c>
      <c r="X33" s="3200"/>
      <c r="Y33" s="4209"/>
      <c r="Z33" s="3269" t="str">
        <f t="shared" ref="Z33:Z47" si="13">Q33</f>
        <v>临街状况</v>
      </c>
      <c r="AA33" s="3269">
        <f t="shared" si="3"/>
        <v>1</v>
      </c>
      <c r="AB33" s="3269">
        <f t="shared" si="4"/>
        <v>1</v>
      </c>
      <c r="AC33" s="3269">
        <f t="shared" si="5"/>
        <v>1</v>
      </c>
    </row>
    <row r="34" spans="1:29" ht="27">
      <c r="A34" s="3270"/>
      <c r="B34" s="3259" t="s">
        <v>3072</v>
      </c>
      <c r="C34" s="3281" t="s">
        <v>3073</v>
      </c>
      <c r="D34" s="3279">
        <v>100</v>
      </c>
      <c r="E34" s="3281" t="s">
        <v>3074</v>
      </c>
      <c r="F34" s="3276">
        <f>SUMIF(108:108,E35,109:109)-SUMIF(108:108,C35,109:109)+100</f>
        <v>100</v>
      </c>
      <c r="G34" s="3281" t="s">
        <v>3075</v>
      </c>
      <c r="H34" s="3276">
        <f>SUMIF(108:108,G35,109:109)-SUMIF(108:108,C35,109:109)+100</f>
        <v>100</v>
      </c>
      <c r="I34" s="3281" t="s">
        <v>3076</v>
      </c>
      <c r="J34" s="3276">
        <f>SUMIF(108:108,I35,109:109)-SUMIF(108:108,C35,109:109)+100</f>
        <v>100</v>
      </c>
      <c r="K34" s="3265">
        <v>2</v>
      </c>
      <c r="L34" s="3253"/>
      <c r="M34" s="3184"/>
      <c r="N34" s="3184"/>
      <c r="O34" s="3242"/>
      <c r="P34" s="4209"/>
      <c r="Q34" s="3266" t="str">
        <f t="shared" si="8"/>
        <v>毗邻道路的类型与等级</v>
      </c>
      <c r="R34" s="3267" t="s">
        <v>3077</v>
      </c>
      <c r="S34" s="3268">
        <f t="shared" si="10"/>
        <v>100</v>
      </c>
      <c r="T34" s="3267" t="s">
        <v>3077</v>
      </c>
      <c r="U34" s="3268">
        <f t="shared" si="11"/>
        <v>100</v>
      </c>
      <c r="V34" s="3267" t="s">
        <v>3077</v>
      </c>
      <c r="W34" s="3268">
        <f t="shared" si="12"/>
        <v>100</v>
      </c>
      <c r="X34" s="3200"/>
      <c r="Y34" s="4209"/>
      <c r="Z34" s="3269" t="str">
        <f t="shared" si="13"/>
        <v>毗邻道路的类型与等级</v>
      </c>
      <c r="AA34" s="3269">
        <f t="shared" si="3"/>
        <v>1</v>
      </c>
      <c r="AB34" s="3269">
        <f t="shared" si="4"/>
        <v>1</v>
      </c>
      <c r="AC34" s="3269">
        <f t="shared" si="5"/>
        <v>1</v>
      </c>
    </row>
    <row r="35" spans="1:29" ht="21" thickBot="1">
      <c r="A35" s="3270"/>
      <c r="B35" s="3283"/>
      <c r="C35" s="3272" t="s">
        <v>3078</v>
      </c>
      <c r="D35" s="3273"/>
      <c r="E35" s="3274" t="s">
        <v>3078</v>
      </c>
      <c r="F35" s="3275"/>
      <c r="G35" s="3272" t="s">
        <v>3078</v>
      </c>
      <c r="H35" s="3275"/>
      <c r="I35" s="3274" t="s">
        <v>3078</v>
      </c>
      <c r="J35" s="3275"/>
      <c r="K35" s="3298"/>
      <c r="L35" s="3253"/>
      <c r="M35" s="3184"/>
      <c r="N35" s="3184"/>
      <c r="O35" s="3242"/>
      <c r="P35" s="4209"/>
      <c r="Q35" s="3266"/>
      <c r="R35" s="3267"/>
      <c r="S35" s="3268"/>
      <c r="T35" s="3267"/>
      <c r="U35" s="3268"/>
      <c r="V35" s="3267"/>
      <c r="W35" s="3268"/>
      <c r="X35" s="3200"/>
      <c r="Y35" s="4209"/>
      <c r="Z35" s="3269"/>
      <c r="AA35" s="3269">
        <v>1</v>
      </c>
      <c r="AB35" s="3269">
        <v>1</v>
      </c>
      <c r="AC35" s="3269">
        <v>1</v>
      </c>
    </row>
    <row r="36" spans="1:29" ht="21" hidden="1" thickBot="1">
      <c r="A36" s="3270"/>
      <c r="B36" s="3231" t="s">
        <v>3079</v>
      </c>
      <c r="C36" s="3295"/>
      <c r="D36" s="3296">
        <v>100</v>
      </c>
      <c r="E36" s="3297"/>
      <c r="F36" s="3250">
        <f>SUMIF(110:110,E36,111:111)-SUMIF(110:110,C36,111:111)+100</f>
        <v>100</v>
      </c>
      <c r="G36" s="3295"/>
      <c r="H36" s="3250">
        <f>SUMIF(110:110,G36,111:111)-SUMIF(110:110,C36,111:111)+100</f>
        <v>100</v>
      </c>
      <c r="I36" s="3297"/>
      <c r="J36" s="3250">
        <f>SUMIF(110:110,I36,111:111)-SUMIF(110:110,C36,111:111)+100</f>
        <v>100</v>
      </c>
      <c r="K36" s="3299"/>
      <c r="L36" s="3253"/>
      <c r="M36" s="3184"/>
      <c r="N36" s="3184"/>
      <c r="O36" s="3242"/>
      <c r="P36" s="4209"/>
      <c r="Q36" s="3266" t="str">
        <f t="shared" si="8"/>
        <v>土地级别</v>
      </c>
      <c r="R36" s="3267" t="s">
        <v>3077</v>
      </c>
      <c r="S36" s="3268">
        <f t="shared" si="10"/>
        <v>100</v>
      </c>
      <c r="T36" s="3267" t="s">
        <v>3077</v>
      </c>
      <c r="U36" s="3268">
        <f t="shared" si="11"/>
        <v>100</v>
      </c>
      <c r="V36" s="3267" t="s">
        <v>3077</v>
      </c>
      <c r="W36" s="3268">
        <f t="shared" si="12"/>
        <v>100</v>
      </c>
      <c r="X36" s="3200"/>
      <c r="Y36" s="4209"/>
      <c r="Z36" s="3269" t="str">
        <f t="shared" si="13"/>
        <v>土地级别</v>
      </c>
      <c r="AA36" s="3269">
        <f t="shared" si="3"/>
        <v>1</v>
      </c>
      <c r="AB36" s="3269">
        <f t="shared" si="4"/>
        <v>1</v>
      </c>
      <c r="AC36" s="3269">
        <f t="shared" si="5"/>
        <v>1</v>
      </c>
    </row>
    <row r="37" spans="1:29" ht="21" hidden="1" thickBot="1">
      <c r="A37" s="3202"/>
      <c r="B37" s="3300"/>
      <c r="C37" s="3301"/>
      <c r="D37" s="3296">
        <v>100</v>
      </c>
      <c r="E37" s="3252"/>
      <c r="F37" s="3250">
        <f>SUMIF(112:112,E37,113:113)-SUMIF(112:112,C37,113:113)+100</f>
        <v>100</v>
      </c>
      <c r="G37" s="3301"/>
      <c r="H37" s="3250">
        <f>SUMIF(112:112,G37,113:113)-SUMIF(112:112,C37,113:113)+100</f>
        <v>100</v>
      </c>
      <c r="I37" s="3252"/>
      <c r="J37" s="3250">
        <f>SUMIF(112:112,I37,113:113)-SUMIF(112:112,C37,113:113)+100</f>
        <v>100</v>
      </c>
      <c r="K37" s="3298"/>
      <c r="L37" s="3253"/>
      <c r="M37" s="3184"/>
      <c r="N37" s="3184"/>
      <c r="O37" s="3242"/>
      <c r="P37" s="4209"/>
      <c r="Q37" s="3266">
        <f t="shared" si="8"/>
        <v>0</v>
      </c>
      <c r="R37" s="3267" t="s">
        <v>3035</v>
      </c>
      <c r="S37" s="3268">
        <f t="shared" si="10"/>
        <v>100</v>
      </c>
      <c r="T37" s="3267" t="s">
        <v>3035</v>
      </c>
      <c r="U37" s="3268">
        <f t="shared" si="11"/>
        <v>100</v>
      </c>
      <c r="V37" s="3267" t="s">
        <v>3035</v>
      </c>
      <c r="W37" s="3268">
        <f t="shared" si="12"/>
        <v>100</v>
      </c>
      <c r="X37" s="3200"/>
      <c r="Y37" s="4209"/>
      <c r="Z37" s="3269">
        <f t="shared" si="13"/>
        <v>0</v>
      </c>
      <c r="AA37" s="3269">
        <f t="shared" si="3"/>
        <v>1</v>
      </c>
      <c r="AB37" s="3269">
        <f t="shared" si="4"/>
        <v>1</v>
      </c>
      <c r="AC37" s="3269">
        <f t="shared" si="5"/>
        <v>1</v>
      </c>
    </row>
    <row r="38" spans="1:29" ht="21" hidden="1" thickBot="1">
      <c r="A38" s="3302"/>
      <c r="B38" s="3303"/>
      <c r="C38" s="3301"/>
      <c r="D38" s="3296">
        <v>100</v>
      </c>
      <c r="E38" s="3252"/>
      <c r="F38" s="3250">
        <f>SUMIF(114:114,E39,115:115)-SUMIF(114:114,C39,115:115)+100</f>
        <v>100</v>
      </c>
      <c r="G38" s="3301"/>
      <c r="H38" s="3250">
        <f>SUMIF(114:114,G38,115:115)-SUMIF(114:114,C38,115:115)+100</f>
        <v>100</v>
      </c>
      <c r="I38" s="3252"/>
      <c r="J38" s="3250">
        <f>SUMIF(114:114,I38,115:115)-SUMIF(114:114,C38,115:115)+100</f>
        <v>100</v>
      </c>
      <c r="K38" s="3298"/>
      <c r="L38" s="3253"/>
      <c r="M38" s="3184"/>
      <c r="N38" s="3184"/>
      <c r="O38" s="3242"/>
      <c r="P38" s="4213" t="s">
        <v>551</v>
      </c>
      <c r="Q38" s="3266">
        <f t="shared" si="8"/>
        <v>0</v>
      </c>
      <c r="R38" s="3267" t="s">
        <v>3035</v>
      </c>
      <c r="S38" s="3268">
        <f t="shared" si="10"/>
        <v>100</v>
      </c>
      <c r="T38" s="3267" t="s">
        <v>3035</v>
      </c>
      <c r="U38" s="3268">
        <f t="shared" si="11"/>
        <v>100</v>
      </c>
      <c r="V38" s="3267" t="s">
        <v>3035</v>
      </c>
      <c r="W38" s="3268">
        <f t="shared" si="12"/>
        <v>100</v>
      </c>
      <c r="X38" s="3200"/>
      <c r="Y38" s="4214" t="s">
        <v>551</v>
      </c>
      <c r="Z38" s="3269">
        <f t="shared" si="13"/>
        <v>0</v>
      </c>
      <c r="AA38" s="3269">
        <f t="shared" si="3"/>
        <v>1</v>
      </c>
      <c r="AB38" s="3269">
        <f t="shared" si="4"/>
        <v>1</v>
      </c>
      <c r="AC38" s="3269">
        <f t="shared" si="5"/>
        <v>1</v>
      </c>
    </row>
    <row r="39" spans="1:29" s="3314" customFormat="1" ht="21" hidden="1" thickBot="1">
      <c r="A39" s="3304"/>
      <c r="B39" s="3305"/>
      <c r="C39" s="3288"/>
      <c r="D39" s="3306">
        <v>100</v>
      </c>
      <c r="E39" s="3307"/>
      <c r="F39" s="3257">
        <f>SUMIF(116:116,E39,117:117)-SUMIF(116:116,C39,117:117)+100</f>
        <v>100</v>
      </c>
      <c r="G39" s="3308"/>
      <c r="H39" s="3257">
        <f>SUMIF(116:116,G39,117:117)-SUMIF(116:116,C39,117:117)+100</f>
        <v>100</v>
      </c>
      <c r="I39" s="3307"/>
      <c r="J39" s="3257">
        <f>SUMIF(116:116,I39,117:117)-SUMIF(116:116,C39,117:117)+100</f>
        <v>100</v>
      </c>
      <c r="K39" s="3298"/>
      <c r="L39" s="3241"/>
      <c r="M39" s="3184"/>
      <c r="N39" s="3184"/>
      <c r="O39" s="3309"/>
      <c r="P39" s="4214"/>
      <c r="Q39" s="3266">
        <f t="shared" si="8"/>
        <v>0</v>
      </c>
      <c r="R39" s="3310" t="s">
        <v>3035</v>
      </c>
      <c r="S39" s="3311">
        <f t="shared" si="10"/>
        <v>100</v>
      </c>
      <c r="T39" s="3310" t="s">
        <v>3035</v>
      </c>
      <c r="U39" s="3311">
        <f t="shared" si="11"/>
        <v>100</v>
      </c>
      <c r="V39" s="3310" t="s">
        <v>3035</v>
      </c>
      <c r="W39" s="3311">
        <f t="shared" si="12"/>
        <v>100</v>
      </c>
      <c r="X39" s="3312"/>
      <c r="Y39" s="4214"/>
      <c r="Z39" s="3313">
        <f t="shared" si="13"/>
        <v>0</v>
      </c>
      <c r="AA39" s="3269">
        <f t="shared" si="3"/>
        <v>1</v>
      </c>
      <c r="AB39" s="3269">
        <f t="shared" si="4"/>
        <v>1</v>
      </c>
      <c r="AC39" s="3269">
        <f t="shared" si="5"/>
        <v>1</v>
      </c>
    </row>
    <row r="40" spans="1:29" ht="20.25">
      <c r="A40" s="3315" t="s">
        <v>3080</v>
      </c>
      <c r="B40" s="3316" t="s">
        <v>594</v>
      </c>
      <c r="C40" s="3317">
        <f>'[1]数据-基础表'!A3</f>
        <v>242832.6</v>
      </c>
      <c r="D40" s="3318">
        <v>100</v>
      </c>
      <c r="E40" s="3317">
        <f>[1]土地案例!C8</f>
        <v>64418.47</v>
      </c>
      <c r="F40" s="3318">
        <f>LOOKUP(E40,119:119,120:120)-LOOKUP(C40,119:119,120:120)+100</f>
        <v>96</v>
      </c>
      <c r="G40" s="3317">
        <f>[1]土地案例!C19</f>
        <v>23636.68</v>
      </c>
      <c r="H40" s="3318">
        <f>LOOKUP(G40,119:119,120:120)-LOOKUP(C40,119:119,120:120)+100</f>
        <v>94</v>
      </c>
      <c r="I40" s="3319">
        <f>[1]土地案例!C56</f>
        <v>25642.04</v>
      </c>
      <c r="J40" s="3318">
        <f>LOOKUP(I40,119:119,120:120)-LOOKUP(C40,119:119,120:120)+100</f>
        <v>94</v>
      </c>
      <c r="K40" s="3298"/>
      <c r="L40" s="3253"/>
      <c r="M40" s="3184"/>
      <c r="N40" s="3184"/>
      <c r="O40" s="3242"/>
      <c r="P40" s="4214"/>
      <c r="Q40" s="3266" t="str">
        <f>B40</f>
        <v>宗地面积</v>
      </c>
      <c r="R40" s="3267" t="s">
        <v>3035</v>
      </c>
      <c r="S40" s="3268">
        <f t="shared" si="10"/>
        <v>96</v>
      </c>
      <c r="T40" s="3267" t="s">
        <v>3035</v>
      </c>
      <c r="U40" s="3268">
        <f t="shared" si="11"/>
        <v>94</v>
      </c>
      <c r="V40" s="3267" t="s">
        <v>3035</v>
      </c>
      <c r="W40" s="3268">
        <f t="shared" si="12"/>
        <v>94</v>
      </c>
      <c r="X40" s="3200"/>
      <c r="Y40" s="4214"/>
      <c r="Z40" s="3269" t="str">
        <f t="shared" si="13"/>
        <v>宗地面积</v>
      </c>
      <c r="AA40" s="3269">
        <f t="shared" si="3"/>
        <v>1.0416666666666667</v>
      </c>
      <c r="AB40" s="3269">
        <f t="shared" si="4"/>
        <v>1.0638297872340425</v>
      </c>
      <c r="AC40" s="3269">
        <f t="shared" si="5"/>
        <v>1.0638297872340425</v>
      </c>
    </row>
    <row r="41" spans="1:29" ht="20.25">
      <c r="A41" s="3320"/>
      <c r="B41" s="3321" t="s">
        <v>595</v>
      </c>
      <c r="C41" s="3322" t="s">
        <v>3081</v>
      </c>
      <c r="D41" s="3250">
        <v>100</v>
      </c>
      <c r="E41" s="3322" t="s">
        <v>3081</v>
      </c>
      <c r="F41" s="3250">
        <f>SUMIF(121:121,E41,122:122)-SUMIF(121:121,C41,122:122)+100</f>
        <v>100</v>
      </c>
      <c r="G41" s="3322" t="s">
        <v>3081</v>
      </c>
      <c r="H41" s="3250">
        <f>SUMIF(121:121,G41,122:122)-SUMIF(121:121,C41,122:122)+100</f>
        <v>100</v>
      </c>
      <c r="I41" s="3322" t="s">
        <v>3081</v>
      </c>
      <c r="J41" s="3250">
        <f>SUMIF(121:121,I41,122:122)-SUMIF(121:121,C41,122:122)+100</f>
        <v>100</v>
      </c>
      <c r="K41" s="3299"/>
      <c r="L41" s="3253"/>
      <c r="M41" s="3184"/>
      <c r="N41" s="3184"/>
      <c r="O41" s="3242"/>
      <c r="P41" s="4214"/>
      <c r="Q41" s="3266" t="str">
        <f t="shared" ref="Q41:Q47" si="14">B41</f>
        <v>宗地形状</v>
      </c>
      <c r="R41" s="3267" t="s">
        <v>3066</v>
      </c>
      <c r="S41" s="3268">
        <f t="shared" si="10"/>
        <v>100</v>
      </c>
      <c r="T41" s="3267" t="s">
        <v>3066</v>
      </c>
      <c r="U41" s="3268">
        <f t="shared" si="11"/>
        <v>100</v>
      </c>
      <c r="V41" s="3267" t="s">
        <v>3066</v>
      </c>
      <c r="W41" s="3268">
        <f t="shared" si="12"/>
        <v>100</v>
      </c>
      <c r="X41" s="3200"/>
      <c r="Y41" s="4214"/>
      <c r="Z41" s="3269" t="str">
        <f t="shared" si="13"/>
        <v>宗地形状</v>
      </c>
      <c r="AA41" s="3269">
        <f t="shared" si="3"/>
        <v>1</v>
      </c>
      <c r="AB41" s="3269">
        <f t="shared" si="4"/>
        <v>1</v>
      </c>
      <c r="AC41" s="3269">
        <f t="shared" si="5"/>
        <v>1</v>
      </c>
    </row>
    <row r="42" spans="1:29" ht="20.25" hidden="1">
      <c r="A42" s="3320"/>
      <c r="B42" s="3321" t="s">
        <v>596</v>
      </c>
      <c r="C42" s="3322"/>
      <c r="D42" s="3250">
        <v>100</v>
      </c>
      <c r="E42" s="3322"/>
      <c r="F42" s="3250">
        <f>SUMIF(123:123,E42,124:124)-SUMIF(123:123,C42,124:124)+100</f>
        <v>100</v>
      </c>
      <c r="G42" s="3322"/>
      <c r="H42" s="3250">
        <f>SUMIF(123:123,G42,124:124)-SUMIF(123:123,C42,124:124)+100</f>
        <v>100</v>
      </c>
      <c r="I42" s="3322"/>
      <c r="J42" s="3250">
        <f>SUMIF(123:123,I42,124:124)-SUMIF(123:123,C42,124:124)+100</f>
        <v>100</v>
      </c>
      <c r="K42" s="3299"/>
      <c r="L42" s="3253"/>
      <c r="M42" s="3184"/>
      <c r="N42" s="3184"/>
      <c r="O42" s="3242"/>
      <c r="P42" s="4214"/>
      <c r="Q42" s="3266" t="str">
        <f t="shared" si="14"/>
        <v>临街宽度及深度</v>
      </c>
      <c r="R42" s="3267" t="s">
        <v>3035</v>
      </c>
      <c r="S42" s="3268">
        <f t="shared" si="10"/>
        <v>100</v>
      </c>
      <c r="T42" s="3267" t="s">
        <v>3035</v>
      </c>
      <c r="U42" s="3268">
        <f t="shared" si="11"/>
        <v>100</v>
      </c>
      <c r="V42" s="3267" t="s">
        <v>3035</v>
      </c>
      <c r="W42" s="3268">
        <f t="shared" si="12"/>
        <v>100</v>
      </c>
      <c r="X42" s="3200"/>
      <c r="Y42" s="4214"/>
      <c r="Z42" s="3269" t="str">
        <f t="shared" si="13"/>
        <v>临街宽度及深度</v>
      </c>
      <c r="AA42" s="3269">
        <f t="shared" si="3"/>
        <v>1</v>
      </c>
      <c r="AB42" s="3269">
        <f t="shared" si="4"/>
        <v>1</v>
      </c>
      <c r="AC42" s="3269">
        <f t="shared" si="5"/>
        <v>1</v>
      </c>
    </row>
    <row r="43" spans="1:29" s="3217" customFormat="1" ht="20.25">
      <c r="A43" s="3323"/>
      <c r="B43" s="3324" t="s">
        <v>2429</v>
      </c>
      <c r="C43" s="3325" t="s">
        <v>3082</v>
      </c>
      <c r="D43" s="3231">
        <v>100</v>
      </c>
      <c r="E43" s="3325" t="s">
        <v>3068</v>
      </c>
      <c r="F43" s="3250">
        <f>SUMIF(125:125,E43,126:126)-SUMIF(125:125,C43,126:126)+100</f>
        <v>103</v>
      </c>
      <c r="G43" s="3325" t="s">
        <v>3068</v>
      </c>
      <c r="H43" s="3250">
        <f>SUMIF(125:125,G43,126:126)-SUMIF(125:125,C43,126:126)+100</f>
        <v>103</v>
      </c>
      <c r="I43" s="3325" t="s">
        <v>3068</v>
      </c>
      <c r="J43" s="3250">
        <f>SUMIF(125:125,I43,126:126)-SUMIF(125:125,C43,126:126)+100</f>
        <v>103</v>
      </c>
      <c r="K43" s="3299">
        <v>1</v>
      </c>
      <c r="L43" s="3211"/>
      <c r="M43" s="3184"/>
      <c r="N43" s="3184"/>
      <c r="O43" s="3227"/>
      <c r="P43" s="4214"/>
      <c r="Q43" s="3266" t="str">
        <f t="shared" si="14"/>
        <v>宗地开发程度</v>
      </c>
      <c r="R43" s="3213" t="s">
        <v>3035</v>
      </c>
      <c r="S43" s="3214">
        <f t="shared" si="10"/>
        <v>103</v>
      </c>
      <c r="T43" s="3213" t="s">
        <v>3035</v>
      </c>
      <c r="U43" s="3214">
        <f t="shared" si="11"/>
        <v>103</v>
      </c>
      <c r="V43" s="3213" t="s">
        <v>3035</v>
      </c>
      <c r="W43" s="3214">
        <f t="shared" si="12"/>
        <v>103</v>
      </c>
      <c r="X43" s="3215"/>
      <c r="Y43" s="4214"/>
      <c r="Z43" s="3216" t="str">
        <f t="shared" si="13"/>
        <v>宗地开发程度</v>
      </c>
      <c r="AA43" s="3216">
        <f t="shared" si="3"/>
        <v>0.970873786407767</v>
      </c>
      <c r="AB43" s="3216">
        <f t="shared" si="4"/>
        <v>0.970873786407767</v>
      </c>
      <c r="AC43" s="3216">
        <f t="shared" si="5"/>
        <v>0.970873786407767</v>
      </c>
    </row>
    <row r="44" spans="1:29" ht="21" thickBot="1">
      <c r="A44" s="3320"/>
      <c r="B44" s="3321" t="s">
        <v>3083</v>
      </c>
      <c r="C44" s="3322" t="s">
        <v>3084</v>
      </c>
      <c r="D44" s="3250">
        <v>100</v>
      </c>
      <c r="E44" s="3322" t="s">
        <v>3084</v>
      </c>
      <c r="F44" s="3250">
        <f>SUMIF(127:127,E44,128:128)-SUMIF(127:127,C44,128:128)+100</f>
        <v>100</v>
      </c>
      <c r="G44" s="3322" t="s">
        <v>3084</v>
      </c>
      <c r="H44" s="3250">
        <f>SUMIF(127:127,G44,128:128)-SUMIF(127:127,C44,128:128)+100</f>
        <v>100</v>
      </c>
      <c r="I44" s="3322" t="s">
        <v>3084</v>
      </c>
      <c r="J44" s="3250">
        <f>SUMIF(127:127,I44,128:128)-SUMIF(127:127,C44,128:128)+100</f>
        <v>100</v>
      </c>
      <c r="K44" s="3299"/>
      <c r="L44" s="3253"/>
      <c r="M44" s="3184"/>
      <c r="N44" s="3184"/>
      <c r="O44" s="3242"/>
      <c r="P44" s="4214" t="s">
        <v>3085</v>
      </c>
      <c r="Q44" s="3266" t="str">
        <f t="shared" si="14"/>
        <v>工程地质条件</v>
      </c>
      <c r="R44" s="3267" t="s">
        <v>3067</v>
      </c>
      <c r="S44" s="3268">
        <f t="shared" si="10"/>
        <v>100</v>
      </c>
      <c r="T44" s="3267" t="s">
        <v>3067</v>
      </c>
      <c r="U44" s="3268">
        <f t="shared" si="11"/>
        <v>100</v>
      </c>
      <c r="V44" s="3267" t="s">
        <v>3067</v>
      </c>
      <c r="W44" s="3268">
        <f t="shared" si="12"/>
        <v>100</v>
      </c>
      <c r="X44" s="3200"/>
      <c r="Y44" s="4214" t="s">
        <v>3086</v>
      </c>
      <c r="Z44" s="3269" t="str">
        <f t="shared" si="13"/>
        <v>工程地质条件</v>
      </c>
      <c r="AA44" s="3269">
        <f t="shared" si="3"/>
        <v>1</v>
      </c>
      <c r="AB44" s="3269">
        <f t="shared" si="4"/>
        <v>1</v>
      </c>
      <c r="AC44" s="3269">
        <f t="shared" si="5"/>
        <v>1</v>
      </c>
    </row>
    <row r="45" spans="1:29" ht="21" hidden="1" thickBot="1">
      <c r="A45" s="3320"/>
      <c r="B45" s="3326"/>
      <c r="C45" s="3252"/>
      <c r="D45" s="3250">
        <v>100</v>
      </c>
      <c r="E45" s="3252"/>
      <c r="F45" s="3250">
        <f>SUMIF(129:129,E45,130:130)-SUMIF(129:129,C45,130:130)+100</f>
        <v>100</v>
      </c>
      <c r="G45" s="3252"/>
      <c r="H45" s="3250">
        <f>SUMIF(129:129,G45,130:130)-SUMIF(129:129,C45,130:130)+100</f>
        <v>100</v>
      </c>
      <c r="I45" s="3251"/>
      <c r="J45" s="3250">
        <f>SUMIF(129:129,I45,130:130)-SUMIF(129:129,C45,130:130)+100</f>
        <v>100</v>
      </c>
      <c r="K45" s="3298"/>
      <c r="L45" s="3253"/>
      <c r="M45" s="3184"/>
      <c r="N45" s="3184"/>
      <c r="O45" s="3242"/>
      <c r="P45" s="4214"/>
      <c r="Q45" s="3266">
        <f t="shared" si="14"/>
        <v>0</v>
      </c>
      <c r="R45" s="3267" t="s">
        <v>3066</v>
      </c>
      <c r="S45" s="3268">
        <f t="shared" si="10"/>
        <v>100</v>
      </c>
      <c r="T45" s="3267" t="s">
        <v>3066</v>
      </c>
      <c r="U45" s="3268">
        <f t="shared" si="11"/>
        <v>100</v>
      </c>
      <c r="V45" s="3267" t="s">
        <v>3066</v>
      </c>
      <c r="W45" s="3268">
        <f t="shared" si="12"/>
        <v>100</v>
      </c>
      <c r="X45" s="3200"/>
      <c r="Y45" s="4214"/>
      <c r="Z45" s="3269">
        <f t="shared" si="13"/>
        <v>0</v>
      </c>
      <c r="AA45" s="3269">
        <f t="shared" si="3"/>
        <v>1</v>
      </c>
      <c r="AB45" s="3269">
        <f t="shared" si="4"/>
        <v>1</v>
      </c>
      <c r="AC45" s="3269">
        <f t="shared" si="5"/>
        <v>1</v>
      </c>
    </row>
    <row r="46" spans="1:29" ht="21" hidden="1" thickBot="1">
      <c r="A46" s="3320"/>
      <c r="B46" s="3326"/>
      <c r="C46" s="3252"/>
      <c r="D46" s="3250">
        <v>100</v>
      </c>
      <c r="E46" s="3252"/>
      <c r="F46" s="3250">
        <f>SUMIF(131:131,E46,132:132)-SUMIF(131:131,C46,132:132)+100</f>
        <v>100</v>
      </c>
      <c r="G46" s="3252"/>
      <c r="H46" s="3250">
        <f>SUMIF(131:131,G46,132:132)-SUMIF(131:131,C46,132:132)+100</f>
        <v>100</v>
      </c>
      <c r="I46" s="3251"/>
      <c r="J46" s="3250">
        <f>SUMIF(131:131,I46,132:132)-SUMIF(131:131,C46,132:132)+100</f>
        <v>100</v>
      </c>
      <c r="K46" s="3298"/>
      <c r="L46" s="3253"/>
      <c r="M46" s="3184"/>
      <c r="N46" s="3184"/>
      <c r="O46" s="3242"/>
      <c r="P46" s="4214"/>
      <c r="Q46" s="3266">
        <f t="shared" si="14"/>
        <v>0</v>
      </c>
      <c r="R46" s="3267" t="s">
        <v>3035</v>
      </c>
      <c r="S46" s="3268">
        <f t="shared" si="10"/>
        <v>100</v>
      </c>
      <c r="T46" s="3267" t="s">
        <v>3035</v>
      </c>
      <c r="U46" s="3268">
        <f t="shared" si="11"/>
        <v>100</v>
      </c>
      <c r="V46" s="3267" t="s">
        <v>3035</v>
      </c>
      <c r="W46" s="3268">
        <f t="shared" si="12"/>
        <v>100</v>
      </c>
      <c r="X46" s="3200"/>
      <c r="Y46" s="4214"/>
      <c r="Z46" s="3269">
        <f t="shared" si="13"/>
        <v>0</v>
      </c>
      <c r="AA46" s="3269">
        <f t="shared" si="3"/>
        <v>1</v>
      </c>
      <c r="AB46" s="3269">
        <f t="shared" si="4"/>
        <v>1</v>
      </c>
      <c r="AC46" s="3269">
        <f t="shared" si="5"/>
        <v>1</v>
      </c>
    </row>
    <row r="47" spans="1:29" s="3314" customFormat="1" ht="21" hidden="1" thickBot="1">
      <c r="A47" s="3327"/>
      <c r="B47" s="3326"/>
      <c r="C47" s="3328"/>
      <c r="D47" s="3329">
        <v>100</v>
      </c>
      <c r="E47" s="3252"/>
      <c r="F47" s="3257">
        <f>SUMIF(133:133,E47,134:134)-SUMIF(133:133,C47,134:134)+100</f>
        <v>100</v>
      </c>
      <c r="G47" s="3252"/>
      <c r="H47" s="3257">
        <f>SUMIF(133:133,G47,134:134)-SUMIF(133:133,C47,134:134)+100</f>
        <v>100</v>
      </c>
      <c r="I47" s="3252"/>
      <c r="J47" s="3257">
        <f>SUMIF(133:133,I47,134:134)-SUMIF(133:133,C47,134:134)+100</f>
        <v>100</v>
      </c>
      <c r="K47" s="3330"/>
      <c r="L47" s="3241"/>
      <c r="M47" s="3184"/>
      <c r="N47" s="3184"/>
      <c r="O47" s="3309"/>
      <c r="P47" s="4214"/>
      <c r="Q47" s="3266">
        <f t="shared" si="14"/>
        <v>0</v>
      </c>
      <c r="R47" s="3310" t="s">
        <v>3035</v>
      </c>
      <c r="S47" s="3311">
        <f t="shared" si="10"/>
        <v>100</v>
      </c>
      <c r="T47" s="3310" t="s">
        <v>3035</v>
      </c>
      <c r="U47" s="3311">
        <f t="shared" si="11"/>
        <v>100</v>
      </c>
      <c r="V47" s="3310" t="s">
        <v>3035</v>
      </c>
      <c r="W47" s="3311">
        <f t="shared" si="12"/>
        <v>100</v>
      </c>
      <c r="X47" s="3312"/>
      <c r="Y47" s="4214"/>
      <c r="Z47" s="3313">
        <f t="shared" si="13"/>
        <v>0</v>
      </c>
      <c r="AA47" s="3269">
        <f t="shared" si="3"/>
        <v>1</v>
      </c>
      <c r="AB47" s="3269">
        <f t="shared" si="4"/>
        <v>1</v>
      </c>
      <c r="AC47" s="3269">
        <f t="shared" si="5"/>
        <v>1</v>
      </c>
    </row>
    <row r="48" spans="1:29" ht="20.25">
      <c r="A48" s="3331" t="s">
        <v>557</v>
      </c>
      <c r="B48" s="3332" t="s">
        <v>3087</v>
      </c>
      <c r="C48" s="3333" t="s">
        <v>1766</v>
      </c>
      <c r="D48" s="3334"/>
      <c r="E48" s="3335">
        <f>[1]土地案例!K8</f>
        <v>11192</v>
      </c>
      <c r="F48" s="3336"/>
      <c r="G48" s="3337">
        <f>[1]土地案例!K19</f>
        <v>9460</v>
      </c>
      <c r="H48" s="3338"/>
      <c r="I48" s="3335">
        <f>[1]土地案例!K56</f>
        <v>9292</v>
      </c>
      <c r="J48" s="3338"/>
      <c r="K48" s="3339"/>
      <c r="L48" s="3340"/>
      <c r="M48" s="3184"/>
      <c r="N48" s="3184"/>
      <c r="O48" s="3341"/>
      <c r="P48" s="4206" t="str">
        <f>A48</f>
        <v>成交单价</v>
      </c>
      <c r="Q48" s="4206"/>
      <c r="R48" s="4202">
        <f>E48</f>
        <v>11192</v>
      </c>
      <c r="S48" s="4202"/>
      <c r="T48" s="4202">
        <f>G48</f>
        <v>9460</v>
      </c>
      <c r="U48" s="4202"/>
      <c r="V48" s="4202">
        <f>I48</f>
        <v>9292</v>
      </c>
      <c r="W48" s="4202"/>
      <c r="X48" s="3342"/>
      <c r="Y48" s="3343"/>
      <c r="Z48" s="3342"/>
      <c r="AA48" s="3342"/>
      <c r="AB48" s="3342"/>
      <c r="AC48" s="3342"/>
    </row>
    <row r="49" spans="1:29" ht="21" thickBot="1">
      <c r="A49" s="3344" t="s">
        <v>3088</v>
      </c>
      <c r="B49" s="3345"/>
      <c r="C49" s="3346">
        <f>R50</f>
        <v>10257</v>
      </c>
      <c r="D49" s="3347"/>
      <c r="E49" s="3346">
        <f>R49</f>
        <v>11220</v>
      </c>
      <c r="F49" s="3346"/>
      <c r="G49" s="3348">
        <f>T49</f>
        <v>9519</v>
      </c>
      <c r="H49" s="3347"/>
      <c r="I49" s="3346">
        <f>V49</f>
        <v>10031</v>
      </c>
      <c r="J49" s="3347"/>
      <c r="K49" s="3349"/>
      <c r="L49" s="3340"/>
      <c r="M49" s="3184"/>
      <c r="N49" s="3184"/>
      <c r="O49" s="3341"/>
      <c r="P49" s="4206" t="str">
        <f>A49</f>
        <v>比较价格（元/平方米）</v>
      </c>
      <c r="Q49" s="4206"/>
      <c r="R49" s="4202">
        <f>ROUND(PRODUCT(R48,AA9:AA47),0)</f>
        <v>11220</v>
      </c>
      <c r="S49" s="4202"/>
      <c r="T49" s="4202">
        <f>ROUND(PRODUCT(T48,AB9:AB47),0)</f>
        <v>9519</v>
      </c>
      <c r="U49" s="4202"/>
      <c r="V49" s="4202">
        <f>ROUND(PRODUCT(V48,AC9:AC47),0)</f>
        <v>10031</v>
      </c>
      <c r="W49" s="4202"/>
      <c r="X49" s="3342"/>
      <c r="Y49" s="3342"/>
      <c r="Z49" s="3342"/>
      <c r="AA49" s="3342"/>
      <c r="AB49" s="3342"/>
      <c r="AC49" s="3342"/>
    </row>
    <row r="50" spans="1:29" ht="21" thickBot="1">
      <c r="A50" s="3350" t="s">
        <v>3089</v>
      </c>
      <c r="B50" s="3351"/>
      <c r="C50" s="3352">
        <f>R50</f>
        <v>10257</v>
      </c>
      <c r="D50" s="3352"/>
      <c r="E50" s="3352"/>
      <c r="F50" s="3352"/>
      <c r="G50" s="3352"/>
      <c r="H50" s="3352"/>
      <c r="I50" s="3352"/>
      <c r="J50" s="3352"/>
      <c r="K50" s="3353"/>
      <c r="L50" s="3340"/>
      <c r="M50" s="3184"/>
      <c r="N50" s="3184"/>
      <c r="O50" s="3341"/>
      <c r="P50" s="4210" t="str">
        <f>A50</f>
        <v>估价对象住宅、商业用地比较价格（楼面单价，元/平方米）</v>
      </c>
      <c r="Q50" s="4211"/>
      <c r="R50" s="4212">
        <f>ROUND(AVERAGE(R49:V49),0)</f>
        <v>10257</v>
      </c>
      <c r="S50" s="4212"/>
      <c r="T50" s="4212"/>
      <c r="U50" s="4212"/>
      <c r="V50" s="4212"/>
      <c r="W50" s="4212"/>
      <c r="X50" s="3342"/>
      <c r="Y50" s="3342"/>
      <c r="Z50" s="3342"/>
      <c r="AA50" s="3342"/>
      <c r="AB50" s="3342"/>
      <c r="AC50" s="3342"/>
    </row>
    <row r="51" spans="1:29" ht="20.25">
      <c r="A51" s="3341"/>
      <c r="B51" s="3341"/>
      <c r="C51" s="3341"/>
      <c r="D51" s="3341"/>
      <c r="E51" s="3341"/>
      <c r="F51" s="3341"/>
      <c r="G51" s="3341"/>
      <c r="H51" s="3341"/>
      <c r="I51" s="3341"/>
      <c r="J51" s="3341"/>
      <c r="K51" s="3341"/>
      <c r="L51" s="3341"/>
      <c r="M51" s="3184"/>
      <c r="N51" s="3184"/>
      <c r="O51" s="3341"/>
      <c r="P51" s="3342"/>
      <c r="Q51" s="3341"/>
      <c r="R51" s="3341"/>
      <c r="S51" s="3341"/>
      <c r="T51" s="3341"/>
      <c r="U51" s="3341"/>
      <c r="V51" s="3341"/>
      <c r="W51" s="3341"/>
      <c r="X51" s="3341"/>
      <c r="Y51" s="3341"/>
      <c r="Z51" s="3341"/>
      <c r="AA51" s="3341"/>
      <c r="AB51" s="3341"/>
      <c r="AC51" s="3341"/>
    </row>
    <row r="52" spans="1:29" ht="20.25">
      <c r="A52" s="3341"/>
      <c r="B52" s="3341"/>
      <c r="C52" s="3341"/>
      <c r="D52" s="3341"/>
      <c r="E52" s="3341"/>
      <c r="F52" s="3341"/>
      <c r="G52" s="3341"/>
      <c r="H52" s="3341"/>
      <c r="I52" s="3341"/>
      <c r="J52" s="3341"/>
      <c r="K52" s="3341"/>
      <c r="L52" s="3341"/>
      <c r="M52" s="3184"/>
      <c r="N52" s="3184"/>
      <c r="O52" s="3341"/>
      <c r="P52" s="3342"/>
      <c r="Q52" s="3341"/>
      <c r="R52" s="3341"/>
      <c r="S52" s="3341"/>
      <c r="T52" s="3341"/>
      <c r="U52" s="3341"/>
      <c r="V52" s="3341"/>
      <c r="W52" s="3341"/>
      <c r="X52" s="3341"/>
      <c r="Y52" s="3341"/>
      <c r="Z52" s="3341"/>
      <c r="AA52" s="3341"/>
      <c r="AB52" s="3341"/>
      <c r="AC52" s="3341"/>
    </row>
    <row r="53" spans="1:29" ht="13.5" customHeight="1">
      <c r="A53" s="3341"/>
      <c r="B53" s="3341"/>
      <c r="C53" s="3354" t="s">
        <v>558</v>
      </c>
      <c r="D53" s="3355"/>
      <c r="E53" s="3267">
        <f>IF(E48&lt;E49,E49/E48-1,E48/E49-1)</f>
        <v>2.5017869907075774E-3</v>
      </c>
      <c r="F53" s="3356" t="str">
        <f>IF(OR(E53&gt;=0.3,E53&lt;=-0.3),"超过30%","")</f>
        <v/>
      </c>
      <c r="G53" s="3267">
        <f>IF(G48&lt;G49,G49/G48-1,G48/G49-1)</f>
        <v>6.2367864693446684E-3</v>
      </c>
      <c r="H53" s="3356" t="str">
        <f>IF(OR(G53&gt;=0.3,G53&lt;=-0.3),"超过30%","")</f>
        <v/>
      </c>
      <c r="I53" s="3267">
        <f>IF(I48&lt;I49,I49/I48-1,I48/I49-1)</f>
        <v>7.9530779164872945E-2</v>
      </c>
      <c r="J53" s="3356" t="str">
        <f>IF(OR(I53&gt;=0.3,I53&lt;=-0.3),"超过30%","")</f>
        <v/>
      </c>
      <c r="K53" s="3341"/>
      <c r="L53" s="3341"/>
      <c r="M53" s="3184"/>
      <c r="N53" s="3184"/>
      <c r="O53" s="3341"/>
      <c r="P53" s="3342"/>
      <c r="Q53" s="3341"/>
      <c r="R53" s="3341"/>
      <c r="S53" s="3341"/>
      <c r="T53" s="3341"/>
      <c r="U53" s="3341"/>
      <c r="V53" s="3341"/>
      <c r="W53" s="3341"/>
      <c r="X53" s="3341"/>
      <c r="Y53" s="3341"/>
      <c r="Z53" s="3341"/>
      <c r="AA53" s="3341"/>
      <c r="AB53" s="3341"/>
      <c r="AC53" s="3341"/>
    </row>
    <row r="54" spans="1:29" ht="13.5" customHeight="1">
      <c r="A54" s="3341"/>
      <c r="B54" s="3341"/>
      <c r="C54" s="3354" t="s">
        <v>559</v>
      </c>
      <c r="D54" s="3357"/>
      <c r="E54" s="3267">
        <f>IF(E49&lt;G49,G49/E49-1,E49/G49-1)</f>
        <v>0.17869524109675394</v>
      </c>
      <c r="F54" s="3356" t="str">
        <f>IF(OR(E54&gt;=0.2,E54&lt;=-0.2),"超过20%","")</f>
        <v/>
      </c>
      <c r="G54" s="3267">
        <f>IF(G49&lt;I49,I49/G49-1,G49/I49-1)</f>
        <v>5.3787162517071163E-2</v>
      </c>
      <c r="H54" s="3356" t="str">
        <f>IF(OR(G54&gt;=0.2,G54&lt;=-0.2),"超过20%","")</f>
        <v/>
      </c>
      <c r="I54" s="3267">
        <f>IF(I49&lt;E49,E49/I49-1,I49/E49-1)</f>
        <v>0.11853254909779687</v>
      </c>
      <c r="J54" s="3356" t="str">
        <f>IF(OR(I54&gt;=0.2,I54&lt;=-0.2),"超过20%","")</f>
        <v/>
      </c>
      <c r="K54" s="3341"/>
      <c r="L54" s="3341"/>
      <c r="M54" s="3184"/>
      <c r="N54" s="3184"/>
      <c r="O54" s="3341"/>
      <c r="P54" s="3342"/>
      <c r="Q54" s="3341"/>
      <c r="R54" s="3341"/>
      <c r="S54" s="3341"/>
      <c r="T54" s="3341"/>
      <c r="U54" s="3341"/>
      <c r="V54" s="3341"/>
      <c r="W54" s="3341"/>
      <c r="X54" s="3341"/>
      <c r="Y54" s="3341"/>
      <c r="Z54" s="3341"/>
      <c r="AA54" s="3341"/>
      <c r="AB54" s="3341"/>
      <c r="AC54" s="3341"/>
    </row>
    <row r="55" spans="1:29" s="3360" customFormat="1" ht="13.5" customHeight="1">
      <c r="A55" s="3358"/>
      <c r="B55" s="3358"/>
      <c r="C55" s="3354" t="s">
        <v>560</v>
      </c>
      <c r="D55" s="3357"/>
      <c r="E55" s="3267">
        <f>IF(E48&lt;G48,G48/E48-1,E48/G48-1)</f>
        <v>0.18308668076109935</v>
      </c>
      <c r="F55" s="3356" t="str">
        <f>IF(OR(E55&gt;=0.3,E55&lt;=-0.3),"超过30%","")</f>
        <v/>
      </c>
      <c r="G55" s="3267">
        <f>IF(G48&lt;I48,I48/G48-1,G48/I48-1)</f>
        <v>1.8080068876452859E-2</v>
      </c>
      <c r="H55" s="3356" t="str">
        <f>IF(OR(G55&gt;=0.3,G55&lt;=-0.3),"超过30%","")</f>
        <v/>
      </c>
      <c r="I55" s="3267">
        <f>IF(I48&lt;E48,E48/I48-1,I48/E48-1)</f>
        <v>0.20447696943607396</v>
      </c>
      <c r="J55" s="3356" t="str">
        <f>IF(OR(I55&gt;=0.3,I55&lt;=-0.3),"超过30%","")</f>
        <v/>
      </c>
      <c r="K55" s="3358"/>
      <c r="L55" s="3358"/>
      <c r="M55" s="3184"/>
      <c r="N55" s="3184"/>
      <c r="O55" s="3358"/>
      <c r="P55" s="3359"/>
      <c r="Q55" s="3358"/>
      <c r="R55" s="3358"/>
      <c r="S55" s="3358"/>
      <c r="T55" s="3358"/>
      <c r="U55" s="3358"/>
      <c r="V55" s="3358"/>
      <c r="W55" s="3358"/>
      <c r="X55" s="3358"/>
      <c r="Y55" s="3358"/>
      <c r="Z55" s="3358"/>
      <c r="AA55" s="3358"/>
      <c r="AB55" s="3358"/>
      <c r="AC55" s="3358"/>
    </row>
    <row r="56" spans="1:29" s="3360" customFormat="1" ht="21" thickBot="1">
      <c r="A56" s="3358"/>
      <c r="B56" s="3341"/>
      <c r="C56" s="3341"/>
      <c r="D56" s="3358"/>
      <c r="E56" s="3358"/>
      <c r="F56" s="3358"/>
      <c r="G56" s="3358"/>
      <c r="H56" s="3358"/>
      <c r="I56" s="3358"/>
      <c r="J56" s="3358"/>
      <c r="K56" s="3358"/>
      <c r="L56" s="3358"/>
      <c r="M56" s="3184"/>
      <c r="N56" s="3184"/>
      <c r="O56" s="3358"/>
      <c r="P56" s="3359"/>
      <c r="Q56" s="3358"/>
      <c r="R56" s="3358"/>
      <c r="S56" s="3358"/>
      <c r="T56" s="3358"/>
      <c r="U56" s="3358"/>
      <c r="V56" s="3358"/>
      <c r="W56" s="3358"/>
      <c r="X56" s="3358"/>
      <c r="Y56" s="3358"/>
      <c r="Z56" s="3358"/>
      <c r="AA56" s="3358"/>
      <c r="AB56" s="3358"/>
      <c r="AC56" s="3358"/>
    </row>
    <row r="57" spans="1:29" ht="26.25" customHeight="1">
      <c r="A57" s="3361" t="s">
        <v>3090</v>
      </c>
      <c r="B57" s="3362" t="s">
        <v>3091</v>
      </c>
      <c r="C57" s="3363" t="s">
        <v>1726</v>
      </c>
      <c r="D57" s="3364" t="s">
        <v>2296</v>
      </c>
      <c r="E57" s="3362" t="s">
        <v>3092</v>
      </c>
      <c r="F57" s="3365" t="s">
        <v>3093</v>
      </c>
      <c r="G57" s="4215" t="s">
        <v>2284</v>
      </c>
      <c r="H57" s="4216"/>
      <c r="I57" s="3366" t="s">
        <v>3094</v>
      </c>
      <c r="J57" s="3366" t="str">
        <f>[1]项目基本情况!F41</f>
        <v>湖南省长沙市</v>
      </c>
      <c r="K57" s="3367" t="s">
        <v>3095</v>
      </c>
      <c r="L57" s="3341"/>
      <c r="M57" s="3341"/>
      <c r="N57" s="3341"/>
      <c r="O57" s="3341"/>
      <c r="P57" s="3341"/>
      <c r="Q57" s="3341"/>
      <c r="R57" s="3341"/>
      <c r="S57" s="3341"/>
      <c r="T57" s="3341"/>
      <c r="U57" s="3341"/>
      <c r="V57" s="3341"/>
      <c r="W57" s="3341"/>
      <c r="X57" s="3341"/>
      <c r="Y57" s="3341"/>
      <c r="Z57" s="3341"/>
      <c r="AA57" s="3341"/>
      <c r="AB57" s="3341"/>
      <c r="AC57" s="3341"/>
    </row>
    <row r="58" spans="1:29" s="3375" customFormat="1" ht="12.75">
      <c r="A58" s="3368" t="s">
        <v>3096</v>
      </c>
      <c r="B58" s="3369">
        <f>C50</f>
        <v>10257</v>
      </c>
      <c r="C58" s="3370">
        <v>1</v>
      </c>
      <c r="D58" s="3371">
        <v>1</v>
      </c>
      <c r="E58" s="3370">
        <f>'[1]数据-汇总表'!E8+'[1]数据-汇总表'!E9</f>
        <v>623369</v>
      </c>
      <c r="F58" s="3372">
        <f t="shared" ref="F58:F67" si="15">ROUND(B58*E58/10000,0)</f>
        <v>639390</v>
      </c>
      <c r="G58" s="4217"/>
      <c r="H58" s="4218"/>
      <c r="I58" s="3373">
        <v>1</v>
      </c>
      <c r="J58" s="3373">
        <v>1</v>
      </c>
      <c r="K58" s="3374"/>
      <c r="L58" s="3374"/>
      <c r="M58" s="3374"/>
      <c r="N58" s="3374"/>
      <c r="O58" s="3374"/>
      <c r="P58" s="3374"/>
      <c r="Q58" s="3374"/>
      <c r="R58" s="3374"/>
      <c r="S58" s="3374"/>
      <c r="T58" s="3374"/>
      <c r="U58" s="3374"/>
      <c r="V58" s="3374"/>
      <c r="W58" s="3374"/>
      <c r="X58" s="3374"/>
      <c r="Y58" s="3374"/>
      <c r="Z58" s="3374"/>
      <c r="AA58" s="3374"/>
      <c r="AB58" s="3374"/>
      <c r="AC58" s="3374"/>
    </row>
    <row r="59" spans="1:29" s="3375" customFormat="1" ht="12.75">
      <c r="A59" s="3376" t="s">
        <v>3097</v>
      </c>
      <c r="B59" s="3369" t="e">
        <f>ROUND($C$50*C59*D59,0)</f>
        <v>#VALUE!</v>
      </c>
      <c r="C59" s="3377" t="e">
        <f t="shared" ref="C59:C67" si="16">IF($C$57="北京市系数",I59,J59)</f>
        <v>#VALUE!</v>
      </c>
      <c r="D59" s="3378">
        <v>0.25</v>
      </c>
      <c r="E59" s="3379">
        <v>0</v>
      </c>
      <c r="F59" s="3372" t="e">
        <f t="shared" si="15"/>
        <v>#VALUE!</v>
      </c>
      <c r="G59" s="4219" t="s">
        <v>2285</v>
      </c>
      <c r="H59" s="3380">
        <f>[1]项目基本情况!B43</f>
        <v>0</v>
      </c>
      <c r="I59" s="3373" t="e">
        <f>SUMIF([1]修正!$A$45:$A$56,H59,[1]修正!B45:B56)</f>
        <v>#VALUE!</v>
      </c>
      <c r="J59" s="3381"/>
      <c r="K59" s="3374"/>
      <c r="L59" s="3374"/>
      <c r="M59" s="3374"/>
      <c r="N59" s="3374"/>
      <c r="O59" s="3374"/>
      <c r="P59" s="3374"/>
      <c r="Q59" s="3374"/>
      <c r="R59" s="3374"/>
      <c r="S59" s="3374"/>
      <c r="T59" s="3374"/>
      <c r="U59" s="3374"/>
      <c r="V59" s="3374"/>
      <c r="W59" s="3374"/>
      <c r="X59" s="3374"/>
      <c r="Y59" s="3374"/>
      <c r="Z59" s="3374"/>
      <c r="AA59" s="3374"/>
      <c r="AB59" s="3374"/>
      <c r="AC59" s="3374"/>
    </row>
    <row r="60" spans="1:29" s="3375" customFormat="1" ht="12.75">
      <c r="A60" s="3376" t="s">
        <v>3098</v>
      </c>
      <c r="B60" s="3369" t="e">
        <f t="shared" ref="B60:B67" si="17">ROUND($C$50*C60*D60,0)</f>
        <v>#VALUE!</v>
      </c>
      <c r="C60" s="3377" t="e">
        <f t="shared" si="16"/>
        <v>#VALUE!</v>
      </c>
      <c r="D60" s="3378">
        <v>0.25</v>
      </c>
      <c r="E60" s="3379">
        <v>0</v>
      </c>
      <c r="F60" s="3372" t="e">
        <f t="shared" si="15"/>
        <v>#VALUE!</v>
      </c>
      <c r="G60" s="4219"/>
      <c r="H60" s="3380">
        <f>[1]项目基本情况!B43</f>
        <v>0</v>
      </c>
      <c r="I60" s="3373" t="e">
        <f>SUMIF([1]修正!$A$45:$A$56,H60,[1]修正!C45:C56)</f>
        <v>#VALUE!</v>
      </c>
      <c r="J60" s="3381"/>
      <c r="K60" s="3374"/>
      <c r="L60" s="3374"/>
      <c r="M60" s="3374"/>
      <c r="N60" s="3374"/>
      <c r="O60" s="3374"/>
      <c r="P60" s="3374"/>
      <c r="Q60" s="3374"/>
      <c r="R60" s="3374"/>
      <c r="S60" s="3374"/>
      <c r="T60" s="3374"/>
      <c r="U60" s="3374"/>
      <c r="V60" s="3374"/>
      <c r="W60" s="3374"/>
      <c r="X60" s="3374"/>
      <c r="Y60" s="3374"/>
      <c r="Z60" s="3374"/>
      <c r="AA60" s="3374"/>
      <c r="AB60" s="3374"/>
      <c r="AC60" s="3374"/>
    </row>
    <row r="61" spans="1:29" s="3375" customFormat="1" ht="12.75">
      <c r="A61" s="3376" t="s">
        <v>3099</v>
      </c>
      <c r="B61" s="3369" t="e">
        <f t="shared" si="17"/>
        <v>#VALUE!</v>
      </c>
      <c r="C61" s="3377" t="e">
        <f t="shared" si="16"/>
        <v>#VALUE!</v>
      </c>
      <c r="D61" s="3378">
        <v>0.25</v>
      </c>
      <c r="E61" s="3379">
        <v>0</v>
      </c>
      <c r="F61" s="3372" t="e">
        <f t="shared" si="15"/>
        <v>#VALUE!</v>
      </c>
      <c r="G61" s="4219"/>
      <c r="H61" s="3380">
        <f>[1]项目基本情况!B43</f>
        <v>0</v>
      </c>
      <c r="I61" s="3373" t="e">
        <f>SUMIF([1]修正!$A$45:$A$56,H61,[1]修正!D45:D56)</f>
        <v>#VALUE!</v>
      </c>
      <c r="J61" s="3381"/>
      <c r="K61" s="3374"/>
      <c r="L61" s="3374"/>
      <c r="M61" s="3374"/>
      <c r="N61" s="3374"/>
      <c r="O61" s="3374"/>
      <c r="P61" s="3374"/>
      <c r="Q61" s="3374"/>
      <c r="R61" s="3374"/>
      <c r="S61" s="3374"/>
      <c r="T61" s="3374"/>
      <c r="U61" s="3374"/>
      <c r="V61" s="3374"/>
      <c r="W61" s="3374"/>
      <c r="X61" s="3374"/>
      <c r="Y61" s="3374"/>
      <c r="Z61" s="3374"/>
      <c r="AA61" s="3374"/>
      <c r="AB61" s="3374"/>
      <c r="AC61" s="3374"/>
    </row>
    <row r="62" spans="1:29" s="3375" customFormat="1" ht="12.75">
      <c r="A62" s="3376" t="s">
        <v>3100</v>
      </c>
      <c r="B62" s="3369" t="e">
        <f t="shared" si="17"/>
        <v>#VALUE!</v>
      </c>
      <c r="C62" s="3377" t="e">
        <f t="shared" si="16"/>
        <v>#VALUE!</v>
      </c>
      <c r="D62" s="3378">
        <v>0.25</v>
      </c>
      <c r="E62" s="3379">
        <v>0</v>
      </c>
      <c r="F62" s="3372" t="e">
        <f t="shared" si="15"/>
        <v>#VALUE!</v>
      </c>
      <c r="G62" s="4219"/>
      <c r="H62" s="3380">
        <f>[1]项目基本情况!B43</f>
        <v>0</v>
      </c>
      <c r="I62" s="3373" t="e">
        <f>SUMIF([1]修正!$A$45:$A$56,H62,[1]修正!E45:E56)</f>
        <v>#VALUE!</v>
      </c>
      <c r="J62" s="3381"/>
      <c r="K62" s="3374"/>
      <c r="L62" s="3374"/>
      <c r="M62" s="3374"/>
      <c r="N62" s="3374"/>
      <c r="O62" s="3374"/>
      <c r="P62" s="3374"/>
      <c r="Q62" s="3374"/>
      <c r="R62" s="3374"/>
      <c r="S62" s="3374"/>
      <c r="T62" s="3374"/>
      <c r="U62" s="3374"/>
      <c r="V62" s="3374"/>
      <c r="W62" s="3374"/>
      <c r="X62" s="3374"/>
      <c r="Y62" s="3374"/>
      <c r="Z62" s="3374"/>
      <c r="AA62" s="3374"/>
      <c r="AB62" s="3374"/>
      <c r="AC62" s="3374"/>
    </row>
    <row r="63" spans="1:29" s="3375" customFormat="1" ht="12.75">
      <c r="A63" s="3382" t="s">
        <v>3101</v>
      </c>
      <c r="B63" s="3369" t="e">
        <f t="shared" si="17"/>
        <v>#VALUE!</v>
      </c>
      <c r="C63" s="3377" t="e">
        <f t="shared" si="16"/>
        <v>#VALUE!</v>
      </c>
      <c r="D63" s="3378">
        <v>0.25</v>
      </c>
      <c r="E63" s="3369">
        <f>'[1]数据-汇总表'!E11</f>
        <v>0</v>
      </c>
      <c r="F63" s="3372" t="e">
        <f t="shared" si="15"/>
        <v>#VALUE!</v>
      </c>
      <c r="G63" s="3383" t="s">
        <v>2286</v>
      </c>
      <c r="H63" s="3380">
        <f>[1]项目基本情况!C43</f>
        <v>0</v>
      </c>
      <c r="I63" s="3373" t="e">
        <f>SUMIF([1]修正!$A$45:$A$56,H63,[1]修正!F45:F56)</f>
        <v>#VALUE!</v>
      </c>
      <c r="J63" s="3381"/>
      <c r="K63" s="3374"/>
      <c r="L63" s="3374"/>
      <c r="M63" s="3374"/>
      <c r="N63" s="3374"/>
      <c r="O63" s="3374"/>
      <c r="P63" s="3374"/>
      <c r="Q63" s="3374"/>
      <c r="R63" s="3374"/>
      <c r="S63" s="3374"/>
      <c r="T63" s="3374"/>
      <c r="U63" s="3374"/>
      <c r="V63" s="3374"/>
      <c r="W63" s="3374"/>
      <c r="X63" s="3374"/>
      <c r="Y63" s="3374"/>
      <c r="Z63" s="3374"/>
      <c r="AA63" s="3374"/>
      <c r="AB63" s="3374"/>
      <c r="AC63" s="3374"/>
    </row>
    <row r="64" spans="1:29" s="3375" customFormat="1" ht="12.75">
      <c r="A64" s="3376" t="s">
        <v>3102</v>
      </c>
      <c r="B64" s="3369" t="e">
        <f t="shared" si="17"/>
        <v>#VALUE!</v>
      </c>
      <c r="C64" s="3377" t="e">
        <f t="shared" si="16"/>
        <v>#VALUE!</v>
      </c>
      <c r="D64" s="3378">
        <v>0.25</v>
      </c>
      <c r="E64" s="3369">
        <f>'[1]数据-汇总表'!E12</f>
        <v>0</v>
      </c>
      <c r="F64" s="3372" t="e">
        <f t="shared" si="15"/>
        <v>#VALUE!</v>
      </c>
      <c r="G64" s="3384" t="s">
        <v>1679</v>
      </c>
      <c r="H64" s="3380">
        <f>IF(G64="商业",[1]项目基本情况!B43,IF(G64="办公",[1]项目基本情况!C43,IF(G64="住宅",[1]项目基本情况!D43,[1]项目基本情况!E43)))</f>
        <v>0</v>
      </c>
      <c r="I64" s="3373" t="e">
        <f>SUMIF([1]修正!$A$45:$A$56,H64,[1]修正!G45:G56)</f>
        <v>#VALUE!</v>
      </c>
      <c r="J64" s="3381"/>
      <c r="K64" s="3374"/>
      <c r="L64" s="3374"/>
      <c r="M64" s="3374"/>
      <c r="N64" s="3374"/>
      <c r="O64" s="3374"/>
      <c r="P64" s="3374"/>
      <c r="Q64" s="3374"/>
      <c r="R64" s="3374"/>
      <c r="S64" s="3374"/>
      <c r="T64" s="3374"/>
      <c r="U64" s="3374"/>
      <c r="V64" s="3374"/>
      <c r="W64" s="3374"/>
      <c r="X64" s="3374"/>
      <c r="Y64" s="3374"/>
      <c r="Z64" s="3374"/>
      <c r="AA64" s="3374"/>
      <c r="AB64" s="3374"/>
      <c r="AC64" s="3374"/>
    </row>
    <row r="65" spans="1:29" s="3375" customFormat="1" ht="12.75">
      <c r="A65" s="3376" t="s">
        <v>3103</v>
      </c>
      <c r="B65" s="3369" t="e">
        <f t="shared" si="17"/>
        <v>#VALUE!</v>
      </c>
      <c r="C65" s="3377" t="e">
        <f t="shared" si="16"/>
        <v>#VALUE!</v>
      </c>
      <c r="D65" s="3378">
        <v>0.25</v>
      </c>
      <c r="E65" s="3369">
        <f>'[1]数据-汇总表'!E13</f>
        <v>0</v>
      </c>
      <c r="F65" s="3372" t="e">
        <f t="shared" si="15"/>
        <v>#VALUE!</v>
      </c>
      <c r="G65" s="3384" t="s">
        <v>924</v>
      </c>
      <c r="H65" s="3380">
        <f>IF(G65="商业",[1]项目基本情况!B43,IF(G65="办公",[1]项目基本情况!C43,IF(G65="住宅",[1]项目基本情况!D43,[1]项目基本情况!E43)))</f>
        <v>0</v>
      </c>
      <c r="I65" s="3373" t="e">
        <f>SUMIF([1]修正!$A$45:$A$56,H65,[1]修正!H45:H56)</f>
        <v>#VALUE!</v>
      </c>
      <c r="J65" s="3381"/>
      <c r="K65" s="3374"/>
      <c r="L65" s="3374"/>
      <c r="M65" s="3374"/>
      <c r="N65" s="3374"/>
      <c r="O65" s="3374"/>
      <c r="P65" s="3374"/>
      <c r="Q65" s="3374"/>
      <c r="R65" s="3374"/>
      <c r="S65" s="3374"/>
      <c r="T65" s="3374"/>
      <c r="U65" s="3374"/>
      <c r="V65" s="3374"/>
      <c r="W65" s="3374"/>
      <c r="X65" s="3374"/>
      <c r="Y65" s="3374"/>
      <c r="Z65" s="3374"/>
      <c r="AA65" s="3374"/>
      <c r="AB65" s="3374"/>
      <c r="AC65" s="3374"/>
    </row>
    <row r="66" spans="1:29" s="3375" customFormat="1" ht="12.75">
      <c r="A66" s="3376" t="s">
        <v>3104</v>
      </c>
      <c r="B66" s="3369" t="e">
        <f t="shared" si="17"/>
        <v>#VALUE!</v>
      </c>
      <c r="C66" s="3377" t="e">
        <f t="shared" si="16"/>
        <v>#VALUE!</v>
      </c>
      <c r="D66" s="3378">
        <v>0.25</v>
      </c>
      <c r="E66" s="3369">
        <f>'[1]数据-汇总表'!E14</f>
        <v>0</v>
      </c>
      <c r="F66" s="3372" t="e">
        <f t="shared" si="15"/>
        <v>#VALUE!</v>
      </c>
      <c r="G66" s="3383" t="s">
        <v>2285</v>
      </c>
      <c r="H66" s="3380">
        <f>[1]项目基本情况!B43</f>
        <v>0</v>
      </c>
      <c r="I66" s="3373" t="e">
        <f>SUMIF([1]修正!$A$45:$A$56,H66,[1]修正!H45:H56)</f>
        <v>#VALUE!</v>
      </c>
      <c r="J66" s="3381"/>
      <c r="K66" s="3374"/>
      <c r="L66" s="3374"/>
      <c r="M66" s="3374"/>
      <c r="N66" s="3374"/>
      <c r="O66" s="3374"/>
      <c r="P66" s="3374"/>
      <c r="Q66" s="3374"/>
      <c r="R66" s="3374"/>
      <c r="S66" s="3374"/>
      <c r="T66" s="3374"/>
      <c r="U66" s="3374"/>
      <c r="V66" s="3374"/>
      <c r="W66" s="3374"/>
      <c r="X66" s="3374"/>
      <c r="Y66" s="3374"/>
      <c r="Z66" s="3374"/>
      <c r="AA66" s="3374"/>
      <c r="AB66" s="3374"/>
      <c r="AC66" s="3374"/>
    </row>
    <row r="67" spans="1:29" s="3375" customFormat="1" ht="13.5" thickBot="1">
      <c r="A67" s="3376" t="s">
        <v>3105</v>
      </c>
      <c r="B67" s="3369" t="e">
        <f t="shared" si="17"/>
        <v>#VALUE!</v>
      </c>
      <c r="C67" s="3377" t="e">
        <f t="shared" si="16"/>
        <v>#VALUE!</v>
      </c>
      <c r="D67" s="3378">
        <v>0.25</v>
      </c>
      <c r="E67" s="3369">
        <f>'[1]数据-汇总表'!E15</f>
        <v>0</v>
      </c>
      <c r="F67" s="3372" t="e">
        <f t="shared" si="15"/>
        <v>#VALUE!</v>
      </c>
      <c r="G67" s="3385" t="s">
        <v>2286</v>
      </c>
      <c r="H67" s="3386">
        <f>[1]项目基本情况!C43</f>
        <v>0</v>
      </c>
      <c r="I67" s="3373" t="e">
        <f>SUMIF([1]修正!$A$45:$A$56,H67,[1]修正!H45:H56)</f>
        <v>#VALUE!</v>
      </c>
      <c r="J67" s="3381"/>
      <c r="K67" s="3374"/>
      <c r="L67" s="3374"/>
      <c r="M67" s="3374"/>
      <c r="N67" s="3374"/>
      <c r="O67" s="3374"/>
      <c r="P67" s="3374"/>
      <c r="Q67" s="3374"/>
      <c r="R67" s="3374"/>
      <c r="S67" s="3374"/>
      <c r="T67" s="3374"/>
      <c r="U67" s="3374"/>
      <c r="V67" s="3374"/>
      <c r="W67" s="3374"/>
      <c r="X67" s="3374"/>
      <c r="Y67" s="3374"/>
      <c r="Z67" s="3374"/>
      <c r="AA67" s="3374"/>
      <c r="AB67" s="3374"/>
      <c r="AC67" s="3374"/>
    </row>
    <row r="68" spans="1:29" s="3375" customFormat="1" ht="13.5" thickBot="1">
      <c r="A68" s="3387" t="s">
        <v>3106</v>
      </c>
      <c r="B68" s="3388" t="s">
        <v>2297</v>
      </c>
      <c r="C68" s="3388" t="s">
        <v>2297</v>
      </c>
      <c r="D68" s="3388" t="s">
        <v>2297</v>
      </c>
      <c r="E68" s="3388">
        <f>IF(B48="楼面地价",SUM(E58:E67),'[1]数据-汇总表'!D3)</f>
        <v>242832.6</v>
      </c>
      <c r="F68" s="3389">
        <f>IF(B48="楼面地价",SUM(F58:F67),ROUND(C50*E68/10000,0))</f>
        <v>249073</v>
      </c>
      <c r="G68" s="3390"/>
      <c r="H68" s="3390"/>
      <c r="I68" s="3390"/>
      <c r="J68" s="3390"/>
      <c r="K68" s="3390"/>
      <c r="L68" s="3374"/>
      <c r="M68" s="3374"/>
      <c r="N68" s="3374"/>
      <c r="O68" s="3374"/>
      <c r="P68" s="3374"/>
      <c r="Q68" s="3374"/>
      <c r="R68" s="3374"/>
      <c r="S68" s="3374"/>
      <c r="T68" s="3374"/>
      <c r="U68" s="3374"/>
      <c r="V68" s="3374"/>
      <c r="W68" s="3374"/>
      <c r="X68" s="3374"/>
      <c r="Y68" s="3374"/>
      <c r="Z68" s="3374"/>
      <c r="AA68" s="3374"/>
      <c r="AB68" s="3374"/>
      <c r="AC68" s="3374"/>
    </row>
    <row r="69" spans="1:29">
      <c r="A69" s="3341"/>
      <c r="B69" s="3341"/>
      <c r="C69" s="3341"/>
      <c r="D69" s="3341"/>
      <c r="E69" s="3341"/>
      <c r="F69" s="3341"/>
      <c r="G69" s="3341"/>
      <c r="H69" s="3341"/>
      <c r="I69" s="3341"/>
      <c r="J69" s="3341"/>
      <c r="K69" s="3341"/>
      <c r="L69" s="3341"/>
      <c r="M69" s="3341"/>
      <c r="N69" s="3341"/>
      <c r="O69" s="3341"/>
      <c r="P69" s="3341"/>
      <c r="Q69" s="3341"/>
      <c r="R69" s="3341"/>
      <c r="S69" s="3341"/>
      <c r="T69" s="3341"/>
      <c r="U69" s="3341"/>
      <c r="V69" s="3341"/>
      <c r="W69" s="3341"/>
      <c r="X69" s="3341"/>
      <c r="Y69" s="3341"/>
      <c r="Z69" s="3341"/>
      <c r="AA69" s="3341"/>
      <c r="AB69" s="3341"/>
      <c r="AC69" s="3341"/>
    </row>
    <row r="70" spans="1:29">
      <c r="A70" s="3341"/>
      <c r="B70" s="3341"/>
      <c r="C70" s="3342" t="str">
        <f>YEAR(C9)&amp;"-"&amp;MONTH(C9)&amp;"-1"</f>
        <v>2017-7-1</v>
      </c>
      <c r="D70" s="3342">
        <f>EDATE(C70,-3)</f>
        <v>42826</v>
      </c>
      <c r="E70" s="3342">
        <f t="shared" ref="E70:N70" si="18">EDATE(D70,-3)</f>
        <v>42736</v>
      </c>
      <c r="F70" s="3342">
        <f t="shared" si="18"/>
        <v>42644</v>
      </c>
      <c r="G70" s="3342">
        <f t="shared" si="18"/>
        <v>42552</v>
      </c>
      <c r="H70" s="3342">
        <f t="shared" si="18"/>
        <v>42461</v>
      </c>
      <c r="I70" s="3342">
        <f t="shared" si="18"/>
        <v>42370</v>
      </c>
      <c r="J70" s="3342">
        <f t="shared" si="18"/>
        <v>42278</v>
      </c>
      <c r="K70" s="3342">
        <f t="shared" si="18"/>
        <v>42186</v>
      </c>
      <c r="L70" s="3342">
        <f t="shared" si="18"/>
        <v>42095</v>
      </c>
      <c r="M70" s="3342">
        <f t="shared" si="18"/>
        <v>42005</v>
      </c>
      <c r="N70" s="3342">
        <f t="shared" si="18"/>
        <v>41913</v>
      </c>
      <c r="O70" s="3341"/>
      <c r="P70" s="3341"/>
      <c r="Q70" s="3341"/>
      <c r="R70" s="3341"/>
      <c r="S70" s="3341"/>
      <c r="T70" s="3341"/>
      <c r="U70" s="3341"/>
      <c r="V70" s="3341"/>
      <c r="W70" s="3341"/>
      <c r="X70" s="3341"/>
      <c r="Y70" s="3341"/>
      <c r="Z70" s="3341"/>
      <c r="AA70" s="3341"/>
      <c r="AB70" s="3341"/>
      <c r="AC70" s="3341"/>
    </row>
    <row r="71" spans="1:29" ht="21.75" thickBot="1">
      <c r="A71" s="3391" t="s">
        <v>575</v>
      </c>
      <c r="B71" s="3342"/>
      <c r="C71" s="3392"/>
      <c r="D71" s="3392"/>
      <c r="E71" s="3392"/>
      <c r="F71" s="3393"/>
      <c r="G71" s="3393"/>
      <c r="H71" s="3392"/>
      <c r="I71" s="3392"/>
      <c r="J71" s="3392"/>
      <c r="K71" s="3393"/>
      <c r="L71" s="3392"/>
      <c r="M71" s="3392"/>
      <c r="N71" s="3392"/>
      <c r="O71" s="3394"/>
      <c r="P71" s="3394"/>
      <c r="Q71" s="3211"/>
      <c r="R71" s="3341"/>
      <c r="S71" s="3341"/>
      <c r="T71" s="3341"/>
      <c r="U71" s="3341"/>
      <c r="V71" s="3341"/>
      <c r="W71" s="3341"/>
      <c r="X71" s="3341"/>
      <c r="Y71" s="3341"/>
      <c r="Z71" s="3341"/>
      <c r="AA71" s="3341"/>
      <c r="AB71" s="3341"/>
      <c r="AC71" s="3341"/>
    </row>
    <row r="72" spans="1:29" s="3217" customFormat="1" ht="15">
      <c r="A72" s="3395" t="s">
        <v>2538</v>
      </c>
      <c r="B72" s="3396"/>
      <c r="C72" s="3397" t="str">
        <f>YEAR(C70)&amp;"-"&amp;ROUNDUP(MONTH(C70)/3,0)</f>
        <v>2017-3</v>
      </c>
      <c r="D72" s="3397" t="str">
        <f>YEAR(D70)&amp;"-"&amp;ROUNDUP(MONTH(D70)/3,0)</f>
        <v>2017-2</v>
      </c>
      <c r="E72" s="3397" t="str">
        <f t="shared" ref="E72:N72" si="19">YEAR(E70)&amp;"-"&amp;ROUNDUP(MONTH(E70)/3,0)</f>
        <v>2017-1</v>
      </c>
      <c r="F72" s="3397" t="str">
        <f t="shared" si="19"/>
        <v>2016-4</v>
      </c>
      <c r="G72" s="3397" t="str">
        <f t="shared" si="19"/>
        <v>2016-3</v>
      </c>
      <c r="H72" s="3397" t="str">
        <f t="shared" si="19"/>
        <v>2016-2</v>
      </c>
      <c r="I72" s="3397" t="str">
        <f t="shared" si="19"/>
        <v>2016-1</v>
      </c>
      <c r="J72" s="3397" t="str">
        <f t="shared" si="19"/>
        <v>2015-4</v>
      </c>
      <c r="K72" s="3397" t="str">
        <f t="shared" si="19"/>
        <v>2015-3</v>
      </c>
      <c r="L72" s="3397" t="str">
        <f t="shared" si="19"/>
        <v>2015-2</v>
      </c>
      <c r="M72" s="3397" t="str">
        <f t="shared" si="19"/>
        <v>2015-1</v>
      </c>
      <c r="N72" s="3397" t="str">
        <f t="shared" si="19"/>
        <v>2014-4</v>
      </c>
      <c r="O72" s="3211"/>
      <c r="P72" s="3212"/>
      <c r="Q72" s="3398"/>
      <c r="R72" s="3398"/>
      <c r="S72" s="3398"/>
      <c r="T72" s="3398"/>
      <c r="U72" s="3398"/>
      <c r="V72" s="3398"/>
      <c r="W72" s="3398"/>
      <c r="X72" s="3398"/>
      <c r="Y72" s="3398"/>
      <c r="Z72" s="3398"/>
      <c r="AA72" s="3398"/>
      <c r="AB72" s="3398"/>
      <c r="AC72" s="3398"/>
    </row>
    <row r="73" spans="1:29" s="3217" customFormat="1" ht="27" customHeight="1">
      <c r="A73" s="3399" t="s">
        <v>2655</v>
      </c>
      <c r="B73" s="3400" t="e">
        <f>"北京市平均增长率"&amp;TEXT(SUMIF([1]基准地价!N21:N25,A73,[1]基准地价!P21:P25),"0.00%")</f>
        <v>#VALUE!</v>
      </c>
      <c r="C73" s="3228">
        <v>100</v>
      </c>
      <c r="D73" s="3401">
        <f>C73-$C$74</f>
        <v>99</v>
      </c>
      <c r="E73" s="3401">
        <f t="shared" ref="E73:N73" si="20">D73-$C$74</f>
        <v>98</v>
      </c>
      <c r="F73" s="3401">
        <f t="shared" si="20"/>
        <v>97</v>
      </c>
      <c r="G73" s="3401">
        <f t="shared" si="20"/>
        <v>96</v>
      </c>
      <c r="H73" s="3401">
        <f t="shared" si="20"/>
        <v>95</v>
      </c>
      <c r="I73" s="3401">
        <f t="shared" si="20"/>
        <v>94</v>
      </c>
      <c r="J73" s="3401">
        <f t="shared" si="20"/>
        <v>93</v>
      </c>
      <c r="K73" s="3401">
        <f t="shared" si="20"/>
        <v>92</v>
      </c>
      <c r="L73" s="3401">
        <f t="shared" si="20"/>
        <v>91</v>
      </c>
      <c r="M73" s="3401">
        <f t="shared" si="20"/>
        <v>90</v>
      </c>
      <c r="N73" s="3401">
        <f t="shared" si="20"/>
        <v>89</v>
      </c>
      <c r="O73" s="3211"/>
      <c r="P73" s="3211"/>
      <c r="Q73" s="3398"/>
      <c r="R73" s="3398"/>
      <c r="S73" s="3398"/>
      <c r="T73" s="3398"/>
      <c r="U73" s="3398"/>
      <c r="V73" s="3398"/>
      <c r="W73" s="3398"/>
      <c r="X73" s="3398"/>
      <c r="Y73" s="3398"/>
      <c r="Z73" s="3398"/>
      <c r="AA73" s="3398"/>
      <c r="AB73" s="3398"/>
      <c r="AC73" s="3398"/>
    </row>
    <row r="74" spans="1:29" s="3217" customFormat="1" ht="15" customHeight="1" thickBot="1">
      <c r="A74" s="3402" t="s">
        <v>3107</v>
      </c>
      <c r="B74" s="3403"/>
      <c r="C74" s="3404">
        <v>1</v>
      </c>
      <c r="D74" s="3405"/>
      <c r="E74" s="3405"/>
      <c r="F74" s="3405"/>
      <c r="G74" s="3405"/>
      <c r="H74" s="3405"/>
      <c r="I74" s="3405"/>
      <c r="J74" s="3405"/>
      <c r="K74" s="3405"/>
      <c r="L74" s="3405"/>
      <c r="M74" s="3405"/>
      <c r="N74" s="3405"/>
      <c r="O74" s="3211"/>
      <c r="P74" s="3211"/>
      <c r="Q74" s="3211"/>
      <c r="R74" s="3398"/>
      <c r="S74" s="3398"/>
      <c r="T74" s="3398"/>
      <c r="U74" s="3398"/>
      <c r="V74" s="3398"/>
      <c r="W74" s="3398"/>
      <c r="X74" s="3398"/>
      <c r="Y74" s="3398"/>
      <c r="Z74" s="3398"/>
      <c r="AA74" s="3398"/>
      <c r="AB74" s="3398"/>
      <c r="AC74" s="3398"/>
    </row>
    <row r="75" spans="1:29" s="3217" customFormat="1" ht="15">
      <c r="A75" s="3406" t="s">
        <v>532</v>
      </c>
      <c r="B75" s="3407"/>
      <c r="C75" s="3408" t="s">
        <v>3108</v>
      </c>
      <c r="D75" s="3409"/>
      <c r="E75" s="3409"/>
      <c r="F75" s="3409"/>
      <c r="G75" s="3409"/>
      <c r="H75" s="3409"/>
      <c r="I75" s="3409"/>
      <c r="J75" s="3409"/>
      <c r="K75" s="3409"/>
      <c r="L75" s="3410"/>
      <c r="M75" s="3411"/>
      <c r="N75" s="3211"/>
      <c r="O75" s="3211"/>
      <c r="P75" s="3412"/>
      <c r="Q75" s="3211"/>
      <c r="R75" s="3398"/>
      <c r="S75" s="3398"/>
      <c r="T75" s="3398"/>
      <c r="U75" s="3398"/>
      <c r="V75" s="3398"/>
      <c r="W75" s="3398"/>
      <c r="X75" s="3398"/>
      <c r="Y75" s="3398"/>
      <c r="Z75" s="3398"/>
      <c r="AA75" s="3398"/>
      <c r="AB75" s="3398"/>
      <c r="AC75" s="3398"/>
    </row>
    <row r="76" spans="1:29" s="3217" customFormat="1" ht="15.75" thickBot="1">
      <c r="A76" s="3406"/>
      <c r="B76" s="3407"/>
      <c r="C76" s="3413">
        <v>100</v>
      </c>
      <c r="D76" s="3414"/>
      <c r="E76" s="3414"/>
      <c r="F76" s="3414"/>
      <c r="G76" s="3414"/>
      <c r="H76" s="3414"/>
      <c r="I76" s="3414"/>
      <c r="J76" s="3414"/>
      <c r="K76" s="3414"/>
      <c r="L76" s="3414"/>
      <c r="M76" s="3415"/>
      <c r="N76" s="3211"/>
      <c r="O76" s="3211"/>
      <c r="P76" s="3211"/>
      <c r="Q76" s="3211"/>
      <c r="R76" s="3398"/>
      <c r="S76" s="3398"/>
      <c r="T76" s="3398"/>
      <c r="U76" s="3398"/>
      <c r="V76" s="3398"/>
      <c r="W76" s="3398"/>
      <c r="X76" s="3398"/>
      <c r="Y76" s="3398"/>
      <c r="Z76" s="3398"/>
      <c r="AA76" s="3398"/>
      <c r="AB76" s="3398"/>
      <c r="AC76" s="3398"/>
    </row>
    <row r="77" spans="1:29">
      <c r="A77" s="3416" t="s">
        <v>578</v>
      </c>
      <c r="B77" s="3417" t="s">
        <v>535</v>
      </c>
      <c r="C77" s="3418" t="s">
        <v>3109</v>
      </c>
      <c r="D77" s="3418" t="s">
        <v>1953</v>
      </c>
      <c r="E77" s="3319"/>
      <c r="F77" s="3319"/>
      <c r="G77" s="3319"/>
      <c r="H77" s="3319"/>
      <c r="I77" s="3319"/>
      <c r="J77" s="3319"/>
      <c r="K77" s="3419"/>
      <c r="L77" s="3420"/>
      <c r="M77" s="3421"/>
      <c r="N77" s="3253"/>
      <c r="O77" s="3253"/>
      <c r="P77" s="3211"/>
      <c r="Q77" s="3211"/>
      <c r="R77" s="3341"/>
      <c r="S77" s="3341"/>
      <c r="T77" s="3341"/>
      <c r="U77" s="3341"/>
      <c r="V77" s="3341"/>
      <c r="W77" s="3341"/>
      <c r="X77" s="3341"/>
      <c r="Y77" s="3341"/>
      <c r="Z77" s="3341"/>
      <c r="AA77" s="3341"/>
      <c r="AB77" s="3341"/>
      <c r="AC77" s="3341"/>
    </row>
    <row r="78" spans="1:29" ht="15.75" thickBot="1">
      <c r="A78" s="3270"/>
      <c r="B78" s="3422"/>
      <c r="C78" s="3423">
        <v>100</v>
      </c>
      <c r="D78" s="3423">
        <v>98</v>
      </c>
      <c r="E78" s="3423"/>
      <c r="F78" s="3423"/>
      <c r="G78" s="3423"/>
      <c r="H78" s="3423"/>
      <c r="I78" s="3423"/>
      <c r="J78" s="3423"/>
      <c r="K78" s="3423"/>
      <c r="L78" s="3423"/>
      <c r="M78" s="3424"/>
      <c r="N78" s="3425"/>
      <c r="O78" s="3425"/>
      <c r="P78" s="3211"/>
      <c r="Q78" s="3211"/>
      <c r="R78" s="3341"/>
      <c r="S78" s="3341"/>
      <c r="T78" s="3341"/>
      <c r="U78" s="3341"/>
      <c r="V78" s="3341"/>
      <c r="W78" s="3341"/>
      <c r="X78" s="3341"/>
      <c r="Y78" s="3341"/>
      <c r="Z78" s="3341"/>
      <c r="AA78" s="3341"/>
      <c r="AB78" s="3341"/>
      <c r="AC78" s="3341"/>
    </row>
    <row r="79" spans="1:29" ht="27.75" hidden="1" thickTop="1">
      <c r="A79" s="3270"/>
      <c r="B79" s="3426" t="s">
        <v>538</v>
      </c>
      <c r="C79" s="3427"/>
      <c r="D79" s="3427"/>
      <c r="E79" s="3427"/>
      <c r="F79" s="3427"/>
      <c r="G79" s="3427"/>
      <c r="H79" s="3427"/>
      <c r="I79" s="3427"/>
      <c r="J79" s="3427"/>
      <c r="K79" s="3428"/>
      <c r="L79" s="3429"/>
      <c r="M79" s="3430"/>
      <c r="N79" s="3253"/>
      <c r="O79" s="3253"/>
      <c r="P79" s="3211"/>
      <c r="Q79" s="3211"/>
      <c r="R79" s="3341"/>
      <c r="S79" s="3341"/>
      <c r="T79" s="3341"/>
      <c r="U79" s="3341"/>
      <c r="V79" s="3341"/>
      <c r="W79" s="3341"/>
      <c r="X79" s="3341"/>
      <c r="Y79" s="3341"/>
      <c r="Z79" s="3341"/>
      <c r="AA79" s="3341"/>
      <c r="AB79" s="3341"/>
      <c r="AC79" s="3341"/>
    </row>
    <row r="80" spans="1:29" ht="16.5" hidden="1" thickTop="1" thickBot="1">
      <c r="A80" s="3270"/>
      <c r="B80" s="3431"/>
      <c r="C80" s="3432"/>
      <c r="D80" s="3432"/>
      <c r="E80" s="3432"/>
      <c r="F80" s="3432"/>
      <c r="G80" s="3432"/>
      <c r="H80" s="3432"/>
      <c r="I80" s="3432"/>
      <c r="J80" s="3432"/>
      <c r="K80" s="3432"/>
      <c r="L80" s="3432"/>
      <c r="M80" s="3433"/>
      <c r="N80" s="3425"/>
      <c r="O80" s="3425"/>
      <c r="P80" s="3211"/>
      <c r="Q80" s="3211"/>
      <c r="R80" s="3341"/>
      <c r="S80" s="3341"/>
      <c r="T80" s="3341"/>
      <c r="U80" s="3341"/>
      <c r="V80" s="3341"/>
      <c r="W80" s="3341"/>
      <c r="X80" s="3341"/>
      <c r="Y80" s="3341"/>
      <c r="Z80" s="3341"/>
      <c r="AA80" s="3341"/>
      <c r="AB80" s="3341"/>
      <c r="AC80" s="3341"/>
    </row>
    <row r="81" spans="1:29" ht="15.75" thickTop="1">
      <c r="A81" s="3270"/>
      <c r="B81" s="3434" t="s">
        <v>539</v>
      </c>
      <c r="C81" s="3435" t="str">
        <f>C82&amp;"（含）"&amp;"-"&amp;D82</f>
        <v>0（含）-1</v>
      </c>
      <c r="D81" s="3435" t="str">
        <f t="shared" ref="D81:L81" si="21">D82&amp;"（含）"&amp;"-"&amp;E82</f>
        <v>1（含）-2</v>
      </c>
      <c r="E81" s="3435" t="str">
        <f t="shared" si="21"/>
        <v>2（含）-3</v>
      </c>
      <c r="F81" s="3435" t="str">
        <f t="shared" si="21"/>
        <v>3（含）-4</v>
      </c>
      <c r="G81" s="3435" t="str">
        <f t="shared" si="21"/>
        <v>4（含）-5</v>
      </c>
      <c r="H81" s="3435" t="str">
        <f t="shared" si="21"/>
        <v>5（含）-6</v>
      </c>
      <c r="I81" s="3435" t="str">
        <f t="shared" si="21"/>
        <v>6（含）-7</v>
      </c>
      <c r="J81" s="3435" t="str">
        <f t="shared" si="21"/>
        <v>7（含）-8</v>
      </c>
      <c r="K81" s="3435" t="str">
        <f t="shared" si="21"/>
        <v>8（含）-</v>
      </c>
      <c r="L81" s="3435" t="str">
        <f t="shared" si="21"/>
        <v>（含）-</v>
      </c>
      <c r="M81" s="3275" t="str">
        <f>M82&amp;"（含）"&amp;"-"&amp;P82</f>
        <v>（含）-</v>
      </c>
      <c r="N81" s="3425"/>
      <c r="O81" s="3425"/>
      <c r="P81" s="3211"/>
      <c r="Q81" s="3211"/>
      <c r="R81" s="3341"/>
      <c r="S81" s="3341"/>
      <c r="T81" s="3341"/>
      <c r="U81" s="3341"/>
      <c r="V81" s="3341"/>
      <c r="W81" s="3341"/>
      <c r="X81" s="3341"/>
      <c r="Y81" s="3341"/>
      <c r="Z81" s="3341"/>
      <c r="AA81" s="3341"/>
      <c r="AB81" s="3341"/>
      <c r="AC81" s="3341"/>
    </row>
    <row r="82" spans="1:29" ht="15">
      <c r="A82" s="3270"/>
      <c r="B82" s="3436"/>
      <c r="C82" s="3251">
        <v>0</v>
      </c>
      <c r="D82" s="3251">
        <v>1</v>
      </c>
      <c r="E82" s="3251">
        <v>2</v>
      </c>
      <c r="F82" s="3251">
        <v>3</v>
      </c>
      <c r="G82" s="3251">
        <v>4</v>
      </c>
      <c r="H82" s="3251">
        <v>5</v>
      </c>
      <c r="I82" s="3251">
        <v>6</v>
      </c>
      <c r="J82" s="3251">
        <v>7</v>
      </c>
      <c r="K82" s="3437">
        <v>8</v>
      </c>
      <c r="L82" s="3438"/>
      <c r="M82" s="3439"/>
      <c r="N82" s="3253"/>
      <c r="O82" s="3253"/>
      <c r="P82" s="3211"/>
      <c r="Q82" s="3211"/>
      <c r="R82" s="3341"/>
      <c r="S82" s="3341"/>
      <c r="T82" s="3341"/>
      <c r="U82" s="3341"/>
      <c r="V82" s="3341"/>
      <c r="W82" s="3341"/>
      <c r="X82" s="3341"/>
      <c r="Y82" s="3341"/>
      <c r="Z82" s="3341"/>
      <c r="AA82" s="3341"/>
      <c r="AB82" s="3341"/>
      <c r="AC82" s="3341"/>
    </row>
    <row r="83" spans="1:29" ht="15.75" thickBot="1">
      <c r="A83" s="3270"/>
      <c r="B83" s="3422"/>
      <c r="C83" s="3432">
        <v>100</v>
      </c>
      <c r="D83" s="3432">
        <f>IF($B$48="单位面积地价",C83+$K13,C83-$K13)</f>
        <v>102</v>
      </c>
      <c r="E83" s="3432">
        <f t="shared" ref="E83:M83" si="22">IF($B$48="单位面积地价",D83+$K13,D83-$K13)</f>
        <v>104</v>
      </c>
      <c r="F83" s="3432">
        <f t="shared" si="22"/>
        <v>106</v>
      </c>
      <c r="G83" s="3432">
        <f t="shared" si="22"/>
        <v>108</v>
      </c>
      <c r="H83" s="3432">
        <f t="shared" si="22"/>
        <v>110</v>
      </c>
      <c r="I83" s="3432">
        <f t="shared" si="22"/>
        <v>112</v>
      </c>
      <c r="J83" s="3432">
        <f t="shared" si="22"/>
        <v>114</v>
      </c>
      <c r="K83" s="3432">
        <f t="shared" si="22"/>
        <v>116</v>
      </c>
      <c r="L83" s="3432">
        <f t="shared" si="22"/>
        <v>118</v>
      </c>
      <c r="M83" s="3432">
        <f t="shared" si="22"/>
        <v>120</v>
      </c>
      <c r="N83" s="3425"/>
      <c r="O83" s="3425"/>
      <c r="P83" s="3211"/>
      <c r="Q83" s="3211"/>
      <c r="R83" s="3341"/>
      <c r="S83" s="3341"/>
      <c r="T83" s="3341"/>
      <c r="U83" s="3341"/>
      <c r="V83" s="3341"/>
      <c r="W83" s="3341"/>
      <c r="X83" s="3341"/>
      <c r="Y83" s="3341"/>
      <c r="Z83" s="3341"/>
      <c r="AA83" s="3341"/>
      <c r="AB83" s="3341"/>
      <c r="AC83" s="3341"/>
    </row>
    <row r="84" spans="1:29" s="3314" customFormat="1" ht="16.5" hidden="1" thickTop="1" thickBot="1">
      <c r="A84" s="3440"/>
      <c r="B84" s="3426" t="str">
        <f>B14</f>
        <v>配建</v>
      </c>
      <c r="C84" s="3441"/>
      <c r="D84" s="3442"/>
      <c r="E84" s="3443"/>
      <c r="F84" s="3441"/>
      <c r="G84" s="3441"/>
      <c r="H84" s="3444"/>
      <c r="I84" s="3444"/>
      <c r="J84" s="3444"/>
      <c r="K84" s="3444"/>
      <c r="L84" s="3445"/>
      <c r="M84" s="3446"/>
      <c r="N84" s="3241"/>
      <c r="O84" s="3241"/>
      <c r="P84" s="3241"/>
      <c r="Q84" s="3241"/>
      <c r="R84" s="3447"/>
      <c r="S84" s="3447"/>
      <c r="T84" s="3447"/>
      <c r="U84" s="3447"/>
      <c r="V84" s="3447"/>
      <c r="W84" s="3447"/>
      <c r="X84" s="3447"/>
      <c r="Y84" s="3447"/>
      <c r="Z84" s="3447"/>
      <c r="AA84" s="3447"/>
      <c r="AB84" s="3447"/>
      <c r="AC84" s="3447"/>
    </row>
    <row r="85" spans="1:29" s="3314" customFormat="1" ht="16.5" hidden="1" thickTop="1" thickBot="1">
      <c r="A85" s="3440"/>
      <c r="B85" s="3431"/>
      <c r="C85" s="3448"/>
      <c r="D85" s="3423"/>
      <c r="E85" s="3423"/>
      <c r="F85" s="3423"/>
      <c r="G85" s="3423"/>
      <c r="H85" s="3423"/>
      <c r="I85" s="3423"/>
      <c r="J85" s="3423"/>
      <c r="K85" s="3423"/>
      <c r="L85" s="3423"/>
      <c r="M85" s="3424"/>
      <c r="N85" s="3425"/>
      <c r="O85" s="3425"/>
      <c r="P85" s="3241"/>
      <c r="Q85" s="3241"/>
      <c r="R85" s="3447"/>
      <c r="S85" s="3447"/>
      <c r="T85" s="3447"/>
      <c r="U85" s="3447"/>
      <c r="V85" s="3447"/>
      <c r="W85" s="3447"/>
      <c r="X85" s="3447"/>
      <c r="Y85" s="3447"/>
      <c r="Z85" s="3447"/>
      <c r="AA85" s="3447"/>
      <c r="AB85" s="3447"/>
      <c r="AC85" s="3447"/>
    </row>
    <row r="86" spans="1:29" s="3314" customFormat="1" ht="16.5" hidden="1" thickTop="1" thickBot="1">
      <c r="A86" s="3440"/>
      <c r="B86" s="3426">
        <f>B15</f>
        <v>0</v>
      </c>
      <c r="C86" s="3441"/>
      <c r="D86" s="3441"/>
      <c r="E86" s="3441"/>
      <c r="F86" s="3441"/>
      <c r="G86" s="3441"/>
      <c r="H86" s="3444"/>
      <c r="I86" s="3444"/>
      <c r="J86" s="3444"/>
      <c r="K86" s="3444"/>
      <c r="L86" s="3445"/>
      <c r="M86" s="3446"/>
      <c r="N86" s="3241"/>
      <c r="O86" s="3241"/>
      <c r="P86" s="3449"/>
      <c r="Q86" s="3449"/>
      <c r="R86" s="3447"/>
      <c r="S86" s="3447"/>
      <c r="T86" s="3447"/>
      <c r="U86" s="3447"/>
      <c r="V86" s="3447"/>
      <c r="W86" s="3447"/>
      <c r="X86" s="3447"/>
      <c r="Y86" s="3447"/>
      <c r="Z86" s="3447"/>
      <c r="AA86" s="3447"/>
      <c r="AB86" s="3447"/>
      <c r="AC86" s="3447"/>
    </row>
    <row r="87" spans="1:29" s="3314" customFormat="1" ht="16.5" hidden="1" thickTop="1" thickBot="1">
      <c r="A87" s="3440"/>
      <c r="B87" s="3431"/>
      <c r="C87" s="3448"/>
      <c r="D87" s="3448"/>
      <c r="E87" s="3448"/>
      <c r="F87" s="3448"/>
      <c r="G87" s="3448"/>
      <c r="H87" s="3450"/>
      <c r="I87" s="3450"/>
      <c r="J87" s="3450"/>
      <c r="K87" s="3450"/>
      <c r="L87" s="3450"/>
      <c r="M87" s="3451"/>
      <c r="N87" s="3241"/>
      <c r="O87" s="3241"/>
      <c r="P87" s="3241"/>
      <c r="Q87" s="3241"/>
      <c r="R87" s="3447"/>
      <c r="S87" s="3447"/>
      <c r="T87" s="3447"/>
      <c r="U87" s="3447"/>
      <c r="V87" s="3447"/>
      <c r="W87" s="3447"/>
      <c r="X87" s="3447"/>
      <c r="Y87" s="3447"/>
      <c r="Z87" s="3447"/>
      <c r="AA87" s="3447"/>
      <c r="AB87" s="3447"/>
      <c r="AC87" s="3447"/>
    </row>
    <row r="88" spans="1:29" s="3314" customFormat="1" ht="16.5" hidden="1" thickTop="1" thickBot="1">
      <c r="A88" s="3440"/>
      <c r="B88" s="3434">
        <f>B16</f>
        <v>0</v>
      </c>
      <c r="C88" s="3409"/>
      <c r="D88" s="3409"/>
      <c r="E88" s="3409"/>
      <c r="F88" s="3409"/>
      <c r="G88" s="3409"/>
      <c r="H88" s="3452"/>
      <c r="I88" s="3452"/>
      <c r="J88" s="3452"/>
      <c r="K88" s="3452"/>
      <c r="L88" s="3453"/>
      <c r="M88" s="3454"/>
      <c r="N88" s="3241"/>
      <c r="O88" s="3241"/>
      <c r="P88" s="3455"/>
      <c r="Q88" s="3241"/>
      <c r="R88" s="3447"/>
      <c r="S88" s="3447"/>
      <c r="T88" s="3447"/>
      <c r="U88" s="3447"/>
      <c r="V88" s="3447"/>
      <c r="W88" s="3447"/>
      <c r="X88" s="3447"/>
      <c r="Y88" s="3447"/>
      <c r="Z88" s="3447"/>
      <c r="AA88" s="3447"/>
      <c r="AB88" s="3447"/>
      <c r="AC88" s="3447"/>
    </row>
    <row r="89" spans="1:29" s="3314" customFormat="1" ht="16.5" hidden="1" thickTop="1" thickBot="1">
      <c r="A89" s="3456"/>
      <c r="B89" s="3457"/>
      <c r="C89" s="3458"/>
      <c r="D89" s="3458"/>
      <c r="E89" s="3458"/>
      <c r="F89" s="3458"/>
      <c r="G89" s="3458"/>
      <c r="H89" s="3459"/>
      <c r="I89" s="3459"/>
      <c r="J89" s="3459"/>
      <c r="K89" s="3459"/>
      <c r="L89" s="3459"/>
      <c r="M89" s="3460"/>
      <c r="N89" s="3241"/>
      <c r="O89" s="3241"/>
      <c r="P89" s="3241"/>
      <c r="Q89" s="3241"/>
      <c r="R89" s="3447"/>
      <c r="S89" s="3447"/>
      <c r="T89" s="3447"/>
      <c r="U89" s="3447"/>
      <c r="V89" s="3447"/>
      <c r="W89" s="3447"/>
      <c r="X89" s="3447"/>
      <c r="Y89" s="3447"/>
      <c r="Z89" s="3447"/>
      <c r="AA89" s="3447"/>
      <c r="AB89" s="3447"/>
      <c r="AC89" s="3447"/>
    </row>
    <row r="90" spans="1:29" ht="15" thickTop="1">
      <c r="A90" s="3416" t="s">
        <v>3110</v>
      </c>
      <c r="B90" s="3417" t="s">
        <v>3111</v>
      </c>
      <c r="C90" s="3461" t="s">
        <v>3112</v>
      </c>
      <c r="D90" s="3461" t="s">
        <v>3113</v>
      </c>
      <c r="E90" s="3461" t="s">
        <v>3114</v>
      </c>
      <c r="F90" s="3461" t="s">
        <v>3115</v>
      </c>
      <c r="G90" s="3461" t="s">
        <v>3116</v>
      </c>
      <c r="H90" s="3462"/>
      <c r="I90" s="3462"/>
      <c r="J90" s="3462"/>
      <c r="K90" s="3463"/>
      <c r="L90" s="3464"/>
      <c r="M90" s="3465"/>
      <c r="N90" s="3253"/>
      <c r="O90" s="3253"/>
      <c r="P90" s="3198"/>
      <c r="Q90" s="3211"/>
      <c r="R90" s="3341"/>
      <c r="S90" s="3341"/>
      <c r="T90" s="3341"/>
      <c r="U90" s="3341"/>
      <c r="V90" s="3341"/>
      <c r="W90" s="3341"/>
      <c r="X90" s="3341"/>
      <c r="Y90" s="3341"/>
      <c r="Z90" s="3341"/>
      <c r="AA90" s="3341"/>
      <c r="AB90" s="3341"/>
      <c r="AC90" s="3341"/>
    </row>
    <row r="91" spans="1:29" ht="15.75" thickBot="1">
      <c r="A91" s="3270"/>
      <c r="B91" s="3431"/>
      <c r="C91" s="3432">
        <v>100</v>
      </c>
      <c r="D91" s="3432">
        <f>C91-$K17</f>
        <v>98</v>
      </c>
      <c r="E91" s="3432">
        <f>D91-$K17</f>
        <v>96</v>
      </c>
      <c r="F91" s="3432">
        <f>E91-$K17</f>
        <v>94</v>
      </c>
      <c r="G91" s="3432">
        <f>F91-$K17</f>
        <v>92</v>
      </c>
      <c r="H91" s="3432"/>
      <c r="I91" s="3432"/>
      <c r="J91" s="3432"/>
      <c r="K91" s="3432"/>
      <c r="L91" s="3432"/>
      <c r="M91" s="3433"/>
      <c r="N91" s="3425"/>
      <c r="O91" s="3425"/>
      <c r="P91" s="3211"/>
      <c r="Q91" s="3211"/>
      <c r="R91" s="3341"/>
      <c r="S91" s="3341"/>
      <c r="T91" s="3341"/>
      <c r="U91" s="3341"/>
      <c r="V91" s="3341"/>
      <c r="W91" s="3341"/>
      <c r="X91" s="3341"/>
      <c r="Y91" s="3341"/>
      <c r="Z91" s="3341"/>
      <c r="AA91" s="3341"/>
      <c r="AB91" s="3341"/>
      <c r="AC91" s="3341"/>
    </row>
    <row r="92" spans="1:29" ht="15.75" thickTop="1">
      <c r="A92" s="3270"/>
      <c r="B92" s="3426" t="s">
        <v>3117</v>
      </c>
      <c r="C92" s="3466" t="s">
        <v>3112</v>
      </c>
      <c r="D92" s="3466" t="s">
        <v>3113</v>
      </c>
      <c r="E92" s="3466" t="s">
        <v>3114</v>
      </c>
      <c r="F92" s="3466" t="s">
        <v>3115</v>
      </c>
      <c r="G92" s="3466" t="s">
        <v>3116</v>
      </c>
      <c r="H92" s="3427"/>
      <c r="I92" s="3427"/>
      <c r="J92" s="3427"/>
      <c r="K92" s="3428"/>
      <c r="L92" s="3429"/>
      <c r="M92" s="3430"/>
      <c r="N92" s="3253"/>
      <c r="O92" s="3253"/>
      <c r="P92" s="3211"/>
      <c r="Q92" s="3211"/>
      <c r="R92" s="3341"/>
      <c r="S92" s="3341"/>
      <c r="T92" s="3341"/>
      <c r="U92" s="3341"/>
      <c r="V92" s="3341"/>
      <c r="W92" s="3341"/>
      <c r="X92" s="3341"/>
      <c r="Y92" s="3341"/>
      <c r="Z92" s="3341"/>
      <c r="AA92" s="3341"/>
      <c r="AB92" s="3341"/>
      <c r="AC92" s="3341"/>
    </row>
    <row r="93" spans="1:29" ht="15.75" thickBot="1">
      <c r="A93" s="3270"/>
      <c r="B93" s="3431"/>
      <c r="C93" s="3432">
        <v>100</v>
      </c>
      <c r="D93" s="3432">
        <f>C93-$K19</f>
        <v>98</v>
      </c>
      <c r="E93" s="3432">
        <f>D93-$K19</f>
        <v>96</v>
      </c>
      <c r="F93" s="3432">
        <f>E93-$K19</f>
        <v>94</v>
      </c>
      <c r="G93" s="3432">
        <f>F93-$K19</f>
        <v>92</v>
      </c>
      <c r="H93" s="3432"/>
      <c r="I93" s="3432"/>
      <c r="J93" s="3432"/>
      <c r="K93" s="3432"/>
      <c r="L93" s="3432"/>
      <c r="M93" s="3433"/>
      <c r="N93" s="3425"/>
      <c r="O93" s="3425"/>
      <c r="P93" s="3211"/>
      <c r="Q93" s="3211"/>
      <c r="R93" s="3341"/>
      <c r="S93" s="3341"/>
      <c r="T93" s="3341"/>
      <c r="U93" s="3341"/>
      <c r="V93" s="3341"/>
      <c r="W93" s="3341"/>
      <c r="X93" s="3341"/>
      <c r="Y93" s="3341"/>
      <c r="Z93" s="3341"/>
      <c r="AA93" s="3341"/>
      <c r="AB93" s="3341"/>
      <c r="AC93" s="3341"/>
    </row>
    <row r="94" spans="1:29" ht="15.75" thickTop="1">
      <c r="A94" s="3270"/>
      <c r="B94" s="3426" t="s">
        <v>3118</v>
      </c>
      <c r="C94" s="3466" t="s">
        <v>3112</v>
      </c>
      <c r="D94" s="3466" t="s">
        <v>3113</v>
      </c>
      <c r="E94" s="3466" t="s">
        <v>3114</v>
      </c>
      <c r="F94" s="3466" t="s">
        <v>3115</v>
      </c>
      <c r="G94" s="3466" t="s">
        <v>3116</v>
      </c>
      <c r="H94" s="3427"/>
      <c r="I94" s="3427"/>
      <c r="J94" s="3427"/>
      <c r="K94" s="3428"/>
      <c r="L94" s="3429"/>
      <c r="M94" s="3430"/>
      <c r="N94" s="3253"/>
      <c r="O94" s="3253"/>
      <c r="P94" s="3211"/>
      <c r="Q94" s="3211"/>
      <c r="R94" s="3341"/>
      <c r="S94" s="3341"/>
      <c r="T94" s="3341"/>
      <c r="U94" s="3341"/>
      <c r="V94" s="3341"/>
      <c r="W94" s="3341"/>
      <c r="X94" s="3341"/>
      <c r="Y94" s="3341"/>
      <c r="Z94" s="3341"/>
      <c r="AA94" s="3341"/>
      <c r="AB94" s="3341"/>
      <c r="AC94" s="3341"/>
    </row>
    <row r="95" spans="1:29" ht="15.75" thickBot="1">
      <c r="A95" s="3270"/>
      <c r="B95" s="3431"/>
      <c r="C95" s="3432">
        <v>100</v>
      </c>
      <c r="D95" s="3432">
        <f>C95-$K21</f>
        <v>100</v>
      </c>
      <c r="E95" s="3432">
        <f>D95-$K21</f>
        <v>100</v>
      </c>
      <c r="F95" s="3432">
        <f>E95-$K21</f>
        <v>100</v>
      </c>
      <c r="G95" s="3432">
        <f>F95-$K21</f>
        <v>100</v>
      </c>
      <c r="H95" s="3432"/>
      <c r="I95" s="3432"/>
      <c r="J95" s="3432"/>
      <c r="K95" s="3432"/>
      <c r="L95" s="3432"/>
      <c r="M95" s="3433"/>
      <c r="N95" s="3425"/>
      <c r="O95" s="3425"/>
      <c r="P95" s="3211"/>
      <c r="Q95" s="3211"/>
      <c r="R95" s="3341"/>
      <c r="S95" s="3341"/>
      <c r="T95" s="3341"/>
      <c r="U95" s="3341"/>
      <c r="V95" s="3341"/>
      <c r="W95" s="3341"/>
      <c r="X95" s="3341"/>
      <c r="Y95" s="3341"/>
      <c r="Z95" s="3341"/>
      <c r="AA95" s="3341"/>
      <c r="AB95" s="3341"/>
      <c r="AC95" s="3341"/>
    </row>
    <row r="96" spans="1:29" ht="15.75" thickTop="1">
      <c r="A96" s="3270"/>
      <c r="B96" s="3426" t="s">
        <v>3119</v>
      </c>
      <c r="C96" s="3466" t="s">
        <v>3112</v>
      </c>
      <c r="D96" s="3466" t="s">
        <v>3113</v>
      </c>
      <c r="E96" s="3466" t="s">
        <v>3114</v>
      </c>
      <c r="F96" s="3466" t="s">
        <v>3115</v>
      </c>
      <c r="G96" s="3466" t="s">
        <v>3116</v>
      </c>
      <c r="H96" s="3427"/>
      <c r="I96" s="3427"/>
      <c r="J96" s="3427"/>
      <c r="K96" s="3428"/>
      <c r="L96" s="3429"/>
      <c r="M96" s="3430"/>
      <c r="N96" s="3253"/>
      <c r="O96" s="3253"/>
      <c r="P96" s="3211"/>
      <c r="Q96" s="3211"/>
      <c r="R96" s="3341"/>
      <c r="S96" s="3341"/>
      <c r="T96" s="3341"/>
      <c r="U96" s="3341"/>
      <c r="V96" s="3341"/>
      <c r="W96" s="3341"/>
      <c r="X96" s="3341"/>
      <c r="Y96" s="3341"/>
      <c r="Z96" s="3341"/>
      <c r="AA96" s="3341"/>
      <c r="AB96" s="3341"/>
      <c r="AC96" s="3341"/>
    </row>
    <row r="97" spans="1:29" ht="15.75" thickBot="1">
      <c r="A97" s="3270"/>
      <c r="B97" s="3431"/>
      <c r="C97" s="3432">
        <v>100</v>
      </c>
      <c r="D97" s="3432">
        <f>C97-$K23</f>
        <v>98</v>
      </c>
      <c r="E97" s="3432">
        <f>D97-$K23</f>
        <v>96</v>
      </c>
      <c r="F97" s="3432">
        <f>E97-$K23</f>
        <v>94</v>
      </c>
      <c r="G97" s="3432">
        <f>F97-$K23</f>
        <v>92</v>
      </c>
      <c r="H97" s="3432"/>
      <c r="I97" s="3432"/>
      <c r="J97" s="3432"/>
      <c r="K97" s="3432"/>
      <c r="L97" s="3432"/>
      <c r="M97" s="3433"/>
      <c r="N97" s="3425"/>
      <c r="O97" s="3425"/>
      <c r="P97" s="3211"/>
      <c r="Q97" s="3211"/>
      <c r="R97" s="3341"/>
      <c r="S97" s="3341"/>
      <c r="T97" s="3341"/>
      <c r="U97" s="3341"/>
      <c r="V97" s="3341"/>
      <c r="W97" s="3341"/>
      <c r="X97" s="3341"/>
      <c r="Y97" s="3341"/>
      <c r="Z97" s="3341"/>
      <c r="AA97" s="3341"/>
      <c r="AB97" s="3341"/>
      <c r="AC97" s="3341"/>
    </row>
    <row r="98" spans="1:29" s="3217" customFormat="1" ht="27.75" thickTop="1">
      <c r="A98" s="3467"/>
      <c r="B98" s="3426" t="s">
        <v>3120</v>
      </c>
      <c r="C98" s="3466" t="s">
        <v>3112</v>
      </c>
      <c r="D98" s="3466" t="s">
        <v>3113</v>
      </c>
      <c r="E98" s="3466" t="s">
        <v>3114</v>
      </c>
      <c r="F98" s="3466" t="s">
        <v>3115</v>
      </c>
      <c r="G98" s="3466" t="s">
        <v>3116</v>
      </c>
      <c r="H98" s="3466"/>
      <c r="I98" s="3466"/>
      <c r="J98" s="3466"/>
      <c r="K98" s="3466"/>
      <c r="L98" s="3468"/>
      <c r="M98" s="3469"/>
      <c r="N98" s="3211"/>
      <c r="O98" s="3211"/>
      <c r="P98" s="3211"/>
      <c r="Q98" s="3211"/>
      <c r="R98" s="3398"/>
      <c r="S98" s="3398"/>
      <c r="T98" s="3398"/>
      <c r="U98" s="3398"/>
      <c r="V98" s="3398"/>
      <c r="W98" s="3398"/>
      <c r="X98" s="3398"/>
      <c r="Y98" s="3398"/>
      <c r="Z98" s="3398"/>
      <c r="AA98" s="3398"/>
      <c r="AB98" s="3398"/>
      <c r="AC98" s="3398"/>
    </row>
    <row r="99" spans="1:29" s="3217" customFormat="1" ht="15.75" thickBot="1">
      <c r="A99" s="3467"/>
      <c r="B99" s="3431"/>
      <c r="C99" s="3470">
        <v>100</v>
      </c>
      <c r="D99" s="3432">
        <f>C99-$K25</f>
        <v>98</v>
      </c>
      <c r="E99" s="3432">
        <f>D99-$K25</f>
        <v>96</v>
      </c>
      <c r="F99" s="3432">
        <f>E99-$K25</f>
        <v>94</v>
      </c>
      <c r="G99" s="3432">
        <f>F99-$K25</f>
        <v>92</v>
      </c>
      <c r="H99" s="3432"/>
      <c r="I99" s="3432"/>
      <c r="J99" s="3432"/>
      <c r="K99" s="3432"/>
      <c r="L99" s="3432"/>
      <c r="M99" s="3433"/>
      <c r="N99" s="3425"/>
      <c r="O99" s="3425"/>
      <c r="P99" s="3211"/>
      <c r="Q99" s="3211"/>
      <c r="R99" s="3398"/>
      <c r="S99" s="3398"/>
      <c r="T99" s="3398"/>
      <c r="U99" s="3398"/>
      <c r="V99" s="3398"/>
      <c r="W99" s="3398"/>
      <c r="X99" s="3398"/>
      <c r="Y99" s="3398"/>
      <c r="Z99" s="3398"/>
      <c r="AA99" s="3398"/>
      <c r="AB99" s="3398"/>
      <c r="AC99" s="3398"/>
    </row>
    <row r="100" spans="1:29" s="3217" customFormat="1" ht="27.75" thickTop="1">
      <c r="A100" s="3467"/>
      <c r="B100" s="3426" t="s">
        <v>3121</v>
      </c>
      <c r="C100" s="3461" t="s">
        <v>3112</v>
      </c>
      <c r="D100" s="3461" t="s">
        <v>3113</v>
      </c>
      <c r="E100" s="3461" t="s">
        <v>3114</v>
      </c>
      <c r="F100" s="3461" t="s">
        <v>3115</v>
      </c>
      <c r="G100" s="3461" t="s">
        <v>3116</v>
      </c>
      <c r="H100" s="3466"/>
      <c r="I100" s="3466"/>
      <c r="J100" s="3466"/>
      <c r="K100" s="3466"/>
      <c r="L100" s="3466"/>
      <c r="M100" s="3469"/>
      <c r="N100" s="3211"/>
      <c r="O100" s="3211"/>
      <c r="P100" s="3211"/>
      <c r="Q100" s="3211"/>
      <c r="R100" s="3398"/>
      <c r="S100" s="3398"/>
      <c r="T100" s="3398"/>
      <c r="U100" s="3398"/>
      <c r="V100" s="3398"/>
      <c r="W100" s="3398"/>
      <c r="X100" s="3398"/>
      <c r="Y100" s="3398"/>
      <c r="Z100" s="3398"/>
      <c r="AA100" s="3398"/>
      <c r="AB100" s="3398"/>
      <c r="AC100" s="3398"/>
    </row>
    <row r="101" spans="1:29" s="3217" customFormat="1" ht="15.75" thickBot="1">
      <c r="A101" s="3467"/>
      <c r="B101" s="3431"/>
      <c r="C101" s="3432">
        <v>100</v>
      </c>
      <c r="D101" s="3432">
        <f>C101-$K27</f>
        <v>98</v>
      </c>
      <c r="E101" s="3432">
        <f>D101-$K27</f>
        <v>96</v>
      </c>
      <c r="F101" s="3432">
        <f>E101-$K27</f>
        <v>94</v>
      </c>
      <c r="G101" s="3432">
        <f>F101-$K27</f>
        <v>92</v>
      </c>
      <c r="H101" s="3432"/>
      <c r="I101" s="3432"/>
      <c r="J101" s="3432"/>
      <c r="K101" s="3432"/>
      <c r="L101" s="3432"/>
      <c r="M101" s="3433"/>
      <c r="N101" s="3425"/>
      <c r="O101" s="3425"/>
      <c r="P101" s="3211"/>
      <c r="Q101" s="3211"/>
      <c r="R101" s="3398"/>
      <c r="S101" s="3398"/>
      <c r="T101" s="3398"/>
      <c r="U101" s="3398"/>
      <c r="V101" s="3398"/>
      <c r="W101" s="3398"/>
      <c r="X101" s="3398"/>
      <c r="Y101" s="3398"/>
      <c r="Z101" s="3398"/>
      <c r="AA101" s="3398"/>
      <c r="AB101" s="3398"/>
      <c r="AC101" s="3398"/>
    </row>
    <row r="102" spans="1:29" s="3314" customFormat="1" ht="15.75" thickTop="1">
      <c r="A102" s="3440"/>
      <c r="B102" s="3471" t="s">
        <v>3122</v>
      </c>
      <c r="C102" s="3461" t="s">
        <v>3112</v>
      </c>
      <c r="D102" s="3461" t="s">
        <v>3113</v>
      </c>
      <c r="E102" s="3461" t="s">
        <v>3114</v>
      </c>
      <c r="F102" s="3461" t="s">
        <v>3115</v>
      </c>
      <c r="G102" s="3461" t="s">
        <v>3116</v>
      </c>
      <c r="H102" s="3472"/>
      <c r="I102" s="3472"/>
      <c r="J102" s="3472"/>
      <c r="K102" s="3472"/>
      <c r="L102" s="3473"/>
      <c r="M102" s="3474"/>
      <c r="N102" s="3241"/>
      <c r="O102" s="3241"/>
      <c r="P102" s="3241"/>
      <c r="Q102" s="3241"/>
      <c r="R102" s="3447"/>
      <c r="S102" s="3447"/>
      <c r="T102" s="3447"/>
      <c r="U102" s="3447"/>
      <c r="V102" s="3447"/>
      <c r="W102" s="3447"/>
      <c r="X102" s="3447"/>
      <c r="Y102" s="3447"/>
      <c r="Z102" s="3447"/>
      <c r="AA102" s="3447"/>
      <c r="AB102" s="3447"/>
      <c r="AC102" s="3447"/>
    </row>
    <row r="103" spans="1:29" s="3314" customFormat="1" ht="15.75" thickBot="1">
      <c r="A103" s="3440"/>
      <c r="B103" s="3431"/>
      <c r="C103" s="3432">
        <v>100</v>
      </c>
      <c r="D103" s="3432">
        <f>C103-$K29</f>
        <v>98</v>
      </c>
      <c r="E103" s="3432">
        <f>D103-$K29</f>
        <v>96</v>
      </c>
      <c r="F103" s="3432">
        <f>E103-$K29</f>
        <v>94</v>
      </c>
      <c r="G103" s="3432">
        <f>F103-$K29</f>
        <v>92</v>
      </c>
      <c r="H103" s="3475"/>
      <c r="I103" s="3475"/>
      <c r="J103" s="3475"/>
      <c r="K103" s="3475"/>
      <c r="L103" s="3475"/>
      <c r="M103" s="3476"/>
      <c r="N103" s="3241"/>
      <c r="O103" s="3241"/>
      <c r="P103" s="3241"/>
      <c r="Q103" s="3241"/>
      <c r="R103" s="3447"/>
      <c r="S103" s="3447"/>
      <c r="T103" s="3447"/>
      <c r="U103" s="3447"/>
      <c r="V103" s="3447"/>
      <c r="W103" s="3447"/>
      <c r="X103" s="3447"/>
      <c r="Y103" s="3447"/>
      <c r="Z103" s="3447"/>
      <c r="AA103" s="3447"/>
      <c r="AB103" s="3447"/>
      <c r="AC103" s="3447"/>
    </row>
    <row r="104" spans="1:29" s="3314" customFormat="1" ht="15.75" thickTop="1">
      <c r="A104" s="3440"/>
      <c r="B104" s="3477" t="s">
        <v>3123</v>
      </c>
      <c r="C104" s="3478" t="s">
        <v>3124</v>
      </c>
      <c r="D104" s="3478" t="s">
        <v>3125</v>
      </c>
      <c r="E104" s="3478" t="s">
        <v>3126</v>
      </c>
      <c r="F104" s="3478" t="s">
        <v>3127</v>
      </c>
      <c r="G104" s="3478" t="s">
        <v>3128</v>
      </c>
      <c r="H104" s="3472"/>
      <c r="I104" s="3472"/>
      <c r="J104" s="3472"/>
      <c r="K104" s="3472"/>
      <c r="L104" s="3472"/>
      <c r="M104" s="3474"/>
      <c r="N104" s="3241"/>
      <c r="O104" s="3241"/>
      <c r="P104" s="3241"/>
      <c r="Q104" s="3241"/>
      <c r="R104" s="3447"/>
      <c r="S104" s="3447"/>
      <c r="T104" s="3447"/>
      <c r="U104" s="3447"/>
      <c r="V104" s="3447"/>
      <c r="W104" s="3447"/>
      <c r="X104" s="3447"/>
      <c r="Y104" s="3447"/>
      <c r="Z104" s="3447"/>
      <c r="AA104" s="3447"/>
      <c r="AB104" s="3447"/>
      <c r="AC104" s="3447"/>
    </row>
    <row r="105" spans="1:29" s="3314" customFormat="1" ht="15.75" thickBot="1">
      <c r="A105" s="3440"/>
      <c r="B105" s="3434"/>
      <c r="C105" s="3432">
        <v>100</v>
      </c>
      <c r="D105" s="3432">
        <f>C105-$K31</f>
        <v>99</v>
      </c>
      <c r="E105" s="3432">
        <f>D105-$K31</f>
        <v>98</v>
      </c>
      <c r="F105" s="3432">
        <f>E105-$K31</f>
        <v>97</v>
      </c>
      <c r="G105" s="3432">
        <f>F105-$K31</f>
        <v>96</v>
      </c>
      <c r="H105" s="3436"/>
      <c r="I105" s="3436"/>
      <c r="J105" s="3436"/>
      <c r="K105" s="3436"/>
      <c r="L105" s="3436"/>
      <c r="M105" s="3479"/>
      <c r="N105" s="3241"/>
      <c r="O105" s="3241"/>
      <c r="P105" s="3241"/>
      <c r="Q105" s="3241"/>
      <c r="R105" s="3447"/>
      <c r="S105" s="3447"/>
      <c r="T105" s="3447"/>
      <c r="U105" s="3447"/>
      <c r="V105" s="3447"/>
      <c r="W105" s="3447"/>
      <c r="X105" s="3447"/>
      <c r="Y105" s="3447"/>
      <c r="Z105" s="3447"/>
      <c r="AA105" s="3447"/>
      <c r="AB105" s="3447"/>
      <c r="AC105" s="3447"/>
    </row>
    <row r="106" spans="1:29" ht="15.75" thickTop="1">
      <c r="A106" s="3270"/>
      <c r="B106" s="3426" t="str">
        <f>B33</f>
        <v>临街状况</v>
      </c>
      <c r="C106" s="3427" t="s">
        <v>3129</v>
      </c>
      <c r="D106" s="3427" t="s">
        <v>3130</v>
      </c>
      <c r="E106" s="3427" t="s">
        <v>3131</v>
      </c>
      <c r="F106" s="3427" t="s">
        <v>3132</v>
      </c>
      <c r="G106" s="3427"/>
      <c r="H106" s="3427"/>
      <c r="I106" s="3427"/>
      <c r="J106" s="3427"/>
      <c r="K106" s="3428"/>
      <c r="L106" s="3429"/>
      <c r="M106" s="3430"/>
      <c r="N106" s="3253"/>
      <c r="O106" s="3253"/>
      <c r="P106" s="3211"/>
      <c r="Q106" s="3211"/>
      <c r="R106" s="3341"/>
      <c r="S106" s="3341"/>
      <c r="T106" s="3341"/>
      <c r="U106" s="3341"/>
      <c r="V106" s="3341"/>
      <c r="W106" s="3341"/>
      <c r="X106" s="3341"/>
      <c r="Y106" s="3341"/>
      <c r="Z106" s="3341"/>
      <c r="AA106" s="3341"/>
      <c r="AB106" s="3341"/>
      <c r="AC106" s="3341"/>
    </row>
    <row r="107" spans="1:29" ht="15.75" thickBot="1">
      <c r="A107" s="3270"/>
      <c r="B107" s="3431"/>
      <c r="C107" s="3432">
        <v>100</v>
      </c>
      <c r="D107" s="3432">
        <f>C107-$K33</f>
        <v>98</v>
      </c>
      <c r="E107" s="3432">
        <f t="shared" ref="E107:M107" si="23">D107-$K33</f>
        <v>96</v>
      </c>
      <c r="F107" s="3432">
        <f t="shared" si="23"/>
        <v>94</v>
      </c>
      <c r="G107" s="3432">
        <f t="shared" si="23"/>
        <v>92</v>
      </c>
      <c r="H107" s="3432">
        <f t="shared" si="23"/>
        <v>90</v>
      </c>
      <c r="I107" s="3432">
        <f t="shared" si="23"/>
        <v>88</v>
      </c>
      <c r="J107" s="3432">
        <f t="shared" si="23"/>
        <v>86</v>
      </c>
      <c r="K107" s="3432">
        <f t="shared" si="23"/>
        <v>84</v>
      </c>
      <c r="L107" s="3432">
        <f t="shared" si="23"/>
        <v>82</v>
      </c>
      <c r="M107" s="3432">
        <f t="shared" si="23"/>
        <v>80</v>
      </c>
      <c r="N107" s="3425"/>
      <c r="O107" s="3425"/>
      <c r="P107" s="3211"/>
      <c r="Q107" s="3211"/>
      <c r="R107" s="3341"/>
      <c r="S107" s="3341"/>
      <c r="T107" s="3341"/>
      <c r="U107" s="3341"/>
      <c r="V107" s="3341"/>
      <c r="W107" s="3341"/>
      <c r="X107" s="3341"/>
      <c r="Y107" s="3341"/>
      <c r="Z107" s="3341"/>
      <c r="AA107" s="3341"/>
      <c r="AB107" s="3341"/>
      <c r="AC107" s="3341"/>
    </row>
    <row r="108" spans="1:29" ht="27.75" thickTop="1">
      <c r="A108" s="3270"/>
      <c r="B108" s="3426" t="s">
        <v>786</v>
      </c>
      <c r="C108" s="3443" t="s">
        <v>3133</v>
      </c>
      <c r="D108" s="3443" t="s">
        <v>3134</v>
      </c>
      <c r="E108" s="3443" t="s">
        <v>3135</v>
      </c>
      <c r="F108" s="3443" t="s">
        <v>3136</v>
      </c>
      <c r="G108" s="3443" t="s">
        <v>3137</v>
      </c>
      <c r="H108" s="3480"/>
      <c r="I108" s="3480"/>
      <c r="J108" s="3480"/>
      <c r="K108" s="3481"/>
      <c r="L108" s="3482"/>
      <c r="M108" s="3483"/>
      <c r="N108" s="3253"/>
      <c r="O108" s="3253"/>
      <c r="P108" s="3211"/>
      <c r="Q108" s="3211"/>
      <c r="R108" s="3341"/>
      <c r="S108" s="3341"/>
      <c r="T108" s="3341"/>
      <c r="U108" s="3341"/>
      <c r="V108" s="3341"/>
      <c r="W108" s="3341"/>
      <c r="X108" s="3341"/>
      <c r="Y108" s="3341"/>
      <c r="Z108" s="3341"/>
      <c r="AA108" s="3341"/>
      <c r="AB108" s="3341"/>
      <c r="AC108" s="3341"/>
    </row>
    <row r="109" spans="1:29" ht="15.75" thickBot="1">
      <c r="A109" s="3270"/>
      <c r="B109" s="3431"/>
      <c r="C109" s="3432">
        <v>100</v>
      </c>
      <c r="D109" s="3432">
        <f>C109-$K34</f>
        <v>98</v>
      </c>
      <c r="E109" s="3432">
        <f t="shared" ref="E109:M109" si="24">D109-$K34</f>
        <v>96</v>
      </c>
      <c r="F109" s="3432">
        <f t="shared" si="24"/>
        <v>94</v>
      </c>
      <c r="G109" s="3432">
        <f t="shared" si="24"/>
        <v>92</v>
      </c>
      <c r="H109" s="3432">
        <f t="shared" si="24"/>
        <v>90</v>
      </c>
      <c r="I109" s="3432">
        <f t="shared" si="24"/>
        <v>88</v>
      </c>
      <c r="J109" s="3432">
        <f t="shared" si="24"/>
        <v>86</v>
      </c>
      <c r="K109" s="3432">
        <f t="shared" si="24"/>
        <v>84</v>
      </c>
      <c r="L109" s="3432">
        <f t="shared" si="24"/>
        <v>82</v>
      </c>
      <c r="M109" s="3432">
        <f t="shared" si="24"/>
        <v>80</v>
      </c>
      <c r="N109" s="3425"/>
      <c r="O109" s="3425"/>
      <c r="P109" s="3211"/>
      <c r="Q109" s="3211"/>
      <c r="R109" s="3341"/>
      <c r="S109" s="3341"/>
      <c r="T109" s="3341"/>
      <c r="U109" s="3341"/>
      <c r="V109" s="3341"/>
      <c r="W109" s="3341"/>
      <c r="X109" s="3341"/>
      <c r="Y109" s="3341"/>
      <c r="Z109" s="3341"/>
      <c r="AA109" s="3341"/>
      <c r="AB109" s="3341"/>
      <c r="AC109" s="3341"/>
    </row>
    <row r="110" spans="1:29" ht="16.5" hidden="1" thickTop="1" thickBot="1">
      <c r="A110" s="3270"/>
      <c r="B110" s="3426" t="s">
        <v>3138</v>
      </c>
      <c r="C110" s="3480"/>
      <c r="D110" s="3480"/>
      <c r="E110" s="3480"/>
      <c r="F110" s="3480"/>
      <c r="G110" s="3480"/>
      <c r="H110" s="3480"/>
      <c r="I110" s="3480"/>
      <c r="J110" s="3480"/>
      <c r="K110" s="3481"/>
      <c r="L110" s="3482"/>
      <c r="M110" s="3483"/>
      <c r="N110" s="3253"/>
      <c r="O110" s="3253"/>
      <c r="P110" s="3211"/>
      <c r="Q110" s="3211"/>
      <c r="R110" s="3341"/>
      <c r="S110" s="3341"/>
      <c r="T110" s="3341"/>
      <c r="U110" s="3341"/>
      <c r="V110" s="3341"/>
      <c r="W110" s="3341"/>
      <c r="X110" s="3341"/>
      <c r="Y110" s="3341"/>
      <c r="Z110" s="3341"/>
      <c r="AA110" s="3341"/>
      <c r="AB110" s="3341"/>
      <c r="AC110" s="3341"/>
    </row>
    <row r="111" spans="1:29" ht="16.5" hidden="1" thickTop="1" thickBot="1">
      <c r="A111" s="3270"/>
      <c r="B111" s="3431"/>
      <c r="C111" s="3432">
        <v>100</v>
      </c>
      <c r="D111" s="3432">
        <f>C111-$K36</f>
        <v>100</v>
      </c>
      <c r="E111" s="3432">
        <f t="shared" ref="E111:M111" si="25">D111-$K36</f>
        <v>100</v>
      </c>
      <c r="F111" s="3432">
        <f t="shared" si="25"/>
        <v>100</v>
      </c>
      <c r="G111" s="3432">
        <f t="shared" si="25"/>
        <v>100</v>
      </c>
      <c r="H111" s="3432">
        <f t="shared" si="25"/>
        <v>100</v>
      </c>
      <c r="I111" s="3432">
        <f t="shared" si="25"/>
        <v>100</v>
      </c>
      <c r="J111" s="3432">
        <f t="shared" si="25"/>
        <v>100</v>
      </c>
      <c r="K111" s="3432">
        <f t="shared" si="25"/>
        <v>100</v>
      </c>
      <c r="L111" s="3432">
        <f t="shared" si="25"/>
        <v>100</v>
      </c>
      <c r="M111" s="3432">
        <f t="shared" si="25"/>
        <v>100</v>
      </c>
      <c r="N111" s="3425"/>
      <c r="O111" s="3425"/>
      <c r="P111" s="3211"/>
      <c r="Q111" s="3211"/>
      <c r="R111" s="3341"/>
      <c r="S111" s="3341"/>
      <c r="T111" s="3341"/>
      <c r="U111" s="3341"/>
      <c r="V111" s="3341"/>
      <c r="W111" s="3341"/>
      <c r="X111" s="3341"/>
      <c r="Y111" s="3341"/>
      <c r="Z111" s="3341"/>
      <c r="AA111" s="3341"/>
      <c r="AB111" s="3341"/>
      <c r="AC111" s="3341"/>
    </row>
    <row r="112" spans="1:29" ht="16.5" hidden="1" thickTop="1" thickBot="1">
      <c r="A112" s="3270"/>
      <c r="B112" s="3434">
        <f>B37</f>
        <v>0</v>
      </c>
      <c r="C112" s="3441"/>
      <c r="D112" s="3441"/>
      <c r="E112" s="3441"/>
      <c r="F112" s="3441"/>
      <c r="G112" s="3484"/>
      <c r="H112" s="3484"/>
      <c r="I112" s="3484"/>
      <c r="J112" s="3484"/>
      <c r="K112" s="3485"/>
      <c r="L112" s="3486"/>
      <c r="M112" s="3487"/>
      <c r="N112" s="3253"/>
      <c r="O112" s="3253"/>
      <c r="P112" s="3211"/>
      <c r="Q112" s="3211"/>
      <c r="R112" s="3341"/>
      <c r="S112" s="3341"/>
      <c r="T112" s="3341"/>
      <c r="U112" s="3341"/>
      <c r="V112" s="3341"/>
      <c r="W112" s="3341"/>
      <c r="X112" s="3341"/>
      <c r="Y112" s="3341"/>
      <c r="Z112" s="3341"/>
      <c r="AA112" s="3341"/>
      <c r="AB112" s="3341"/>
      <c r="AC112" s="3341"/>
    </row>
    <row r="113" spans="1:29" ht="16.5" hidden="1" thickTop="1" thickBot="1">
      <c r="A113" s="3270"/>
      <c r="B113" s="3457"/>
      <c r="C113" s="3448"/>
      <c r="D113" s="3448"/>
      <c r="E113" s="3448"/>
      <c r="F113" s="3448"/>
      <c r="G113" s="3488"/>
      <c r="H113" s="3488"/>
      <c r="I113" s="3488"/>
      <c r="J113" s="3488"/>
      <c r="K113" s="3488"/>
      <c r="L113" s="3488"/>
      <c r="M113" s="3489"/>
      <c r="N113" s="3425"/>
      <c r="O113" s="3425"/>
      <c r="P113" s="3211"/>
      <c r="Q113" s="3211"/>
      <c r="R113" s="3341"/>
      <c r="S113" s="3341"/>
      <c r="T113" s="3341"/>
      <c r="U113" s="3341"/>
      <c r="V113" s="3341"/>
      <c r="W113" s="3341"/>
      <c r="X113" s="3341"/>
      <c r="Y113" s="3341"/>
      <c r="Z113" s="3341"/>
      <c r="AA113" s="3341"/>
      <c r="AB113" s="3341"/>
      <c r="AC113" s="3341"/>
    </row>
    <row r="114" spans="1:29" ht="15.75" hidden="1" thickTop="1" thickBot="1">
      <c r="A114" s="3302"/>
      <c r="B114" s="3426">
        <f>B38</f>
        <v>0</v>
      </c>
      <c r="C114" s="3409"/>
      <c r="D114" s="3409"/>
      <c r="E114" s="3409"/>
      <c r="F114" s="3409"/>
      <c r="G114" s="3480"/>
      <c r="H114" s="3480"/>
      <c r="I114" s="3480"/>
      <c r="J114" s="3480"/>
      <c r="K114" s="3481"/>
      <c r="L114" s="3482"/>
      <c r="M114" s="3483"/>
      <c r="N114" s="3253"/>
      <c r="O114" s="3253"/>
      <c r="P114" s="3211"/>
      <c r="Q114" s="3211"/>
      <c r="R114" s="3341"/>
      <c r="S114" s="3341"/>
      <c r="T114" s="3341"/>
      <c r="U114" s="3341"/>
      <c r="V114" s="3341"/>
      <c r="W114" s="3341"/>
      <c r="X114" s="3341"/>
      <c r="Y114" s="3341"/>
      <c r="Z114" s="3341"/>
      <c r="AA114" s="3341"/>
      <c r="AB114" s="3341"/>
      <c r="AC114" s="3341"/>
    </row>
    <row r="115" spans="1:29" ht="16.5" hidden="1" thickTop="1" thickBot="1">
      <c r="A115" s="3270"/>
      <c r="B115" s="3431"/>
      <c r="C115" s="3458"/>
      <c r="D115" s="3458"/>
      <c r="E115" s="3458"/>
      <c r="F115" s="3458"/>
      <c r="G115" s="3423"/>
      <c r="H115" s="3423"/>
      <c r="I115" s="3423"/>
      <c r="J115" s="3423"/>
      <c r="K115" s="3423"/>
      <c r="L115" s="3423"/>
      <c r="M115" s="3424"/>
      <c r="N115" s="3425"/>
      <c r="O115" s="3425"/>
      <c r="P115" s="3211"/>
      <c r="Q115" s="3211"/>
      <c r="R115" s="3341"/>
      <c r="S115" s="3341"/>
      <c r="T115" s="3341"/>
      <c r="U115" s="3341"/>
      <c r="V115" s="3341"/>
      <c r="W115" s="3341"/>
      <c r="X115" s="3341"/>
      <c r="Y115" s="3341"/>
      <c r="Z115" s="3341"/>
      <c r="AA115" s="3341"/>
      <c r="AB115" s="3341"/>
      <c r="AC115" s="3341"/>
    </row>
    <row r="116" spans="1:29" s="3314" customFormat="1" ht="15.75" hidden="1" thickTop="1" thickBot="1">
      <c r="A116" s="3327"/>
      <c r="B116" s="3490">
        <f>B39</f>
        <v>0</v>
      </c>
      <c r="C116" s="3401"/>
      <c r="D116" s="3401"/>
      <c r="E116" s="3401"/>
      <c r="F116" s="3401"/>
      <c r="G116" s="3401"/>
      <c r="H116" s="3401"/>
      <c r="I116" s="3401"/>
      <c r="J116" s="3491"/>
      <c r="K116" s="3491"/>
      <c r="L116" s="3492"/>
      <c r="M116" s="3493"/>
      <c r="N116" s="3241"/>
      <c r="O116" s="3241"/>
      <c r="P116" s="3241"/>
      <c r="Q116" s="3241"/>
      <c r="R116" s="3447"/>
      <c r="S116" s="3447"/>
      <c r="T116" s="3447"/>
      <c r="U116" s="3447"/>
      <c r="V116" s="3447"/>
      <c r="W116" s="3447"/>
      <c r="X116" s="3447"/>
      <c r="Y116" s="3447"/>
      <c r="Z116" s="3447"/>
      <c r="AA116" s="3447"/>
      <c r="AB116" s="3447"/>
      <c r="AC116" s="3447"/>
    </row>
    <row r="117" spans="1:29" s="3314" customFormat="1" ht="16.5" hidden="1" thickTop="1" thickBot="1">
      <c r="A117" s="3440"/>
      <c r="B117" s="3434"/>
      <c r="C117" s="3414"/>
      <c r="D117" s="3494"/>
      <c r="E117" s="3494"/>
      <c r="F117" s="3494"/>
      <c r="G117" s="3494"/>
      <c r="H117" s="3494"/>
      <c r="I117" s="3494"/>
      <c r="J117" s="3494"/>
      <c r="K117" s="3494"/>
      <c r="L117" s="3494"/>
      <c r="M117" s="3495"/>
      <c r="N117" s="3425"/>
      <c r="O117" s="3425"/>
      <c r="P117" s="3241"/>
      <c r="Q117" s="3241"/>
      <c r="R117" s="3447"/>
      <c r="S117" s="3447"/>
      <c r="T117" s="3447"/>
      <c r="U117" s="3447"/>
      <c r="V117" s="3447"/>
      <c r="W117" s="3447"/>
      <c r="X117" s="3447"/>
      <c r="Y117" s="3447"/>
      <c r="Z117" s="3447"/>
      <c r="AA117" s="3447"/>
      <c r="AB117" s="3447"/>
      <c r="AC117" s="3447"/>
    </row>
    <row r="118" spans="1:29" ht="32.25" customHeight="1" thickTop="1">
      <c r="A118" s="3416" t="s">
        <v>552</v>
      </c>
      <c r="B118" s="3417" t="s">
        <v>594</v>
      </c>
      <c r="C118" s="3462" t="str">
        <f t="shared" ref="C118:L118" si="26">C119&amp;"(含)"&amp;"-"&amp;D119</f>
        <v>0(含)-20000</v>
      </c>
      <c r="D118" s="3462" t="str">
        <f t="shared" si="26"/>
        <v>20000(含)-40000</v>
      </c>
      <c r="E118" s="3462" t="str">
        <f t="shared" si="26"/>
        <v>40000(含)-60000</v>
      </c>
      <c r="F118" s="3462" t="str">
        <f t="shared" si="26"/>
        <v>60000(含)-80000</v>
      </c>
      <c r="G118" s="3462" t="str">
        <f t="shared" si="26"/>
        <v>80000(含)-100000</v>
      </c>
      <c r="H118" s="3462" t="str">
        <f t="shared" si="26"/>
        <v>100000(含)-120000</v>
      </c>
      <c r="I118" s="3462" t="str">
        <f t="shared" si="26"/>
        <v>120000(含)-140000</v>
      </c>
      <c r="J118" s="3496" t="str">
        <f t="shared" si="26"/>
        <v>140000(含)-</v>
      </c>
      <c r="K118" s="3496" t="str">
        <f t="shared" si="26"/>
        <v>(含)-</v>
      </c>
      <c r="L118" s="3497" t="str">
        <f t="shared" si="26"/>
        <v>(含)-</v>
      </c>
      <c r="M118" s="3498" t="str">
        <f>M119&amp;"(含)"&amp;"-"&amp;P119</f>
        <v>(含)-</v>
      </c>
      <c r="N118" s="3253"/>
      <c r="O118" s="3253"/>
      <c r="P118" s="3211"/>
      <c r="Q118" s="3211"/>
      <c r="R118" s="3341"/>
      <c r="S118" s="3341"/>
      <c r="T118" s="3341"/>
      <c r="U118" s="3341"/>
      <c r="V118" s="3341"/>
      <c r="W118" s="3341"/>
      <c r="X118" s="3341"/>
      <c r="Y118" s="3341"/>
      <c r="Z118" s="3341"/>
      <c r="AA118" s="3341"/>
      <c r="AB118" s="3341"/>
      <c r="AC118" s="3341"/>
    </row>
    <row r="119" spans="1:29" ht="15">
      <c r="A119" s="3270"/>
      <c r="B119" s="3434"/>
      <c r="C119" s="3401">
        <v>0</v>
      </c>
      <c r="D119" s="3401">
        <v>20000</v>
      </c>
      <c r="E119" s="3401">
        <v>40000</v>
      </c>
      <c r="F119" s="3401">
        <v>60000</v>
      </c>
      <c r="G119" s="3401">
        <v>80000</v>
      </c>
      <c r="H119" s="3401">
        <v>100000</v>
      </c>
      <c r="I119" s="3401">
        <v>120000</v>
      </c>
      <c r="J119" s="3499">
        <v>140000</v>
      </c>
      <c r="K119" s="3499"/>
      <c r="L119" s="3500"/>
      <c r="M119" s="3501"/>
      <c r="N119" s="3253"/>
      <c r="O119" s="3253"/>
      <c r="P119" s="3211"/>
      <c r="Q119" s="3211"/>
      <c r="R119" s="3341"/>
      <c r="S119" s="3341"/>
      <c r="T119" s="3341"/>
      <c r="U119" s="3341"/>
      <c r="V119" s="3341"/>
      <c r="W119" s="3341"/>
      <c r="X119" s="3341"/>
      <c r="Y119" s="3341"/>
      <c r="Z119" s="3341"/>
      <c r="AA119" s="3341"/>
      <c r="AB119" s="3341"/>
      <c r="AC119" s="3341"/>
    </row>
    <row r="120" spans="1:29" ht="15.75" thickBot="1">
      <c r="A120" s="3270"/>
      <c r="B120" s="3431"/>
      <c r="C120" s="3458">
        <v>100</v>
      </c>
      <c r="D120" s="3488">
        <v>101</v>
      </c>
      <c r="E120" s="3488">
        <v>102</v>
      </c>
      <c r="F120" s="3488">
        <v>103</v>
      </c>
      <c r="G120" s="3488">
        <v>104</v>
      </c>
      <c r="H120" s="3488">
        <v>105</v>
      </c>
      <c r="I120" s="3488">
        <v>106</v>
      </c>
      <c r="J120" s="3488">
        <v>107</v>
      </c>
      <c r="K120" s="3488"/>
      <c r="L120" s="3488"/>
      <c r="M120" s="3489"/>
      <c r="N120" s="3425"/>
      <c r="O120" s="3425"/>
      <c r="P120" s="3211"/>
      <c r="Q120" s="3211"/>
      <c r="R120" s="3341"/>
      <c r="S120" s="3341"/>
      <c r="T120" s="3341"/>
      <c r="U120" s="3341"/>
      <c r="V120" s="3341"/>
      <c r="W120" s="3341"/>
      <c r="X120" s="3341"/>
      <c r="Y120" s="3341"/>
      <c r="Z120" s="3341"/>
      <c r="AA120" s="3341"/>
      <c r="AB120" s="3341"/>
      <c r="AC120" s="3341"/>
    </row>
    <row r="121" spans="1:29" ht="15" thickTop="1">
      <c r="A121" s="3320"/>
      <c r="B121" s="3426" t="s">
        <v>595</v>
      </c>
      <c r="C121" s="3502" t="s">
        <v>3139</v>
      </c>
      <c r="D121" s="3502" t="s">
        <v>3140</v>
      </c>
      <c r="E121" s="3502" t="s">
        <v>3141</v>
      </c>
      <c r="F121" s="3502" t="s">
        <v>3142</v>
      </c>
      <c r="G121" s="3480"/>
      <c r="H121" s="3480"/>
      <c r="I121" s="3480"/>
      <c r="J121" s="3480"/>
      <c r="K121" s="3481"/>
      <c r="L121" s="3482"/>
      <c r="M121" s="3483"/>
      <c r="N121" s="3253"/>
      <c r="O121" s="3253"/>
      <c r="P121" s="3211"/>
      <c r="Q121" s="3211"/>
      <c r="R121" s="3341"/>
      <c r="S121" s="3341"/>
      <c r="T121" s="3341"/>
      <c r="U121" s="3341"/>
      <c r="V121" s="3341"/>
      <c r="W121" s="3341"/>
      <c r="X121" s="3341"/>
      <c r="Y121" s="3341"/>
      <c r="Z121" s="3341"/>
      <c r="AA121" s="3341"/>
      <c r="AB121" s="3341"/>
      <c r="AC121" s="3341"/>
    </row>
    <row r="122" spans="1:29" ht="15.75" thickBot="1">
      <c r="A122" s="3270"/>
      <c r="B122" s="3431"/>
      <c r="C122" s="3432">
        <v>100</v>
      </c>
      <c r="D122" s="3432">
        <f t="shared" ref="D122:M122" si="27">C122-$K41</f>
        <v>100</v>
      </c>
      <c r="E122" s="3432">
        <f t="shared" si="27"/>
        <v>100</v>
      </c>
      <c r="F122" s="3432">
        <f t="shared" si="27"/>
        <v>100</v>
      </c>
      <c r="G122" s="3432">
        <f t="shared" si="27"/>
        <v>100</v>
      </c>
      <c r="H122" s="3432">
        <f t="shared" si="27"/>
        <v>100</v>
      </c>
      <c r="I122" s="3432">
        <f t="shared" si="27"/>
        <v>100</v>
      </c>
      <c r="J122" s="3432">
        <f t="shared" si="27"/>
        <v>100</v>
      </c>
      <c r="K122" s="3432">
        <f t="shared" si="27"/>
        <v>100</v>
      </c>
      <c r="L122" s="3432">
        <f t="shared" si="27"/>
        <v>100</v>
      </c>
      <c r="M122" s="3433">
        <f t="shared" si="27"/>
        <v>100</v>
      </c>
      <c r="N122" s="3425"/>
      <c r="O122" s="3425"/>
      <c r="P122" s="3211"/>
      <c r="Q122" s="3211"/>
      <c r="R122" s="3341"/>
      <c r="S122" s="3341"/>
      <c r="T122" s="3341"/>
      <c r="U122" s="3341"/>
      <c r="V122" s="3341"/>
      <c r="W122" s="3341"/>
      <c r="X122" s="3341"/>
      <c r="Y122" s="3341"/>
      <c r="Z122" s="3341"/>
      <c r="AA122" s="3341"/>
      <c r="AB122" s="3341"/>
      <c r="AC122" s="3341"/>
    </row>
    <row r="123" spans="1:29" ht="15.75" hidden="1" thickTop="1" thickBot="1">
      <c r="A123" s="3320"/>
      <c r="B123" s="3426" t="s">
        <v>596</v>
      </c>
      <c r="C123" s="3441"/>
      <c r="D123" s="3441"/>
      <c r="E123" s="3441"/>
      <c r="F123" s="3480"/>
      <c r="G123" s="3480"/>
      <c r="H123" s="3480"/>
      <c r="I123" s="3480"/>
      <c r="J123" s="3480"/>
      <c r="K123" s="3481"/>
      <c r="L123" s="3482"/>
      <c r="M123" s="3483"/>
      <c r="N123" s="3253"/>
      <c r="O123" s="3253"/>
      <c r="P123" s="3211"/>
      <c r="Q123" s="3211"/>
      <c r="R123" s="3341"/>
      <c r="S123" s="3341"/>
      <c r="T123" s="3341"/>
      <c r="U123" s="3341"/>
      <c r="V123" s="3341"/>
      <c r="W123" s="3341"/>
      <c r="X123" s="3341"/>
      <c r="Y123" s="3341"/>
      <c r="Z123" s="3341"/>
      <c r="AA123" s="3341"/>
      <c r="AB123" s="3341"/>
      <c r="AC123" s="3341"/>
    </row>
    <row r="124" spans="1:29" ht="16.5" hidden="1" thickTop="1" thickBot="1">
      <c r="A124" s="3270"/>
      <c r="B124" s="3431"/>
      <c r="C124" s="3432">
        <v>100</v>
      </c>
      <c r="D124" s="3432">
        <f t="shared" ref="D124:M124" si="28">C124-$K42</f>
        <v>100</v>
      </c>
      <c r="E124" s="3432">
        <f t="shared" si="28"/>
        <v>100</v>
      </c>
      <c r="F124" s="3432">
        <f t="shared" si="28"/>
        <v>100</v>
      </c>
      <c r="G124" s="3432">
        <f t="shared" si="28"/>
        <v>100</v>
      </c>
      <c r="H124" s="3432">
        <f t="shared" si="28"/>
        <v>100</v>
      </c>
      <c r="I124" s="3432">
        <f t="shared" si="28"/>
        <v>100</v>
      </c>
      <c r="J124" s="3432">
        <f t="shared" si="28"/>
        <v>100</v>
      </c>
      <c r="K124" s="3432">
        <f t="shared" si="28"/>
        <v>100</v>
      </c>
      <c r="L124" s="3432">
        <f t="shared" si="28"/>
        <v>100</v>
      </c>
      <c r="M124" s="3433">
        <f t="shared" si="28"/>
        <v>100</v>
      </c>
      <c r="N124" s="3425"/>
      <c r="O124" s="3425"/>
      <c r="P124" s="3211"/>
      <c r="Q124" s="3211"/>
      <c r="R124" s="3341"/>
      <c r="S124" s="3341"/>
      <c r="T124" s="3341"/>
      <c r="U124" s="3341"/>
      <c r="V124" s="3341"/>
      <c r="W124" s="3341"/>
      <c r="X124" s="3341"/>
      <c r="Y124" s="3341"/>
      <c r="Z124" s="3341"/>
      <c r="AA124" s="3341"/>
      <c r="AB124" s="3341"/>
      <c r="AC124" s="3341"/>
    </row>
    <row r="125" spans="1:29" s="3314" customFormat="1" ht="15" thickTop="1">
      <c r="A125" s="3327"/>
      <c r="B125" s="3471" t="s">
        <v>2429</v>
      </c>
      <c r="C125" s="3442" t="s">
        <v>1987</v>
      </c>
      <c r="D125" s="3442" t="s">
        <v>1986</v>
      </c>
      <c r="E125" s="3442" t="s">
        <v>1985</v>
      </c>
      <c r="F125" s="3442" t="s">
        <v>1984</v>
      </c>
      <c r="G125" s="3442" t="s">
        <v>3143</v>
      </c>
      <c r="H125" s="3480"/>
      <c r="I125" s="3480"/>
      <c r="J125" s="3480"/>
      <c r="K125" s="3481"/>
      <c r="L125" s="3482"/>
      <c r="M125" s="3483"/>
      <c r="N125" s="3241"/>
      <c r="O125" s="3241"/>
      <c r="P125" s="3241"/>
      <c r="Q125" s="3241"/>
      <c r="R125" s="3447"/>
      <c r="S125" s="3447"/>
      <c r="T125" s="3447"/>
      <c r="U125" s="3447"/>
      <c r="V125" s="3447"/>
      <c r="W125" s="3447"/>
      <c r="X125" s="3447"/>
      <c r="Y125" s="3447"/>
      <c r="Z125" s="3447"/>
      <c r="AA125" s="3447"/>
      <c r="AB125" s="3447"/>
      <c r="AC125" s="3447"/>
    </row>
    <row r="126" spans="1:29" s="3314" customFormat="1" ht="15.75" thickBot="1">
      <c r="A126" s="3440"/>
      <c r="B126" s="3431"/>
      <c r="C126" s="3432">
        <v>100</v>
      </c>
      <c r="D126" s="3432">
        <f>C126-$K43</f>
        <v>99</v>
      </c>
      <c r="E126" s="3432">
        <f t="shared" ref="E126:M126" si="29">D126-$K43</f>
        <v>98</v>
      </c>
      <c r="F126" s="3432">
        <f t="shared" si="29"/>
        <v>97</v>
      </c>
      <c r="G126" s="3432">
        <f t="shared" si="29"/>
        <v>96</v>
      </c>
      <c r="H126" s="3432">
        <f t="shared" si="29"/>
        <v>95</v>
      </c>
      <c r="I126" s="3432">
        <f t="shared" si="29"/>
        <v>94</v>
      </c>
      <c r="J126" s="3432">
        <f t="shared" si="29"/>
        <v>93</v>
      </c>
      <c r="K126" s="3432">
        <f t="shared" si="29"/>
        <v>92</v>
      </c>
      <c r="L126" s="3432">
        <f t="shared" si="29"/>
        <v>91</v>
      </c>
      <c r="M126" s="3433">
        <f t="shared" si="29"/>
        <v>90</v>
      </c>
      <c r="N126" s="3241"/>
      <c r="O126" s="3241"/>
      <c r="P126" s="3241"/>
      <c r="Q126" s="3241"/>
      <c r="R126" s="3447"/>
      <c r="S126" s="3447"/>
      <c r="T126" s="3447"/>
      <c r="U126" s="3447"/>
      <c r="V126" s="3447"/>
      <c r="W126" s="3447"/>
      <c r="X126" s="3447"/>
      <c r="Y126" s="3447"/>
      <c r="Z126" s="3447"/>
      <c r="AA126" s="3447"/>
      <c r="AB126" s="3447"/>
      <c r="AC126" s="3447"/>
    </row>
    <row r="127" spans="1:29" ht="15" thickTop="1">
      <c r="A127" s="3320"/>
      <c r="B127" s="3426" t="s">
        <v>597</v>
      </c>
      <c r="C127" s="3443" t="s">
        <v>3144</v>
      </c>
      <c r="D127" s="3443" t="s">
        <v>3145</v>
      </c>
      <c r="E127" s="3480"/>
      <c r="F127" s="3480"/>
      <c r="G127" s="3480"/>
      <c r="H127" s="3480"/>
      <c r="I127" s="3480"/>
      <c r="J127" s="3480"/>
      <c r="K127" s="3481"/>
      <c r="L127" s="3482"/>
      <c r="M127" s="3483"/>
      <c r="N127" s="3253"/>
      <c r="O127" s="3253"/>
      <c r="P127" s="3211"/>
      <c r="Q127" s="3211"/>
      <c r="R127" s="3341"/>
      <c r="S127" s="3341"/>
      <c r="T127" s="3341"/>
      <c r="U127" s="3341"/>
      <c r="V127" s="3341"/>
      <c r="W127" s="3341"/>
      <c r="X127" s="3341"/>
      <c r="Y127" s="3341"/>
      <c r="Z127" s="3341"/>
      <c r="AA127" s="3341"/>
      <c r="AB127" s="3341"/>
      <c r="AC127" s="3341"/>
    </row>
    <row r="128" spans="1:29" ht="15.75" thickBot="1">
      <c r="A128" s="3270"/>
      <c r="B128" s="3431"/>
      <c r="C128" s="3432">
        <v>100</v>
      </c>
      <c r="D128" s="3432">
        <f t="shared" ref="D128:M128" si="30">C128-$K44</f>
        <v>100</v>
      </c>
      <c r="E128" s="3432">
        <f t="shared" si="30"/>
        <v>100</v>
      </c>
      <c r="F128" s="3432">
        <f t="shared" si="30"/>
        <v>100</v>
      </c>
      <c r="G128" s="3432">
        <f t="shared" si="30"/>
        <v>100</v>
      </c>
      <c r="H128" s="3432">
        <f t="shared" si="30"/>
        <v>100</v>
      </c>
      <c r="I128" s="3432">
        <f t="shared" si="30"/>
        <v>100</v>
      </c>
      <c r="J128" s="3432">
        <f t="shared" si="30"/>
        <v>100</v>
      </c>
      <c r="K128" s="3432">
        <f t="shared" si="30"/>
        <v>100</v>
      </c>
      <c r="L128" s="3432">
        <f t="shared" si="30"/>
        <v>100</v>
      </c>
      <c r="M128" s="3433">
        <f t="shared" si="30"/>
        <v>100</v>
      </c>
      <c r="N128" s="3425"/>
      <c r="O128" s="3425"/>
      <c r="P128" s="3211"/>
      <c r="Q128" s="3211"/>
      <c r="R128" s="3341"/>
      <c r="S128" s="3341"/>
      <c r="T128" s="3341"/>
      <c r="U128" s="3341"/>
      <c r="V128" s="3341"/>
      <c r="W128" s="3341"/>
      <c r="X128" s="3341"/>
      <c r="Y128" s="3341"/>
      <c r="Z128" s="3341"/>
      <c r="AA128" s="3341"/>
      <c r="AB128" s="3341"/>
      <c r="AC128" s="3341"/>
    </row>
    <row r="129" spans="1:29" ht="15" hidden="1" thickTop="1">
      <c r="A129" s="3320"/>
      <c r="B129" s="3426">
        <f>B45</f>
        <v>0</v>
      </c>
      <c r="C129" s="3441"/>
      <c r="D129" s="3441"/>
      <c r="E129" s="3441"/>
      <c r="F129" s="3441"/>
      <c r="G129" s="3441"/>
      <c r="H129" s="3480"/>
      <c r="I129" s="3480"/>
      <c r="J129" s="3480"/>
      <c r="K129" s="3481"/>
      <c r="L129" s="3482"/>
      <c r="M129" s="3483"/>
      <c r="N129" s="3253"/>
      <c r="O129" s="3253"/>
      <c r="P129" s="3211"/>
      <c r="Q129" s="3211"/>
      <c r="R129" s="3341"/>
      <c r="S129" s="3341"/>
      <c r="T129" s="3341"/>
      <c r="U129" s="3341"/>
      <c r="V129" s="3341"/>
      <c r="W129" s="3341"/>
      <c r="X129" s="3341"/>
      <c r="Y129" s="3341"/>
      <c r="Z129" s="3341"/>
      <c r="AA129" s="3341"/>
      <c r="AB129" s="3341"/>
      <c r="AC129" s="3341"/>
    </row>
    <row r="130" spans="1:29" ht="16.5" hidden="1" thickTop="1" thickBot="1">
      <c r="A130" s="3270"/>
      <c r="B130" s="3431"/>
      <c r="C130" s="3448"/>
      <c r="D130" s="3448"/>
      <c r="E130" s="3448"/>
      <c r="F130" s="3448"/>
      <c r="G130" s="3423"/>
      <c r="H130" s="3423"/>
      <c r="I130" s="3423"/>
      <c r="J130" s="3423"/>
      <c r="K130" s="3423"/>
      <c r="L130" s="3423"/>
      <c r="M130" s="3424"/>
      <c r="N130" s="3425"/>
      <c r="O130" s="3425"/>
      <c r="P130" s="3211"/>
      <c r="Q130" s="3211"/>
      <c r="R130" s="3341"/>
      <c r="S130" s="3341"/>
      <c r="T130" s="3341"/>
      <c r="U130" s="3341"/>
      <c r="V130" s="3341"/>
      <c r="W130" s="3341"/>
      <c r="X130" s="3341"/>
      <c r="Y130" s="3341"/>
      <c r="Z130" s="3341"/>
      <c r="AA130" s="3341"/>
      <c r="AB130" s="3341"/>
      <c r="AC130" s="3341"/>
    </row>
    <row r="131" spans="1:29" ht="15" hidden="1" thickTop="1">
      <c r="A131" s="3320"/>
      <c r="B131" s="3426">
        <f>B46</f>
        <v>0</v>
      </c>
      <c r="C131" s="3409"/>
      <c r="D131" s="3409"/>
      <c r="E131" s="3409"/>
      <c r="F131" s="3409"/>
      <c r="G131" s="3480"/>
      <c r="H131" s="3480"/>
      <c r="I131" s="3480"/>
      <c r="J131" s="3480"/>
      <c r="K131" s="3481"/>
      <c r="L131" s="3482"/>
      <c r="M131" s="3483"/>
      <c r="N131" s="3253"/>
      <c r="O131" s="3253"/>
      <c r="P131" s="3211"/>
      <c r="Q131" s="3211"/>
      <c r="R131" s="3341"/>
      <c r="S131" s="3341"/>
      <c r="T131" s="3341"/>
      <c r="U131" s="3341"/>
      <c r="V131" s="3341"/>
      <c r="W131" s="3341"/>
      <c r="X131" s="3341"/>
      <c r="Y131" s="3341"/>
      <c r="Z131" s="3341"/>
      <c r="AA131" s="3341"/>
      <c r="AB131" s="3341"/>
      <c r="AC131" s="3341"/>
    </row>
    <row r="132" spans="1:29" ht="16.5" hidden="1" thickTop="1" thickBot="1">
      <c r="A132" s="3270"/>
      <c r="B132" s="3431"/>
      <c r="C132" s="3458"/>
      <c r="D132" s="3458"/>
      <c r="E132" s="3458"/>
      <c r="F132" s="3458"/>
      <c r="G132" s="3423"/>
      <c r="H132" s="3423"/>
      <c r="I132" s="3423"/>
      <c r="J132" s="3423"/>
      <c r="K132" s="3423"/>
      <c r="L132" s="3423"/>
      <c r="M132" s="3424"/>
      <c r="N132" s="3425"/>
      <c r="O132" s="3425"/>
      <c r="P132" s="3211"/>
      <c r="Q132" s="3211"/>
      <c r="R132" s="3341"/>
      <c r="S132" s="3341"/>
      <c r="T132" s="3341"/>
      <c r="U132" s="3341"/>
      <c r="V132" s="3341"/>
      <c r="W132" s="3341"/>
      <c r="X132" s="3341"/>
      <c r="Y132" s="3341"/>
      <c r="Z132" s="3341"/>
      <c r="AA132" s="3341"/>
      <c r="AB132" s="3341"/>
      <c r="AC132" s="3341"/>
    </row>
    <row r="133" spans="1:29" s="3314" customFormat="1" ht="15" hidden="1" thickTop="1">
      <c r="A133" s="3327"/>
      <c r="B133" s="3426">
        <f>B47</f>
        <v>0</v>
      </c>
      <c r="C133" s="3409"/>
      <c r="D133" s="3409"/>
      <c r="E133" s="3409"/>
      <c r="F133" s="3409"/>
      <c r="G133" s="3444"/>
      <c r="H133" s="3444"/>
      <c r="I133" s="3444"/>
      <c r="J133" s="3444"/>
      <c r="K133" s="3444"/>
      <c r="L133" s="3445"/>
      <c r="M133" s="3446"/>
      <c r="N133" s="3241"/>
      <c r="O133" s="3241"/>
      <c r="P133" s="3241"/>
      <c r="Q133" s="3241"/>
      <c r="R133" s="3447"/>
      <c r="S133" s="3447"/>
      <c r="T133" s="3447"/>
      <c r="U133" s="3447"/>
      <c r="V133" s="3447"/>
      <c r="W133" s="3447"/>
      <c r="X133" s="3447"/>
      <c r="Y133" s="3447"/>
      <c r="Z133" s="3447"/>
      <c r="AA133" s="3447"/>
      <c r="AB133" s="3447"/>
      <c r="AC133" s="3447"/>
    </row>
    <row r="134" spans="1:29" s="3314" customFormat="1" ht="16.5" hidden="1" thickTop="1" thickBot="1">
      <c r="A134" s="3456"/>
      <c r="B134" s="3503"/>
      <c r="C134" s="3458"/>
      <c r="D134" s="3458"/>
      <c r="E134" s="3458"/>
      <c r="F134" s="3458"/>
      <c r="G134" s="3488"/>
      <c r="H134" s="3488"/>
      <c r="I134" s="3488"/>
      <c r="J134" s="3488"/>
      <c r="K134" s="3488"/>
      <c r="L134" s="3488"/>
      <c r="M134" s="3489"/>
      <c r="N134" s="3241"/>
      <c r="O134" s="3241"/>
      <c r="P134" s="3241"/>
      <c r="Q134" s="3241"/>
      <c r="R134" s="3447"/>
      <c r="S134" s="3447"/>
      <c r="T134" s="3447"/>
      <c r="U134" s="3447"/>
      <c r="V134" s="3447"/>
      <c r="W134" s="3447"/>
      <c r="X134" s="3447"/>
      <c r="Y134" s="3447"/>
      <c r="Z134" s="3447"/>
      <c r="AA134" s="3447"/>
      <c r="AB134" s="3447"/>
      <c r="AC134" s="3447"/>
    </row>
    <row r="135" spans="1:29" s="3505" customFormat="1" ht="15" thickTop="1">
      <c r="A135" s="3504"/>
      <c r="B135" s="3504"/>
      <c r="C135" s="3504"/>
      <c r="D135" s="3504"/>
      <c r="E135" s="3504"/>
      <c r="F135" s="3504"/>
      <c r="G135" s="3504"/>
      <c r="H135" s="3504"/>
      <c r="I135" s="3504"/>
      <c r="J135" s="3504"/>
      <c r="K135" s="3504"/>
      <c r="L135" s="3504"/>
      <c r="M135" s="3504"/>
      <c r="N135" s="3504"/>
      <c r="O135" s="3504"/>
      <c r="P135" s="3504"/>
      <c r="Q135" s="3504"/>
      <c r="R135" s="3504"/>
      <c r="S135" s="3504"/>
      <c r="T135" s="3504"/>
      <c r="U135" s="3504"/>
      <c r="V135" s="3504"/>
      <c r="W135" s="3504"/>
      <c r="X135" s="3504"/>
      <c r="Y135" s="3504"/>
      <c r="Z135" s="3504"/>
      <c r="AA135" s="3504"/>
      <c r="AB135" s="3504"/>
      <c r="AC135" s="3504"/>
    </row>
    <row r="136" spans="1:29" s="3505" customFormat="1">
      <c r="A136" s="3504"/>
      <c r="B136" s="3504"/>
      <c r="C136" s="3504"/>
      <c r="D136" s="3504"/>
      <c r="E136" s="3504"/>
      <c r="F136" s="3504"/>
      <c r="G136" s="3504"/>
      <c r="H136" s="3504"/>
      <c r="I136" s="3504"/>
      <c r="J136" s="3504"/>
      <c r="K136" s="3504"/>
      <c r="L136" s="3504"/>
      <c r="M136" s="3504"/>
      <c r="N136" s="3504"/>
      <c r="O136" s="3504"/>
      <c r="P136" s="3504"/>
      <c r="Q136" s="3504"/>
      <c r="R136" s="3504"/>
      <c r="S136" s="3504"/>
      <c r="T136" s="3504"/>
      <c r="U136" s="3504"/>
      <c r="V136" s="3504"/>
      <c r="W136" s="3504"/>
      <c r="X136" s="3504"/>
      <c r="Y136" s="3504"/>
      <c r="Z136" s="3504"/>
      <c r="AA136" s="3504"/>
      <c r="AB136" s="3504"/>
      <c r="AC136" s="3504"/>
    </row>
    <row r="137" spans="1:29" s="3505" customFormat="1">
      <c r="A137" s="3504"/>
      <c r="B137" s="3504"/>
      <c r="C137" s="3504"/>
      <c r="D137" s="3504"/>
      <c r="E137" s="3504"/>
      <c r="F137" s="3504"/>
      <c r="G137" s="3504"/>
      <c r="H137" s="3504"/>
      <c r="I137" s="3504"/>
      <c r="J137" s="3504"/>
      <c r="K137" s="3504"/>
      <c r="L137" s="3504"/>
      <c r="M137" s="3504"/>
      <c r="N137" s="3504"/>
      <c r="O137" s="3504"/>
      <c r="P137" s="3504"/>
      <c r="Q137" s="3504"/>
      <c r="R137" s="3504"/>
      <c r="S137" s="3504"/>
      <c r="T137" s="3504"/>
      <c r="U137" s="3504"/>
      <c r="V137" s="3504"/>
      <c r="W137" s="3504"/>
      <c r="X137" s="3504"/>
      <c r="Y137" s="3504"/>
      <c r="Z137" s="3504"/>
      <c r="AA137" s="3504"/>
      <c r="AB137" s="3504"/>
      <c r="AC137" s="3504"/>
    </row>
    <row r="138" spans="1:29" s="3505" customFormat="1">
      <c r="A138" s="3504"/>
      <c r="B138" s="3504"/>
      <c r="C138" s="3504"/>
      <c r="D138" s="3504"/>
      <c r="E138" s="3504"/>
      <c r="F138" s="3504"/>
      <c r="G138" s="3504"/>
      <c r="H138" s="3504"/>
      <c r="I138" s="3504"/>
      <c r="J138" s="3504"/>
      <c r="K138" s="3504"/>
      <c r="L138" s="3504"/>
      <c r="M138" s="3504"/>
      <c r="N138" s="3504"/>
      <c r="O138" s="3504"/>
      <c r="P138" s="3504"/>
      <c r="Q138" s="3504"/>
      <c r="R138" s="3504"/>
      <c r="S138" s="3504"/>
      <c r="T138" s="3504"/>
      <c r="U138" s="3504"/>
      <c r="V138" s="3504"/>
      <c r="W138" s="3504"/>
      <c r="X138" s="3504"/>
      <c r="Y138" s="3504"/>
      <c r="Z138" s="3504"/>
      <c r="AA138" s="3504"/>
      <c r="AB138" s="3504"/>
      <c r="AC138" s="3504"/>
    </row>
    <row r="139" spans="1:29" s="3505" customFormat="1">
      <c r="A139" s="3504"/>
      <c r="B139" s="3504"/>
      <c r="C139" s="3504"/>
      <c r="D139" s="3504"/>
      <c r="E139" s="3504"/>
      <c r="F139" s="3504"/>
      <c r="G139" s="3504"/>
      <c r="H139" s="3504"/>
      <c r="I139" s="3504"/>
      <c r="J139" s="3504"/>
      <c r="K139" s="3504"/>
      <c r="L139" s="3504"/>
      <c r="M139" s="3504"/>
      <c r="N139" s="3504"/>
      <c r="O139" s="3504"/>
      <c r="P139" s="3504"/>
      <c r="Q139" s="3504"/>
      <c r="R139" s="3504"/>
      <c r="S139" s="3504"/>
      <c r="T139" s="3504"/>
      <c r="U139" s="3504"/>
      <c r="V139" s="3504"/>
      <c r="W139" s="3504"/>
      <c r="X139" s="3504"/>
      <c r="Y139" s="3504"/>
      <c r="Z139" s="3504"/>
      <c r="AA139" s="3504"/>
      <c r="AB139" s="3504"/>
      <c r="AC139" s="3504"/>
    </row>
    <row r="140" spans="1:29" s="3505" customFormat="1">
      <c r="A140" s="3504"/>
      <c r="B140" s="3504"/>
      <c r="C140" s="3504"/>
      <c r="D140" s="3504"/>
      <c r="E140" s="3504"/>
      <c r="F140" s="3504"/>
      <c r="G140" s="3504"/>
      <c r="H140" s="3504"/>
      <c r="I140" s="3504"/>
      <c r="J140" s="3504"/>
      <c r="K140" s="3504"/>
      <c r="L140" s="3504"/>
      <c r="M140" s="3504"/>
      <c r="N140" s="3504"/>
      <c r="O140" s="3504"/>
      <c r="P140" s="3504"/>
      <c r="Q140" s="3504"/>
      <c r="R140" s="3504"/>
      <c r="S140" s="3504"/>
      <c r="T140" s="3504"/>
      <c r="U140" s="3504"/>
      <c r="V140" s="3504"/>
      <c r="W140" s="3504"/>
      <c r="X140" s="3504"/>
      <c r="Y140" s="3504"/>
      <c r="Z140" s="3504"/>
      <c r="AA140" s="3504"/>
      <c r="AB140" s="3504"/>
      <c r="AC140" s="3504"/>
    </row>
    <row r="141" spans="1:29" s="3505" customFormat="1">
      <c r="A141" s="3504"/>
      <c r="B141" s="3504"/>
      <c r="C141" s="3504"/>
      <c r="D141" s="3504"/>
      <c r="E141" s="3504"/>
      <c r="F141" s="3504"/>
      <c r="G141" s="3504"/>
      <c r="H141" s="3504"/>
      <c r="I141" s="3504"/>
      <c r="J141" s="3504"/>
      <c r="K141" s="3504"/>
      <c r="L141" s="3504"/>
      <c r="M141" s="3504"/>
      <c r="N141" s="3504"/>
      <c r="O141" s="3504"/>
      <c r="P141" s="3504"/>
      <c r="Q141" s="3504"/>
      <c r="R141" s="3504"/>
      <c r="S141" s="3504"/>
      <c r="T141" s="3504"/>
      <c r="U141" s="3504"/>
      <c r="V141" s="3504"/>
      <c r="W141" s="3504"/>
      <c r="X141" s="3504"/>
      <c r="Y141" s="3504"/>
      <c r="Z141" s="3504"/>
      <c r="AA141" s="3504"/>
      <c r="AB141" s="3504"/>
      <c r="AC141" s="3504"/>
    </row>
    <row r="142" spans="1:29" s="3505" customFormat="1">
      <c r="A142" s="3504"/>
      <c r="B142" s="3504"/>
      <c r="C142" s="3504"/>
      <c r="D142" s="3504"/>
      <c r="E142" s="3504"/>
      <c r="F142" s="3504"/>
      <c r="G142" s="3504"/>
      <c r="H142" s="3504"/>
      <c r="I142" s="3504"/>
      <c r="J142" s="3504"/>
      <c r="K142" s="3504"/>
      <c r="L142" s="3504"/>
      <c r="M142" s="3504"/>
      <c r="N142" s="3504"/>
      <c r="O142" s="3504"/>
      <c r="P142" s="3504"/>
      <c r="Q142" s="3504"/>
      <c r="R142" s="3504"/>
      <c r="S142" s="3504"/>
      <c r="T142" s="3504"/>
      <c r="U142" s="3504"/>
      <c r="V142" s="3504"/>
      <c r="W142" s="3504"/>
      <c r="X142" s="3504"/>
      <c r="Y142" s="3504"/>
      <c r="Z142" s="3504"/>
      <c r="AA142" s="3504"/>
      <c r="AB142" s="3504"/>
      <c r="AC142" s="3504"/>
    </row>
    <row r="143" spans="1:29" s="3505" customFormat="1">
      <c r="A143" s="3504"/>
      <c r="B143" s="3504"/>
      <c r="C143" s="3504"/>
      <c r="D143" s="3504"/>
      <c r="E143" s="3504"/>
      <c r="F143" s="3504"/>
      <c r="G143" s="3504"/>
      <c r="H143" s="3504"/>
      <c r="I143" s="3504"/>
      <c r="J143" s="3504"/>
      <c r="K143" s="3504"/>
      <c r="L143" s="3504"/>
      <c r="M143" s="3504"/>
      <c r="N143" s="3504"/>
      <c r="O143" s="3504"/>
      <c r="P143" s="3504"/>
      <c r="Q143" s="3504"/>
      <c r="R143" s="3504"/>
      <c r="S143" s="3504"/>
      <c r="T143" s="3504"/>
      <c r="U143" s="3504"/>
      <c r="V143" s="3504"/>
      <c r="W143" s="3504"/>
      <c r="X143" s="3504"/>
      <c r="Y143" s="3504"/>
      <c r="Z143" s="3504"/>
      <c r="AA143" s="3504"/>
      <c r="AB143" s="3504"/>
      <c r="AC143" s="3504"/>
    </row>
    <row r="144" spans="1:29" s="3505" customFormat="1">
      <c r="A144" s="3504"/>
      <c r="B144" s="3504"/>
      <c r="C144" s="3504"/>
      <c r="D144" s="3504"/>
      <c r="E144" s="3504"/>
      <c r="F144" s="3504"/>
      <c r="G144" s="3504"/>
      <c r="H144" s="3504"/>
      <c r="I144" s="3504"/>
      <c r="J144" s="3504"/>
      <c r="K144" s="3504"/>
      <c r="L144" s="3504"/>
      <c r="M144" s="3504"/>
      <c r="N144" s="3504"/>
      <c r="O144" s="3504"/>
      <c r="P144" s="3504"/>
      <c r="Q144" s="3504"/>
      <c r="R144" s="3504"/>
      <c r="S144" s="3504"/>
      <c r="T144" s="3504"/>
      <c r="U144" s="3504"/>
      <c r="V144" s="3504"/>
      <c r="W144" s="3504"/>
      <c r="X144" s="3504"/>
      <c r="Y144" s="3504"/>
      <c r="Z144" s="3504"/>
      <c r="AA144" s="3504"/>
      <c r="AB144" s="3504"/>
      <c r="AC144" s="3504"/>
    </row>
    <row r="145" spans="1:29" s="3505" customFormat="1">
      <c r="A145" s="3504"/>
      <c r="B145" s="3504"/>
      <c r="C145" s="3504"/>
      <c r="D145" s="3504"/>
      <c r="E145" s="3504"/>
      <c r="F145" s="3504"/>
      <c r="G145" s="3504"/>
      <c r="H145" s="3504"/>
      <c r="I145" s="3504"/>
      <c r="J145" s="3504"/>
      <c r="K145" s="3504"/>
      <c r="L145" s="3504"/>
      <c r="M145" s="3504"/>
      <c r="N145" s="3504"/>
      <c r="O145" s="3504"/>
      <c r="P145" s="3504"/>
      <c r="Q145" s="3504"/>
      <c r="R145" s="3504"/>
      <c r="S145" s="3504"/>
      <c r="T145" s="3504"/>
      <c r="U145" s="3504"/>
      <c r="V145" s="3504"/>
      <c r="W145" s="3504"/>
      <c r="X145" s="3504"/>
      <c r="Y145" s="3504"/>
      <c r="Z145" s="3504"/>
      <c r="AA145" s="3504"/>
      <c r="AB145" s="3504"/>
      <c r="AC145" s="3504"/>
    </row>
    <row r="146" spans="1:29" s="3505" customFormat="1">
      <c r="A146" s="3504"/>
      <c r="B146" s="3504"/>
      <c r="C146" s="3504"/>
      <c r="D146" s="3504"/>
      <c r="E146" s="3504"/>
      <c r="F146" s="3504"/>
      <c r="G146" s="3504"/>
      <c r="H146" s="3504"/>
      <c r="I146" s="3504"/>
      <c r="J146" s="3504"/>
      <c r="K146" s="3504"/>
      <c r="L146" s="3504"/>
      <c r="M146" s="3504"/>
      <c r="N146" s="3504"/>
      <c r="O146" s="3504"/>
      <c r="P146" s="3504"/>
      <c r="Q146" s="3504"/>
      <c r="R146" s="3504"/>
      <c r="S146" s="3504"/>
      <c r="T146" s="3504"/>
      <c r="U146" s="3504"/>
      <c r="V146" s="3504"/>
      <c r="W146" s="3504"/>
      <c r="X146" s="3504"/>
      <c r="Y146" s="3504"/>
      <c r="Z146" s="3504"/>
      <c r="AA146" s="3504"/>
      <c r="AB146" s="3504"/>
      <c r="AC146" s="3504"/>
    </row>
    <row r="147" spans="1:29" s="3505" customFormat="1">
      <c r="A147" s="3504"/>
      <c r="B147" s="3504"/>
      <c r="C147" s="3504"/>
      <c r="D147" s="3504"/>
      <c r="E147" s="3504"/>
      <c r="F147" s="3504"/>
      <c r="G147" s="3504"/>
      <c r="H147" s="3504"/>
      <c r="I147" s="3504"/>
      <c r="J147" s="3504"/>
      <c r="K147" s="3504"/>
      <c r="L147" s="3504"/>
      <c r="M147" s="3504"/>
      <c r="N147" s="3504"/>
      <c r="O147" s="3504"/>
      <c r="P147" s="3504"/>
      <c r="Q147" s="3504"/>
      <c r="R147" s="3504"/>
      <c r="S147" s="3504"/>
      <c r="T147" s="3504"/>
      <c r="U147" s="3504"/>
      <c r="V147" s="3504"/>
      <c r="W147" s="3504"/>
      <c r="X147" s="3504"/>
      <c r="Y147" s="3504"/>
      <c r="Z147" s="3504"/>
      <c r="AA147" s="3504"/>
      <c r="AB147" s="3504"/>
      <c r="AC147" s="3504"/>
    </row>
    <row r="148" spans="1:29" s="3505" customFormat="1">
      <c r="A148" s="3504"/>
      <c r="B148" s="3504"/>
      <c r="C148" s="3504"/>
      <c r="D148" s="3504"/>
      <c r="E148" s="3504"/>
      <c r="F148" s="3504"/>
      <c r="G148" s="3504"/>
      <c r="H148" s="3504"/>
      <c r="I148" s="3504"/>
      <c r="J148" s="3504"/>
      <c r="K148" s="3504"/>
      <c r="L148" s="3504"/>
      <c r="M148" s="3504"/>
      <c r="N148" s="3504"/>
      <c r="O148" s="3504"/>
      <c r="P148" s="3504"/>
      <c r="Q148" s="3504"/>
      <c r="R148" s="3504"/>
      <c r="S148" s="3504"/>
      <c r="T148" s="3504"/>
      <c r="U148" s="3504"/>
      <c r="V148" s="3504"/>
      <c r="W148" s="3504"/>
      <c r="X148" s="3504"/>
      <c r="Y148" s="3504"/>
      <c r="Z148" s="3504"/>
      <c r="AA148" s="3504"/>
      <c r="AB148" s="3504"/>
      <c r="AC148" s="3504"/>
    </row>
    <row r="149" spans="1:29" s="3505" customFormat="1">
      <c r="A149" s="3504"/>
      <c r="B149" s="3504"/>
      <c r="C149" s="3504"/>
      <c r="D149" s="3504"/>
      <c r="E149" s="3504"/>
      <c r="F149" s="3504"/>
      <c r="G149" s="3504"/>
      <c r="H149" s="3504"/>
      <c r="I149" s="3504"/>
      <c r="J149" s="3504"/>
      <c r="K149" s="3504"/>
      <c r="L149" s="3504"/>
      <c r="M149" s="3504"/>
      <c r="N149" s="3504"/>
      <c r="O149" s="3504"/>
      <c r="P149" s="3504"/>
      <c r="Q149" s="3504"/>
      <c r="R149" s="3504"/>
      <c r="S149" s="3504"/>
      <c r="T149" s="3504"/>
      <c r="U149" s="3504"/>
      <c r="V149" s="3504"/>
      <c r="W149" s="3504"/>
      <c r="X149" s="3504"/>
      <c r="Y149" s="3504"/>
      <c r="Z149" s="3504"/>
      <c r="AA149" s="3504"/>
      <c r="AB149" s="3504"/>
      <c r="AC149" s="3504"/>
    </row>
    <row r="150" spans="1:29" s="3505" customFormat="1">
      <c r="A150" s="3504"/>
      <c r="B150" s="3504"/>
      <c r="C150" s="3504"/>
      <c r="D150" s="3504"/>
      <c r="E150" s="3504"/>
      <c r="F150" s="3504"/>
      <c r="G150" s="3504"/>
      <c r="H150" s="3504"/>
      <c r="I150" s="3504"/>
      <c r="J150" s="3504"/>
      <c r="K150" s="3504"/>
      <c r="L150" s="3504"/>
      <c r="M150" s="3504"/>
      <c r="N150" s="3504"/>
      <c r="O150" s="3504"/>
      <c r="P150" s="3504"/>
      <c r="Q150" s="3504"/>
      <c r="R150" s="3504"/>
      <c r="S150" s="3504"/>
      <c r="T150" s="3504"/>
      <c r="U150" s="3504"/>
      <c r="V150" s="3504"/>
      <c r="W150" s="3504"/>
      <c r="X150" s="3504"/>
      <c r="Y150" s="3504"/>
      <c r="Z150" s="3504"/>
      <c r="AA150" s="3504"/>
      <c r="AB150" s="3504"/>
      <c r="AC150" s="3504"/>
    </row>
    <row r="151" spans="1:29" s="3505" customFormat="1">
      <c r="A151" s="3504"/>
      <c r="B151" s="3504"/>
      <c r="C151" s="3504"/>
      <c r="D151" s="3504"/>
      <c r="E151" s="3504"/>
      <c r="F151" s="3504"/>
      <c r="G151" s="3504"/>
      <c r="H151" s="3504"/>
      <c r="I151" s="3504"/>
      <c r="J151" s="3504"/>
      <c r="K151" s="3504"/>
      <c r="L151" s="3504"/>
      <c r="M151" s="3504"/>
      <c r="N151" s="3504"/>
      <c r="O151" s="3504"/>
      <c r="P151" s="3504"/>
      <c r="Q151" s="3504"/>
      <c r="R151" s="3504"/>
      <c r="S151" s="3504"/>
      <c r="T151" s="3504"/>
      <c r="U151" s="3504"/>
      <c r="V151" s="3504"/>
      <c r="W151" s="3504"/>
      <c r="X151" s="3504"/>
      <c r="Y151" s="3504"/>
      <c r="Z151" s="3504"/>
      <c r="AA151" s="3504"/>
      <c r="AB151" s="3504"/>
      <c r="AC151" s="3504"/>
    </row>
    <row r="152" spans="1:29" s="3505" customFormat="1">
      <c r="A152" s="3504"/>
      <c r="B152" s="3504"/>
      <c r="C152" s="3504"/>
      <c r="D152" s="3504"/>
      <c r="E152" s="3504"/>
      <c r="F152" s="3504"/>
      <c r="G152" s="3504"/>
      <c r="H152" s="3504"/>
      <c r="I152" s="3504"/>
      <c r="J152" s="3504"/>
      <c r="K152" s="3504"/>
      <c r="L152" s="3504"/>
      <c r="M152" s="3504"/>
      <c r="N152" s="3504"/>
      <c r="O152" s="3504"/>
      <c r="P152" s="3504"/>
      <c r="Q152" s="3504"/>
      <c r="R152" s="3504"/>
      <c r="S152" s="3504"/>
      <c r="T152" s="3504"/>
      <c r="U152" s="3504"/>
      <c r="V152" s="3504"/>
      <c r="W152" s="3504"/>
      <c r="X152" s="3504"/>
      <c r="Y152" s="3504"/>
      <c r="Z152" s="3504"/>
      <c r="AA152" s="3504"/>
      <c r="AB152" s="3504"/>
      <c r="AC152" s="3504"/>
    </row>
    <row r="153" spans="1:29" s="3505" customFormat="1">
      <c r="A153" s="3504"/>
      <c r="B153" s="3504"/>
      <c r="C153" s="3504"/>
      <c r="D153" s="3504"/>
      <c r="E153" s="3504"/>
      <c r="F153" s="3504"/>
      <c r="G153" s="3504"/>
      <c r="H153" s="3504"/>
      <c r="I153" s="3504"/>
      <c r="J153" s="3504"/>
      <c r="K153" s="3504"/>
      <c r="L153" s="3504"/>
      <c r="M153" s="3504"/>
      <c r="N153" s="3504"/>
      <c r="O153" s="3504"/>
      <c r="P153" s="3504"/>
      <c r="Q153" s="3504"/>
      <c r="R153" s="3504"/>
      <c r="S153" s="3504"/>
      <c r="T153" s="3504"/>
      <c r="U153" s="3504"/>
      <c r="V153" s="3504"/>
      <c r="W153" s="3504"/>
      <c r="X153" s="3504"/>
      <c r="Y153" s="3504"/>
      <c r="Z153" s="3504"/>
      <c r="AA153" s="3504"/>
      <c r="AB153" s="3504"/>
      <c r="AC153" s="3504"/>
    </row>
    <row r="154" spans="1:29" s="3505" customFormat="1">
      <c r="A154" s="3504"/>
      <c r="B154" s="3504"/>
      <c r="C154" s="3504"/>
      <c r="D154" s="3504"/>
      <c r="E154" s="3504"/>
      <c r="F154" s="3504"/>
      <c r="G154" s="3504"/>
      <c r="H154" s="3504"/>
      <c r="I154" s="3504"/>
      <c r="J154" s="3504"/>
      <c r="K154" s="3504"/>
      <c r="L154" s="3504"/>
      <c r="M154" s="3504"/>
      <c r="N154" s="3504"/>
      <c r="O154" s="3504"/>
      <c r="P154" s="3504"/>
      <c r="Q154" s="3504"/>
      <c r="R154" s="3504"/>
      <c r="S154" s="3504"/>
      <c r="T154" s="3504"/>
      <c r="U154" s="3504"/>
      <c r="V154" s="3504"/>
      <c r="W154" s="3504"/>
      <c r="X154" s="3504"/>
      <c r="Y154" s="3504"/>
      <c r="Z154" s="3504"/>
      <c r="AA154" s="3504"/>
      <c r="AB154" s="3504"/>
      <c r="AC154" s="3504"/>
    </row>
    <row r="155" spans="1:29" s="3505" customFormat="1">
      <c r="A155" s="3504"/>
      <c r="B155" s="3504"/>
      <c r="C155" s="3504"/>
      <c r="D155" s="3504"/>
      <c r="E155" s="3504"/>
      <c r="F155" s="3504"/>
      <c r="G155" s="3504"/>
      <c r="H155" s="3504"/>
      <c r="I155" s="3504"/>
      <c r="J155" s="3504"/>
      <c r="K155" s="3504"/>
      <c r="L155" s="3504"/>
      <c r="M155" s="3504"/>
      <c r="N155" s="3504"/>
      <c r="O155" s="3504"/>
      <c r="P155" s="3504"/>
      <c r="Q155" s="3504"/>
      <c r="R155" s="3504"/>
      <c r="S155" s="3504"/>
      <c r="T155" s="3504"/>
      <c r="U155" s="3504"/>
      <c r="V155" s="3504"/>
      <c r="W155" s="3504"/>
      <c r="X155" s="3504"/>
      <c r="Y155" s="3504"/>
      <c r="Z155" s="3504"/>
      <c r="AA155" s="3504"/>
      <c r="AB155" s="3504"/>
      <c r="AC155" s="3504"/>
    </row>
    <row r="156" spans="1:29" s="3505" customFormat="1">
      <c r="A156" s="3504"/>
      <c r="B156" s="3504"/>
      <c r="C156" s="3504"/>
      <c r="D156" s="3504"/>
      <c r="E156" s="3504"/>
      <c r="F156" s="3504"/>
      <c r="G156" s="3504"/>
      <c r="H156" s="3504"/>
      <c r="I156" s="3504"/>
      <c r="J156" s="3504"/>
      <c r="K156" s="3504"/>
      <c r="L156" s="3504"/>
      <c r="M156" s="3504"/>
      <c r="N156" s="3504"/>
      <c r="O156" s="3504"/>
      <c r="P156" s="3504"/>
      <c r="Q156" s="3504"/>
      <c r="R156" s="3504"/>
      <c r="S156" s="3504"/>
      <c r="T156" s="3504"/>
      <c r="U156" s="3504"/>
      <c r="V156" s="3504"/>
      <c r="W156" s="3504"/>
      <c r="X156" s="3504"/>
      <c r="Y156" s="3504"/>
      <c r="Z156" s="3504"/>
      <c r="AA156" s="3504"/>
      <c r="AB156" s="3504"/>
      <c r="AC156" s="3504"/>
    </row>
    <row r="157" spans="1:29" s="3505" customFormat="1">
      <c r="A157" s="3504"/>
      <c r="B157" s="3504"/>
      <c r="C157" s="3504"/>
      <c r="D157" s="3504"/>
      <c r="E157" s="3504"/>
      <c r="F157" s="3504"/>
      <c r="G157" s="3504"/>
      <c r="H157" s="3504"/>
      <c r="I157" s="3504"/>
      <c r="J157" s="3504"/>
      <c r="K157" s="3504"/>
      <c r="L157" s="3504"/>
      <c r="M157" s="3504"/>
      <c r="N157" s="3504"/>
      <c r="O157" s="3504"/>
      <c r="P157" s="3504"/>
      <c r="Q157" s="3504"/>
      <c r="R157" s="3504"/>
      <c r="S157" s="3504"/>
      <c r="T157" s="3504"/>
      <c r="U157" s="3504"/>
      <c r="V157" s="3504"/>
      <c r="W157" s="3504"/>
      <c r="X157" s="3504"/>
      <c r="Y157" s="3504"/>
      <c r="Z157" s="3504"/>
      <c r="AA157" s="3504"/>
      <c r="AB157" s="3504"/>
      <c r="AC157" s="3504"/>
    </row>
    <row r="158" spans="1:29" s="3505" customFormat="1">
      <c r="A158" s="3504"/>
      <c r="B158" s="3504"/>
      <c r="C158" s="3504"/>
      <c r="D158" s="3504"/>
      <c r="E158" s="3504"/>
      <c r="F158" s="3504"/>
      <c r="G158" s="3504"/>
      <c r="H158" s="3504"/>
      <c r="I158" s="3504"/>
      <c r="J158" s="3504"/>
      <c r="K158" s="3504"/>
      <c r="L158" s="3504"/>
      <c r="M158" s="3504"/>
      <c r="N158" s="3504"/>
      <c r="O158" s="3504"/>
      <c r="P158" s="3504"/>
      <c r="Q158" s="3504"/>
      <c r="R158" s="3504"/>
      <c r="S158" s="3504"/>
      <c r="T158" s="3504"/>
      <c r="U158" s="3504"/>
      <c r="V158" s="3504"/>
      <c r="W158" s="3504"/>
      <c r="X158" s="3504"/>
      <c r="Y158" s="3504"/>
      <c r="Z158" s="3504"/>
      <c r="AA158" s="3504"/>
      <c r="AB158" s="3504"/>
      <c r="AC158" s="3504"/>
    </row>
    <row r="159" spans="1:29" s="3505" customFormat="1">
      <c r="A159" s="3504"/>
      <c r="B159" s="3504"/>
      <c r="C159" s="3504"/>
      <c r="D159" s="3504"/>
      <c r="E159" s="3504"/>
      <c r="F159" s="3504"/>
      <c r="G159" s="3504"/>
      <c r="H159" s="3504"/>
      <c r="I159" s="3504"/>
      <c r="J159" s="3504"/>
      <c r="K159" s="3504"/>
      <c r="L159" s="3504"/>
      <c r="M159" s="3504"/>
      <c r="N159" s="3504"/>
      <c r="O159" s="3504"/>
      <c r="P159" s="3504"/>
      <c r="Q159" s="3504"/>
      <c r="R159" s="3504"/>
      <c r="S159" s="3504"/>
      <c r="T159" s="3504"/>
      <c r="U159" s="3504"/>
      <c r="V159" s="3504"/>
      <c r="W159" s="3504"/>
      <c r="X159" s="3504"/>
      <c r="Y159" s="3504"/>
      <c r="Z159" s="3504"/>
      <c r="AA159" s="3504"/>
      <c r="AB159" s="3504"/>
      <c r="AC159" s="3504"/>
    </row>
    <row r="160" spans="1:29" s="3505" customFormat="1">
      <c r="A160" s="3504"/>
      <c r="B160" s="3504"/>
      <c r="C160" s="3504"/>
      <c r="D160" s="3504"/>
      <c r="E160" s="3504"/>
      <c r="F160" s="3504"/>
      <c r="G160" s="3504"/>
      <c r="H160" s="3504"/>
      <c r="I160" s="3504"/>
      <c r="J160" s="3504"/>
      <c r="K160" s="3504"/>
      <c r="L160" s="3504"/>
      <c r="M160" s="3504"/>
      <c r="N160" s="3504"/>
      <c r="O160" s="3504"/>
      <c r="P160" s="3504"/>
      <c r="Q160" s="3504"/>
      <c r="R160" s="3504"/>
      <c r="S160" s="3504"/>
      <c r="T160" s="3504"/>
      <c r="U160" s="3504"/>
      <c r="V160" s="3504"/>
      <c r="W160" s="3504"/>
      <c r="X160" s="3504"/>
      <c r="Y160" s="3504"/>
      <c r="Z160" s="3504"/>
      <c r="AA160" s="3504"/>
      <c r="AB160" s="3504"/>
      <c r="AC160" s="3504"/>
    </row>
    <row r="161" spans="1:29" s="3505" customFormat="1">
      <c r="A161" s="3504"/>
      <c r="B161" s="3504"/>
      <c r="C161" s="3504"/>
      <c r="D161" s="3504"/>
      <c r="E161" s="3504"/>
      <c r="F161" s="3504"/>
      <c r="G161" s="3504"/>
      <c r="H161" s="3504"/>
      <c r="I161" s="3504"/>
      <c r="J161" s="3504"/>
      <c r="K161" s="3504"/>
      <c r="L161" s="3504"/>
      <c r="M161" s="3504"/>
      <c r="N161" s="3504"/>
      <c r="O161" s="3504"/>
      <c r="P161" s="3504"/>
      <c r="Q161" s="3504"/>
      <c r="R161" s="3504"/>
      <c r="S161" s="3504"/>
      <c r="T161" s="3504"/>
      <c r="U161" s="3504"/>
      <c r="V161" s="3504"/>
      <c r="W161" s="3504"/>
      <c r="X161" s="3504"/>
      <c r="Y161" s="3504"/>
      <c r="Z161" s="3504"/>
      <c r="AA161" s="3504"/>
      <c r="AB161" s="3504"/>
      <c r="AC161" s="3504"/>
    </row>
    <row r="162" spans="1:29" s="3505" customFormat="1">
      <c r="A162" s="3504"/>
      <c r="B162" s="3504"/>
      <c r="C162" s="3504"/>
      <c r="D162" s="3504"/>
      <c r="E162" s="3504"/>
      <c r="F162" s="3504"/>
      <c r="G162" s="3504"/>
      <c r="H162" s="3504"/>
      <c r="I162" s="3504"/>
      <c r="J162" s="3504"/>
      <c r="K162" s="3504"/>
      <c r="L162" s="3504"/>
      <c r="M162" s="3504"/>
      <c r="N162" s="3504"/>
      <c r="O162" s="3504"/>
      <c r="P162" s="3504"/>
      <c r="Q162" s="3504"/>
      <c r="R162" s="3504"/>
      <c r="S162" s="3504"/>
      <c r="T162" s="3504"/>
      <c r="U162" s="3504"/>
      <c r="V162" s="3504"/>
      <c r="W162" s="3504"/>
      <c r="X162" s="3504"/>
      <c r="Y162" s="3504"/>
      <c r="Z162" s="3504"/>
      <c r="AA162" s="3504"/>
      <c r="AB162" s="3504"/>
      <c r="AC162" s="3504"/>
    </row>
    <row r="163" spans="1:29" s="3505" customFormat="1">
      <c r="A163" s="3504"/>
      <c r="B163" s="3504"/>
      <c r="C163" s="3504"/>
      <c r="D163" s="3504"/>
      <c r="E163" s="3504"/>
      <c r="F163" s="3504"/>
      <c r="G163" s="3504"/>
      <c r="H163" s="3504"/>
      <c r="I163" s="3504"/>
      <c r="J163" s="3504"/>
      <c r="K163" s="3504"/>
      <c r="L163" s="3504"/>
      <c r="M163" s="3504"/>
      <c r="N163" s="3504"/>
      <c r="O163" s="3504"/>
      <c r="P163" s="3504"/>
      <c r="Q163" s="3504"/>
      <c r="R163" s="3504"/>
      <c r="S163" s="3504"/>
      <c r="T163" s="3504"/>
      <c r="U163" s="3504"/>
      <c r="V163" s="3504"/>
      <c r="W163" s="3504"/>
      <c r="X163" s="3504"/>
      <c r="Y163" s="3504"/>
      <c r="Z163" s="3504"/>
      <c r="AA163" s="3504"/>
      <c r="AB163" s="3504"/>
      <c r="AC163" s="3504"/>
    </row>
    <row r="164" spans="1:29" s="3505" customFormat="1">
      <c r="A164" s="3504"/>
      <c r="B164" s="3504"/>
      <c r="C164" s="3504"/>
      <c r="D164" s="3504"/>
      <c r="E164" s="3504"/>
      <c r="F164" s="3504"/>
      <c r="G164" s="3504"/>
      <c r="H164" s="3504"/>
      <c r="I164" s="3504"/>
      <c r="J164" s="3504"/>
      <c r="K164" s="3504"/>
      <c r="L164" s="3504"/>
      <c r="M164" s="3504"/>
      <c r="N164" s="3504"/>
      <c r="O164" s="3504"/>
      <c r="P164" s="3504"/>
      <c r="Q164" s="3504"/>
      <c r="R164" s="3504"/>
      <c r="S164" s="3504"/>
      <c r="T164" s="3504"/>
      <c r="U164" s="3504"/>
      <c r="V164" s="3504"/>
      <c r="W164" s="3504"/>
      <c r="X164" s="3504"/>
      <c r="Y164" s="3504"/>
      <c r="Z164" s="3504"/>
      <c r="AA164" s="3504"/>
      <c r="AB164" s="3504"/>
      <c r="AC164" s="3504"/>
    </row>
    <row r="165" spans="1:29" s="3505" customFormat="1">
      <c r="A165" s="3504"/>
      <c r="B165" s="3504"/>
      <c r="C165" s="3504"/>
      <c r="D165" s="3504"/>
      <c r="E165" s="3504"/>
      <c r="F165" s="3504"/>
      <c r="G165" s="3504"/>
      <c r="H165" s="3504"/>
      <c r="I165" s="3504"/>
      <c r="J165" s="3504"/>
      <c r="K165" s="3504"/>
      <c r="L165" s="3504"/>
      <c r="M165" s="3504"/>
      <c r="N165" s="3504"/>
      <c r="O165" s="3504"/>
      <c r="P165" s="3504"/>
      <c r="Q165" s="3504"/>
      <c r="R165" s="3504"/>
      <c r="S165" s="3504"/>
      <c r="T165" s="3504"/>
      <c r="U165" s="3504"/>
      <c r="V165" s="3504"/>
      <c r="W165" s="3504"/>
      <c r="X165" s="3504"/>
      <c r="Y165" s="3504"/>
      <c r="Z165" s="3504"/>
      <c r="AA165" s="3504"/>
      <c r="AB165" s="3504"/>
      <c r="AC165" s="3504"/>
    </row>
    <row r="166" spans="1:29" s="3505" customFormat="1">
      <c r="A166" s="3504"/>
      <c r="B166" s="3504"/>
      <c r="C166" s="3504"/>
      <c r="D166" s="3504"/>
      <c r="E166" s="3504"/>
      <c r="F166" s="3504"/>
      <c r="G166" s="3504"/>
      <c r="H166" s="3504"/>
      <c r="I166" s="3504"/>
      <c r="J166" s="3504"/>
      <c r="K166" s="3504"/>
      <c r="L166" s="3504"/>
      <c r="M166" s="3504"/>
      <c r="N166" s="3504"/>
      <c r="O166" s="3504"/>
      <c r="P166" s="3504"/>
      <c r="Q166" s="3504"/>
      <c r="R166" s="3504"/>
      <c r="S166" s="3504"/>
      <c r="T166" s="3504"/>
      <c r="U166" s="3504"/>
      <c r="V166" s="3504"/>
      <c r="W166" s="3504"/>
      <c r="X166" s="3504"/>
      <c r="Y166" s="3504"/>
      <c r="Z166" s="3504"/>
      <c r="AA166" s="3504"/>
      <c r="AB166" s="3504"/>
      <c r="AC166" s="3504"/>
    </row>
    <row r="167" spans="1:29" s="3505" customFormat="1">
      <c r="A167" s="3504"/>
      <c r="B167" s="3504"/>
      <c r="C167" s="3504"/>
      <c r="D167" s="3504"/>
      <c r="E167" s="3504"/>
      <c r="F167" s="3504"/>
      <c r="G167" s="3504"/>
      <c r="H167" s="3504"/>
      <c r="I167" s="3504"/>
      <c r="J167" s="3504"/>
      <c r="K167" s="3504"/>
      <c r="L167" s="3504"/>
      <c r="M167" s="3504"/>
      <c r="N167" s="3504"/>
      <c r="O167" s="3504"/>
      <c r="P167" s="3504"/>
      <c r="Q167" s="3504"/>
      <c r="R167" s="3504"/>
      <c r="S167" s="3504"/>
      <c r="T167" s="3504"/>
      <c r="U167" s="3504"/>
      <c r="V167" s="3504"/>
      <c r="W167" s="3504"/>
      <c r="X167" s="3504"/>
      <c r="Y167" s="3504"/>
      <c r="Z167" s="3504"/>
      <c r="AA167" s="3504"/>
      <c r="AB167" s="3504"/>
      <c r="AC167" s="3504"/>
    </row>
    <row r="168" spans="1:29" s="3505" customFormat="1">
      <c r="A168" s="3504"/>
      <c r="B168" s="3504"/>
      <c r="C168" s="3504"/>
      <c r="D168" s="3504"/>
      <c r="E168" s="3504"/>
      <c r="F168" s="3504"/>
      <c r="G168" s="3504"/>
      <c r="H168" s="3504"/>
      <c r="I168" s="3504"/>
      <c r="J168" s="3504"/>
      <c r="K168" s="3504"/>
      <c r="L168" s="3504"/>
      <c r="M168" s="3504"/>
      <c r="N168" s="3504"/>
      <c r="O168" s="3504"/>
      <c r="P168" s="3504"/>
      <c r="Q168" s="3504"/>
      <c r="R168" s="3504"/>
      <c r="S168" s="3504"/>
      <c r="T168" s="3504"/>
      <c r="U168" s="3504"/>
      <c r="V168" s="3504"/>
      <c r="W168" s="3504"/>
      <c r="X168" s="3504"/>
      <c r="Y168" s="3504"/>
      <c r="Z168" s="3504"/>
      <c r="AA168" s="3504"/>
      <c r="AB168" s="3504"/>
      <c r="AC168" s="3504"/>
    </row>
    <row r="169" spans="1:29" s="3505" customFormat="1">
      <c r="A169" s="3504"/>
      <c r="B169" s="3504"/>
      <c r="C169" s="3504"/>
      <c r="D169" s="3504"/>
      <c r="E169" s="3504"/>
      <c r="F169" s="3504"/>
      <c r="G169" s="3504"/>
      <c r="H169" s="3504"/>
      <c r="I169" s="3504"/>
      <c r="J169" s="3504"/>
      <c r="K169" s="3504"/>
      <c r="L169" s="3504"/>
      <c r="M169" s="3504"/>
      <c r="N169" s="3504"/>
      <c r="O169" s="3504"/>
      <c r="P169" s="3504"/>
      <c r="Q169" s="3504"/>
      <c r="R169" s="3504"/>
      <c r="S169" s="3504"/>
      <c r="T169" s="3504"/>
      <c r="U169" s="3504"/>
      <c r="V169" s="3504"/>
      <c r="W169" s="3504"/>
      <c r="X169" s="3504"/>
      <c r="Y169" s="3504"/>
      <c r="Z169" s="3504"/>
      <c r="AA169" s="3504"/>
      <c r="AB169" s="3504"/>
      <c r="AC169" s="3504"/>
    </row>
    <row r="170" spans="1:29" s="3505" customFormat="1">
      <c r="A170" s="3504"/>
      <c r="B170" s="3504"/>
      <c r="C170" s="3504"/>
      <c r="D170" s="3504"/>
      <c r="E170" s="3504"/>
      <c r="F170" s="3504"/>
      <c r="G170" s="3504"/>
      <c r="H170" s="3504"/>
      <c r="I170" s="3504"/>
      <c r="J170" s="3504"/>
      <c r="K170" s="3504"/>
      <c r="L170" s="3504"/>
      <c r="M170" s="3504"/>
      <c r="N170" s="3504"/>
      <c r="O170" s="3504"/>
      <c r="P170" s="3504"/>
      <c r="Q170" s="3504"/>
      <c r="R170" s="3504"/>
      <c r="S170" s="3504"/>
      <c r="T170" s="3504"/>
      <c r="U170" s="3504"/>
      <c r="V170" s="3504"/>
      <c r="W170" s="3504"/>
      <c r="X170" s="3504"/>
      <c r="Y170" s="3504"/>
      <c r="Z170" s="3504"/>
      <c r="AA170" s="3504"/>
      <c r="AB170" s="3504"/>
      <c r="AC170" s="3504"/>
    </row>
    <row r="171" spans="1:29" s="3505" customFormat="1">
      <c r="A171" s="3504"/>
      <c r="B171" s="3504"/>
      <c r="C171" s="3504"/>
      <c r="D171" s="3504"/>
      <c r="E171" s="3504"/>
      <c r="F171" s="3504"/>
      <c r="G171" s="3504"/>
      <c r="H171" s="3504"/>
      <c r="I171" s="3504"/>
      <c r="J171" s="3504"/>
      <c r="K171" s="3504"/>
      <c r="L171" s="3504"/>
      <c r="M171" s="3504"/>
      <c r="N171" s="3504"/>
      <c r="O171" s="3504"/>
      <c r="P171" s="3504"/>
      <c r="Q171" s="3504"/>
      <c r="R171" s="3504"/>
      <c r="S171" s="3504"/>
      <c r="T171" s="3504"/>
      <c r="U171" s="3504"/>
      <c r="V171" s="3504"/>
      <c r="W171" s="3504"/>
      <c r="X171" s="3504"/>
      <c r="Y171" s="3504"/>
      <c r="Z171" s="3504"/>
      <c r="AA171" s="3504"/>
      <c r="AB171" s="3504"/>
      <c r="AC171" s="3504"/>
    </row>
    <row r="172" spans="1:29" s="3505" customFormat="1">
      <c r="A172" s="3504"/>
      <c r="B172" s="3504"/>
      <c r="C172" s="3504"/>
      <c r="D172" s="3504"/>
      <c r="E172" s="3504"/>
      <c r="F172" s="3504"/>
      <c r="G172" s="3504"/>
      <c r="H172" s="3504"/>
      <c r="I172" s="3504"/>
      <c r="J172" s="3504"/>
      <c r="K172" s="3504"/>
      <c r="L172" s="3504"/>
      <c r="M172" s="3504"/>
      <c r="N172" s="3504"/>
      <c r="O172" s="3504"/>
      <c r="P172" s="3504"/>
      <c r="Q172" s="3504"/>
      <c r="R172" s="3504"/>
      <c r="S172" s="3504"/>
      <c r="T172" s="3504"/>
      <c r="U172" s="3504"/>
      <c r="V172" s="3504"/>
      <c r="W172" s="3504"/>
      <c r="X172" s="3504"/>
      <c r="Y172" s="3504"/>
      <c r="Z172" s="3504"/>
      <c r="AA172" s="3504"/>
      <c r="AB172" s="3504"/>
      <c r="AC172" s="3504"/>
    </row>
    <row r="173" spans="1:29" s="3505" customFormat="1">
      <c r="A173" s="3504"/>
      <c r="B173" s="3504"/>
      <c r="C173" s="3504"/>
      <c r="D173" s="3504"/>
      <c r="E173" s="3504"/>
      <c r="F173" s="3504"/>
      <c r="G173" s="3504"/>
      <c r="H173" s="3504"/>
      <c r="I173" s="3504"/>
      <c r="J173" s="3504"/>
      <c r="K173" s="3504"/>
      <c r="L173" s="3504"/>
      <c r="M173" s="3504"/>
      <c r="N173" s="3504"/>
      <c r="O173" s="3504"/>
      <c r="P173" s="3504"/>
      <c r="Q173" s="3504"/>
      <c r="R173" s="3504"/>
      <c r="S173" s="3504"/>
      <c r="T173" s="3504"/>
      <c r="U173" s="3504"/>
      <c r="V173" s="3504"/>
      <c r="W173" s="3504"/>
      <c r="X173" s="3504"/>
      <c r="Y173" s="3504"/>
      <c r="Z173" s="3504"/>
      <c r="AA173" s="3504"/>
      <c r="AB173" s="3504"/>
      <c r="AC173" s="3504"/>
    </row>
    <row r="174" spans="1:29" s="3505" customFormat="1">
      <c r="A174" s="3504"/>
      <c r="B174" s="3504"/>
      <c r="C174" s="3504"/>
      <c r="D174" s="3504"/>
      <c r="E174" s="3504"/>
      <c r="F174" s="3504"/>
      <c r="G174" s="3504"/>
      <c r="H174" s="3504"/>
      <c r="I174" s="3504"/>
      <c r="J174" s="3504"/>
      <c r="K174" s="3504"/>
      <c r="L174" s="3504"/>
      <c r="M174" s="3504"/>
      <c r="N174" s="3504"/>
      <c r="O174" s="3504"/>
      <c r="P174" s="3504"/>
      <c r="Q174" s="3504"/>
      <c r="R174" s="3504"/>
      <c r="S174" s="3504"/>
      <c r="T174" s="3504"/>
      <c r="U174" s="3504"/>
      <c r="V174" s="3504"/>
      <c r="W174" s="3504"/>
      <c r="X174" s="3504"/>
      <c r="Y174" s="3504"/>
      <c r="Z174" s="3504"/>
      <c r="AA174" s="3504"/>
      <c r="AB174" s="3504"/>
      <c r="AC174" s="3504"/>
    </row>
    <row r="175" spans="1:29" s="3505" customFormat="1">
      <c r="A175" s="3504"/>
      <c r="B175" s="3504"/>
      <c r="C175" s="3504"/>
      <c r="D175" s="3504"/>
      <c r="E175" s="3504"/>
      <c r="F175" s="3504"/>
      <c r="G175" s="3504"/>
      <c r="H175" s="3504"/>
      <c r="I175" s="3504"/>
      <c r="J175" s="3504"/>
      <c r="K175" s="3504"/>
      <c r="L175" s="3504"/>
      <c r="M175" s="3504"/>
      <c r="N175" s="3504"/>
      <c r="O175" s="3504"/>
      <c r="P175" s="3504"/>
      <c r="Q175" s="3504"/>
      <c r="R175" s="3504"/>
      <c r="S175" s="3504"/>
      <c r="T175" s="3504"/>
      <c r="U175" s="3504"/>
      <c r="V175" s="3504"/>
      <c r="W175" s="3504"/>
      <c r="X175" s="3504"/>
      <c r="Y175" s="3504"/>
      <c r="Z175" s="3504"/>
      <c r="AA175" s="3504"/>
      <c r="AB175" s="3504"/>
      <c r="AC175" s="3504"/>
    </row>
    <row r="176" spans="1:29" s="3505" customFormat="1">
      <c r="A176" s="3504"/>
      <c r="B176" s="3504"/>
      <c r="C176" s="3504"/>
      <c r="D176" s="3504"/>
      <c r="E176" s="3504"/>
      <c r="F176" s="3504"/>
      <c r="G176" s="3504"/>
      <c r="H176" s="3504"/>
      <c r="I176" s="3504"/>
      <c r="J176" s="3504"/>
      <c r="K176" s="3504"/>
      <c r="L176" s="3504"/>
      <c r="M176" s="3504"/>
      <c r="N176" s="3504"/>
      <c r="O176" s="3504"/>
      <c r="P176" s="3504"/>
      <c r="Q176" s="3504"/>
      <c r="R176" s="3504"/>
      <c r="S176" s="3504"/>
      <c r="T176" s="3504"/>
      <c r="U176" s="3504"/>
      <c r="V176" s="3504"/>
      <c r="W176" s="3504"/>
      <c r="X176" s="3504"/>
      <c r="Y176" s="3504"/>
      <c r="Z176" s="3504"/>
      <c r="AA176" s="3504"/>
      <c r="AB176" s="3504"/>
      <c r="AC176" s="3504"/>
    </row>
    <row r="177" spans="1:29" s="3505" customFormat="1">
      <c r="A177" s="3504"/>
      <c r="B177" s="3504"/>
      <c r="C177" s="3504"/>
      <c r="D177" s="3504"/>
      <c r="E177" s="3504"/>
      <c r="F177" s="3504"/>
      <c r="G177" s="3504"/>
      <c r="H177" s="3504"/>
      <c r="I177" s="3504"/>
      <c r="J177" s="3504"/>
      <c r="K177" s="3504"/>
      <c r="L177" s="3504"/>
      <c r="M177" s="3504"/>
      <c r="N177" s="3504"/>
      <c r="O177" s="3504"/>
      <c r="P177" s="3504"/>
      <c r="Q177" s="3504"/>
      <c r="R177" s="3504"/>
      <c r="S177" s="3504"/>
      <c r="T177" s="3504"/>
      <c r="U177" s="3504"/>
      <c r="V177" s="3504"/>
      <c r="W177" s="3504"/>
      <c r="X177" s="3504"/>
      <c r="Y177" s="3504"/>
      <c r="Z177" s="3504"/>
      <c r="AA177" s="3504"/>
      <c r="AB177" s="3504"/>
      <c r="AC177" s="3504"/>
    </row>
    <row r="178" spans="1:29" s="3505" customFormat="1">
      <c r="A178" s="3504"/>
      <c r="B178" s="3504"/>
      <c r="C178" s="3504"/>
      <c r="D178" s="3504"/>
      <c r="E178" s="3504"/>
      <c r="F178" s="3504"/>
      <c r="G178" s="3504"/>
      <c r="H178" s="3504"/>
      <c r="I178" s="3504"/>
      <c r="J178" s="3504"/>
      <c r="K178" s="3504"/>
      <c r="L178" s="3504"/>
      <c r="M178" s="3504"/>
      <c r="N178" s="3504"/>
      <c r="O178" s="3504"/>
      <c r="P178" s="3504"/>
      <c r="Q178" s="3504"/>
      <c r="R178" s="3504"/>
      <c r="S178" s="3504"/>
      <c r="T178" s="3504"/>
      <c r="U178" s="3504"/>
      <c r="V178" s="3504"/>
      <c r="W178" s="3504"/>
      <c r="X178" s="3504"/>
      <c r="Y178" s="3504"/>
      <c r="Z178" s="3504"/>
      <c r="AA178" s="3504"/>
      <c r="AB178" s="3504"/>
      <c r="AC178" s="3504"/>
    </row>
    <row r="179" spans="1:29" s="3505" customFormat="1">
      <c r="A179" s="3504"/>
      <c r="B179" s="3504"/>
      <c r="C179" s="3504"/>
      <c r="D179" s="3504"/>
      <c r="E179" s="3504"/>
      <c r="F179" s="3504"/>
      <c r="G179" s="3504"/>
      <c r="H179" s="3504"/>
      <c r="I179" s="3504"/>
      <c r="J179" s="3504"/>
      <c r="K179" s="3504"/>
      <c r="L179" s="3504"/>
      <c r="M179" s="3504"/>
      <c r="N179" s="3504"/>
      <c r="O179" s="3504"/>
      <c r="P179" s="3504"/>
      <c r="Q179" s="3504"/>
      <c r="R179" s="3504"/>
      <c r="S179" s="3504"/>
      <c r="T179" s="3504"/>
      <c r="U179" s="3504"/>
      <c r="V179" s="3504"/>
      <c r="W179" s="3504"/>
      <c r="X179" s="3504"/>
      <c r="Y179" s="3504"/>
      <c r="Z179" s="3504"/>
      <c r="AA179" s="3504"/>
      <c r="AB179" s="3504"/>
      <c r="AC179" s="3504"/>
    </row>
    <row r="180" spans="1:29" s="3505" customFormat="1">
      <c r="A180" s="3504"/>
      <c r="B180" s="3504"/>
      <c r="C180" s="3504"/>
      <c r="D180" s="3504"/>
      <c r="E180" s="3504"/>
      <c r="F180" s="3504"/>
      <c r="G180" s="3504"/>
      <c r="H180" s="3504"/>
      <c r="I180" s="3504"/>
      <c r="J180" s="3504"/>
      <c r="K180" s="3504"/>
      <c r="L180" s="3504"/>
      <c r="M180" s="3504"/>
      <c r="N180" s="3504"/>
      <c r="O180" s="3504"/>
      <c r="P180" s="3504"/>
      <c r="Q180" s="3504"/>
      <c r="R180" s="3504"/>
      <c r="S180" s="3504"/>
      <c r="T180" s="3504"/>
      <c r="U180" s="3504"/>
      <c r="V180" s="3504"/>
      <c r="W180" s="3504"/>
      <c r="X180" s="3504"/>
      <c r="Y180" s="3504"/>
      <c r="Z180" s="3504"/>
      <c r="AA180" s="3504"/>
      <c r="AB180" s="3504"/>
      <c r="AC180" s="3504"/>
    </row>
    <row r="181" spans="1:29" s="3505" customFormat="1">
      <c r="A181" s="3504"/>
      <c r="B181" s="3504"/>
      <c r="C181" s="3504"/>
      <c r="D181" s="3504"/>
      <c r="E181" s="3504"/>
      <c r="F181" s="3504"/>
      <c r="G181" s="3504"/>
      <c r="H181" s="3504"/>
      <c r="I181" s="3504"/>
      <c r="J181" s="3504"/>
      <c r="K181" s="3504"/>
      <c r="L181" s="3504"/>
      <c r="M181" s="3504"/>
      <c r="N181" s="3504"/>
      <c r="O181" s="3504"/>
      <c r="P181" s="3504"/>
      <c r="Q181" s="3504"/>
      <c r="R181" s="3504"/>
      <c r="S181" s="3504"/>
      <c r="T181" s="3504"/>
      <c r="U181" s="3504"/>
      <c r="V181" s="3504"/>
      <c r="W181" s="3504"/>
      <c r="X181" s="3504"/>
      <c r="Y181" s="3504"/>
      <c r="Z181" s="3504"/>
      <c r="AA181" s="3504"/>
      <c r="AB181" s="3504"/>
      <c r="AC181" s="3504"/>
    </row>
    <row r="182" spans="1:29" s="3505" customFormat="1">
      <c r="A182" s="3504"/>
      <c r="B182" s="3504"/>
      <c r="C182" s="3504"/>
      <c r="D182" s="3504"/>
      <c r="E182" s="3504"/>
      <c r="F182" s="3504"/>
      <c r="G182" s="3504"/>
      <c r="H182" s="3504"/>
      <c r="I182" s="3504"/>
      <c r="J182" s="3504"/>
      <c r="K182" s="3504"/>
      <c r="L182" s="3504"/>
      <c r="M182" s="3504"/>
      <c r="N182" s="3504"/>
      <c r="O182" s="3504"/>
      <c r="P182" s="3504"/>
      <c r="Q182" s="3504"/>
      <c r="R182" s="3504"/>
      <c r="S182" s="3504"/>
      <c r="T182" s="3504"/>
      <c r="U182" s="3504"/>
      <c r="V182" s="3504"/>
      <c r="W182" s="3504"/>
      <c r="X182" s="3504"/>
      <c r="Y182" s="3504"/>
      <c r="Z182" s="3504"/>
      <c r="AA182" s="3504"/>
      <c r="AB182" s="3504"/>
      <c r="AC182" s="3504"/>
    </row>
    <row r="183" spans="1:29" s="3505" customFormat="1">
      <c r="A183" s="3504"/>
      <c r="B183" s="3504"/>
      <c r="C183" s="3504"/>
      <c r="D183" s="3504"/>
      <c r="E183" s="3504"/>
      <c r="F183" s="3504"/>
      <c r="G183" s="3504"/>
      <c r="H183" s="3504"/>
      <c r="I183" s="3504"/>
      <c r="J183" s="3504"/>
      <c r="K183" s="3504"/>
      <c r="L183" s="3504"/>
      <c r="M183" s="3504"/>
      <c r="N183" s="3504"/>
      <c r="O183" s="3504"/>
      <c r="P183" s="3504"/>
      <c r="Q183" s="3504"/>
      <c r="R183" s="3504"/>
      <c r="S183" s="3504"/>
      <c r="T183" s="3504"/>
      <c r="U183" s="3504"/>
      <c r="V183" s="3504"/>
      <c r="W183" s="3504"/>
      <c r="X183" s="3504"/>
      <c r="Y183" s="3504"/>
      <c r="Z183" s="3504"/>
      <c r="AA183" s="3504"/>
      <c r="AB183" s="3504"/>
      <c r="AC183" s="3504"/>
    </row>
    <row r="184" spans="1:29" s="3505" customFormat="1">
      <c r="A184" s="3504"/>
      <c r="B184" s="3504"/>
      <c r="C184" s="3504"/>
      <c r="D184" s="3504"/>
      <c r="E184" s="3504"/>
      <c r="F184" s="3504"/>
      <c r="G184" s="3504"/>
      <c r="H184" s="3504"/>
      <c r="I184" s="3504"/>
      <c r="J184" s="3504"/>
      <c r="K184" s="3504"/>
      <c r="L184" s="3504"/>
      <c r="M184" s="3504"/>
      <c r="N184" s="3504"/>
      <c r="O184" s="3504"/>
      <c r="P184" s="3504"/>
      <c r="Q184" s="3504"/>
      <c r="R184" s="3504"/>
      <c r="S184" s="3504"/>
      <c r="T184" s="3504"/>
      <c r="U184" s="3504"/>
      <c r="V184" s="3504"/>
      <c r="W184" s="3504"/>
      <c r="X184" s="3504"/>
      <c r="Y184" s="3504"/>
      <c r="Z184" s="3504"/>
      <c r="AA184" s="3504"/>
      <c r="AB184" s="3504"/>
      <c r="AC184" s="3504"/>
    </row>
    <row r="185" spans="1:29" s="3505" customFormat="1">
      <c r="A185" s="3504"/>
      <c r="B185" s="3504"/>
      <c r="C185" s="3504"/>
      <c r="D185" s="3504"/>
      <c r="E185" s="3504"/>
      <c r="F185" s="3504"/>
      <c r="G185" s="3504"/>
      <c r="H185" s="3504"/>
      <c r="I185" s="3504"/>
      <c r="J185" s="3504"/>
      <c r="K185" s="3504"/>
      <c r="L185" s="3504"/>
      <c r="M185" s="3504"/>
      <c r="N185" s="3504"/>
      <c r="O185" s="3504"/>
      <c r="P185" s="3504"/>
      <c r="Q185" s="3504"/>
      <c r="R185" s="3504"/>
      <c r="S185" s="3504"/>
      <c r="T185" s="3504"/>
      <c r="U185" s="3504"/>
      <c r="V185" s="3504"/>
      <c r="W185" s="3504"/>
      <c r="X185" s="3504"/>
      <c r="Y185" s="3504"/>
      <c r="Z185" s="3504"/>
      <c r="AA185" s="3504"/>
      <c r="AB185" s="3504"/>
      <c r="AC185" s="3504"/>
    </row>
    <row r="186" spans="1:29" s="3505" customFormat="1">
      <c r="A186" s="3504"/>
      <c r="B186" s="3504"/>
      <c r="C186" s="3504"/>
      <c r="D186" s="3504"/>
      <c r="E186" s="3504"/>
      <c r="F186" s="3504"/>
      <c r="G186" s="3504"/>
      <c r="H186" s="3504"/>
      <c r="I186" s="3504"/>
      <c r="J186" s="3504"/>
      <c r="K186" s="3504"/>
      <c r="L186" s="3504"/>
      <c r="M186" s="3504"/>
      <c r="N186" s="3504"/>
      <c r="O186" s="3504"/>
      <c r="P186" s="3504"/>
      <c r="Q186" s="3504"/>
      <c r="R186" s="3504"/>
      <c r="S186" s="3504"/>
      <c r="T186" s="3504"/>
      <c r="U186" s="3504"/>
      <c r="V186" s="3504"/>
      <c r="W186" s="3504"/>
      <c r="X186" s="3504"/>
      <c r="Y186" s="3504"/>
      <c r="Z186" s="3504"/>
      <c r="AA186" s="3504"/>
      <c r="AB186" s="3504"/>
      <c r="AC186" s="3504"/>
    </row>
    <row r="187" spans="1:29" s="3505" customFormat="1">
      <c r="A187" s="3504"/>
      <c r="B187" s="3504"/>
      <c r="C187" s="3504"/>
      <c r="D187" s="3504"/>
      <c r="E187" s="3504"/>
      <c r="F187" s="3504"/>
      <c r="G187" s="3504"/>
      <c r="H187" s="3504"/>
      <c r="I187" s="3504"/>
      <c r="J187" s="3504"/>
      <c r="K187" s="3504"/>
      <c r="L187" s="3504"/>
      <c r="M187" s="3504"/>
      <c r="N187" s="3504"/>
      <c r="O187" s="3504"/>
      <c r="P187" s="3504"/>
      <c r="Q187" s="3504"/>
      <c r="R187" s="3504"/>
      <c r="S187" s="3504"/>
      <c r="T187" s="3504"/>
      <c r="U187" s="3504"/>
      <c r="V187" s="3504"/>
      <c r="W187" s="3504"/>
      <c r="X187" s="3504"/>
      <c r="Y187" s="3504"/>
      <c r="Z187" s="3504"/>
      <c r="AA187" s="3504"/>
      <c r="AB187" s="3504"/>
      <c r="AC187" s="3504"/>
    </row>
    <row r="188" spans="1:29" s="3505" customFormat="1">
      <c r="A188" s="3504"/>
      <c r="B188" s="3504"/>
      <c r="C188" s="3504"/>
      <c r="D188" s="3504"/>
      <c r="E188" s="3504"/>
      <c r="F188" s="3504"/>
      <c r="G188" s="3504"/>
      <c r="H188" s="3504"/>
      <c r="I188" s="3504"/>
      <c r="J188" s="3504"/>
      <c r="K188" s="3504"/>
      <c r="L188" s="3504"/>
      <c r="M188" s="3504"/>
      <c r="N188" s="3504"/>
      <c r="O188" s="3504"/>
      <c r="P188" s="3504"/>
      <c r="Q188" s="3504"/>
      <c r="R188" s="3504"/>
      <c r="S188" s="3504"/>
      <c r="T188" s="3504"/>
      <c r="U188" s="3504"/>
      <c r="V188" s="3504"/>
      <c r="W188" s="3504"/>
      <c r="X188" s="3504"/>
      <c r="Y188" s="3504"/>
      <c r="Z188" s="3504"/>
      <c r="AA188" s="3504"/>
      <c r="AB188" s="3504"/>
      <c r="AC188" s="3504"/>
    </row>
    <row r="189" spans="1:29" s="3505" customFormat="1">
      <c r="A189" s="3504"/>
      <c r="B189" s="3504"/>
      <c r="C189" s="3504"/>
      <c r="D189" s="3504"/>
      <c r="E189" s="3504"/>
      <c r="F189" s="3504"/>
      <c r="G189" s="3504"/>
      <c r="H189" s="3504"/>
      <c r="I189" s="3504"/>
      <c r="J189" s="3504"/>
      <c r="K189" s="3504"/>
      <c r="L189" s="3504"/>
      <c r="M189" s="3504"/>
      <c r="N189" s="3504"/>
      <c r="O189" s="3504"/>
      <c r="P189" s="3504"/>
      <c r="Q189" s="3504"/>
      <c r="R189" s="3504"/>
      <c r="S189" s="3504"/>
      <c r="T189" s="3504"/>
      <c r="U189" s="3504"/>
      <c r="V189" s="3504"/>
      <c r="W189" s="3504"/>
      <c r="X189" s="3504"/>
      <c r="Y189" s="3504"/>
      <c r="Z189" s="3504"/>
      <c r="AA189" s="3504"/>
      <c r="AB189" s="3504"/>
      <c r="AC189" s="3504"/>
    </row>
    <row r="190" spans="1:29" s="3505" customFormat="1">
      <c r="A190" s="3504"/>
      <c r="B190" s="3504"/>
      <c r="C190" s="3504"/>
      <c r="D190" s="3504"/>
      <c r="E190" s="3504"/>
      <c r="F190" s="3504"/>
      <c r="G190" s="3504"/>
      <c r="H190" s="3504"/>
      <c r="I190" s="3504"/>
      <c r="J190" s="3504"/>
      <c r="K190" s="3504"/>
      <c r="L190" s="3504"/>
      <c r="M190" s="3504"/>
      <c r="N190" s="3504"/>
      <c r="O190" s="3504"/>
      <c r="P190" s="3504"/>
      <c r="Q190" s="3504"/>
      <c r="R190" s="3504"/>
      <c r="S190" s="3504"/>
      <c r="T190" s="3504"/>
      <c r="U190" s="3504"/>
      <c r="V190" s="3504"/>
      <c r="W190" s="3504"/>
      <c r="X190" s="3504"/>
      <c r="Y190" s="3504"/>
      <c r="Z190" s="3504"/>
      <c r="AA190" s="3504"/>
      <c r="AB190" s="3504"/>
      <c r="AC190" s="3504"/>
    </row>
    <row r="191" spans="1:29" s="3505" customFormat="1">
      <c r="A191" s="3504"/>
      <c r="B191" s="3504"/>
      <c r="C191" s="3504"/>
      <c r="D191" s="3504"/>
      <c r="E191" s="3504"/>
      <c r="F191" s="3504"/>
      <c r="G191" s="3504"/>
      <c r="H191" s="3504"/>
      <c r="I191" s="3504"/>
      <c r="J191" s="3504"/>
      <c r="K191" s="3504"/>
      <c r="L191" s="3504"/>
      <c r="M191" s="3504"/>
      <c r="N191" s="3504"/>
      <c r="O191" s="3504"/>
      <c r="P191" s="3504"/>
      <c r="Q191" s="3504"/>
      <c r="R191" s="3504"/>
      <c r="S191" s="3504"/>
      <c r="T191" s="3504"/>
      <c r="U191" s="3504"/>
      <c r="V191" s="3504"/>
      <c r="W191" s="3504"/>
      <c r="X191" s="3504"/>
      <c r="Y191" s="3504"/>
      <c r="Z191" s="3504"/>
      <c r="AA191" s="3504"/>
      <c r="AB191" s="3504"/>
      <c r="AC191" s="3504"/>
    </row>
    <row r="192" spans="1:29" s="3505" customFormat="1">
      <c r="A192" s="3504"/>
      <c r="B192" s="3504"/>
      <c r="C192" s="3504"/>
      <c r="D192" s="3504"/>
      <c r="E192" s="3504"/>
      <c r="F192" s="3504"/>
      <c r="G192" s="3504"/>
      <c r="H192" s="3504"/>
      <c r="I192" s="3504"/>
      <c r="J192" s="3504"/>
      <c r="K192" s="3504"/>
      <c r="L192" s="3504"/>
      <c r="M192" s="3504"/>
      <c r="N192" s="3504"/>
      <c r="O192" s="3504"/>
      <c r="P192" s="3504"/>
      <c r="Q192" s="3504"/>
      <c r="R192" s="3504"/>
      <c r="S192" s="3504"/>
      <c r="T192" s="3504"/>
      <c r="U192" s="3504"/>
      <c r="V192" s="3504"/>
      <c r="W192" s="3504"/>
      <c r="X192" s="3504"/>
      <c r="Y192" s="3504"/>
      <c r="Z192" s="3504"/>
      <c r="AA192" s="3504"/>
      <c r="AB192" s="3504"/>
      <c r="AC192" s="3504"/>
    </row>
    <row r="193" spans="1:29" s="3505" customFormat="1">
      <c r="A193" s="3504"/>
      <c r="B193" s="3504"/>
      <c r="C193" s="3504"/>
      <c r="D193" s="3504"/>
      <c r="E193" s="3504"/>
      <c r="F193" s="3504"/>
      <c r="G193" s="3504"/>
      <c r="H193" s="3504"/>
      <c r="I193" s="3504"/>
      <c r="J193" s="3504"/>
      <c r="K193" s="3504"/>
      <c r="L193" s="3504"/>
      <c r="M193" s="3504"/>
      <c r="N193" s="3504"/>
      <c r="O193" s="3504"/>
      <c r="P193" s="3504"/>
      <c r="Q193" s="3504"/>
      <c r="R193" s="3504"/>
      <c r="S193" s="3504"/>
      <c r="T193" s="3504"/>
      <c r="U193" s="3504"/>
      <c r="V193" s="3504"/>
      <c r="W193" s="3504"/>
      <c r="X193" s="3504"/>
      <c r="Y193" s="3504"/>
      <c r="Z193" s="3504"/>
      <c r="AA193" s="3504"/>
      <c r="AB193" s="3504"/>
      <c r="AC193" s="3504"/>
    </row>
    <row r="194" spans="1:29" s="3505" customFormat="1">
      <c r="A194" s="3504"/>
      <c r="B194" s="3504"/>
      <c r="C194" s="3504"/>
      <c r="D194" s="3504"/>
      <c r="E194" s="3504"/>
      <c r="F194" s="3504"/>
      <c r="G194" s="3504"/>
      <c r="H194" s="3504"/>
      <c r="I194" s="3504"/>
      <c r="J194" s="3504"/>
      <c r="K194" s="3504"/>
      <c r="L194" s="3504"/>
      <c r="M194" s="3504"/>
      <c r="N194" s="3504"/>
      <c r="O194" s="3504"/>
      <c r="P194" s="3504"/>
      <c r="Q194" s="3504"/>
      <c r="R194" s="3504"/>
      <c r="S194" s="3504"/>
      <c r="T194" s="3504"/>
      <c r="U194" s="3504"/>
      <c r="V194" s="3504"/>
      <c r="W194" s="3504"/>
      <c r="X194" s="3504"/>
      <c r="Y194" s="3504"/>
      <c r="Z194" s="3504"/>
      <c r="AA194" s="3504"/>
      <c r="AB194" s="3504"/>
      <c r="AC194" s="3504"/>
    </row>
    <row r="195" spans="1:29" s="3505" customFormat="1">
      <c r="A195" s="3504"/>
      <c r="B195" s="3504"/>
      <c r="C195" s="3504"/>
      <c r="D195" s="3504"/>
      <c r="E195" s="3504"/>
      <c r="F195" s="3504"/>
      <c r="G195" s="3504"/>
      <c r="H195" s="3504"/>
      <c r="I195" s="3504"/>
      <c r="J195" s="3504"/>
      <c r="K195" s="3504"/>
      <c r="L195" s="3504"/>
      <c r="M195" s="3504"/>
      <c r="N195" s="3504"/>
      <c r="O195" s="3504"/>
      <c r="P195" s="3504"/>
      <c r="Q195" s="3504"/>
      <c r="R195" s="3504"/>
      <c r="S195" s="3504"/>
      <c r="T195" s="3504"/>
      <c r="U195" s="3504"/>
      <c r="V195" s="3504"/>
      <c r="W195" s="3504"/>
      <c r="X195" s="3504"/>
      <c r="Y195" s="3504"/>
      <c r="Z195" s="3504"/>
      <c r="AA195" s="3504"/>
      <c r="AB195" s="3504"/>
      <c r="AC195" s="3504"/>
    </row>
    <row r="196" spans="1:29" s="3505" customFormat="1">
      <c r="A196" s="3504"/>
      <c r="B196" s="3504"/>
      <c r="C196" s="3504"/>
      <c r="D196" s="3504"/>
      <c r="E196" s="3504"/>
      <c r="F196" s="3504"/>
      <c r="G196" s="3504"/>
      <c r="H196" s="3504"/>
      <c r="I196" s="3504"/>
      <c r="J196" s="3504"/>
      <c r="K196" s="3504"/>
      <c r="L196" s="3504"/>
      <c r="M196" s="3504"/>
      <c r="N196" s="3504"/>
      <c r="O196" s="3504"/>
      <c r="P196" s="3504"/>
      <c r="Q196" s="3504"/>
      <c r="R196" s="3504"/>
      <c r="S196" s="3504"/>
      <c r="T196" s="3504"/>
      <c r="U196" s="3504"/>
      <c r="V196" s="3504"/>
      <c r="W196" s="3504"/>
      <c r="X196" s="3504"/>
      <c r="Y196" s="3504"/>
      <c r="Z196" s="3504"/>
      <c r="AA196" s="3504"/>
      <c r="AB196" s="3504"/>
      <c r="AC196" s="3504"/>
    </row>
    <row r="197" spans="1:29" s="3505" customFormat="1">
      <c r="A197" s="3504"/>
      <c r="B197" s="3504"/>
      <c r="C197" s="3504"/>
      <c r="D197" s="3504"/>
      <c r="E197" s="3504"/>
      <c r="F197" s="3504"/>
      <c r="G197" s="3504"/>
      <c r="H197" s="3504"/>
      <c r="I197" s="3504"/>
      <c r="J197" s="3504"/>
      <c r="K197" s="3504"/>
      <c r="L197" s="3504"/>
      <c r="M197" s="3504"/>
      <c r="N197" s="3504"/>
      <c r="O197" s="3504"/>
      <c r="P197" s="3504"/>
      <c r="Q197" s="3504"/>
      <c r="R197" s="3504"/>
      <c r="S197" s="3504"/>
      <c r="T197" s="3504"/>
      <c r="U197" s="3504"/>
      <c r="V197" s="3504"/>
      <c r="W197" s="3504"/>
      <c r="X197" s="3504"/>
      <c r="Y197" s="3504"/>
      <c r="Z197" s="3504"/>
      <c r="AA197" s="3504"/>
      <c r="AB197" s="3504"/>
      <c r="AC197" s="3504"/>
    </row>
    <row r="198" spans="1:29" s="3505" customFormat="1">
      <c r="A198" s="3504"/>
      <c r="B198" s="3504"/>
      <c r="C198" s="3504"/>
      <c r="D198" s="3504"/>
      <c r="E198" s="3504"/>
      <c r="F198" s="3504"/>
      <c r="G198" s="3504"/>
      <c r="H198" s="3504"/>
      <c r="I198" s="3504"/>
      <c r="J198" s="3504"/>
      <c r="K198" s="3504"/>
      <c r="L198" s="3504"/>
      <c r="M198" s="3504"/>
      <c r="N198" s="3504"/>
      <c r="O198" s="3504"/>
      <c r="P198" s="3504"/>
      <c r="Q198" s="3504"/>
      <c r="R198" s="3504"/>
      <c r="S198" s="3504"/>
      <c r="T198" s="3504"/>
      <c r="U198" s="3504"/>
      <c r="V198" s="3504"/>
      <c r="W198" s="3504"/>
      <c r="X198" s="3504"/>
      <c r="Y198" s="3504"/>
      <c r="Z198" s="3504"/>
      <c r="AA198" s="3504"/>
      <c r="AB198" s="3504"/>
      <c r="AC198" s="3504"/>
    </row>
    <row r="199" spans="1:29" s="3505" customFormat="1">
      <c r="A199" s="3504"/>
      <c r="B199" s="3504"/>
      <c r="C199" s="3504"/>
      <c r="D199" s="3504"/>
      <c r="E199" s="3504"/>
      <c r="F199" s="3504"/>
      <c r="G199" s="3504"/>
      <c r="H199" s="3504"/>
      <c r="I199" s="3504"/>
      <c r="J199" s="3504"/>
      <c r="K199" s="3504"/>
      <c r="L199" s="3504"/>
      <c r="M199" s="3504"/>
      <c r="N199" s="3504"/>
      <c r="O199" s="3504"/>
      <c r="P199" s="3504"/>
      <c r="Q199" s="3504"/>
      <c r="R199" s="3504"/>
      <c r="S199" s="3504"/>
      <c r="T199" s="3504"/>
      <c r="U199" s="3504"/>
      <c r="V199" s="3504"/>
      <c r="W199" s="3504"/>
      <c r="X199" s="3504"/>
      <c r="Y199" s="3504"/>
      <c r="Z199" s="3504"/>
      <c r="AA199" s="3504"/>
      <c r="AB199" s="3504"/>
      <c r="AC199" s="3504"/>
    </row>
    <row r="200" spans="1:29" s="3505" customFormat="1">
      <c r="A200" s="3504"/>
      <c r="B200" s="3504"/>
      <c r="C200" s="3504"/>
      <c r="D200" s="3504"/>
      <c r="E200" s="3504"/>
      <c r="F200" s="3504"/>
      <c r="G200" s="3504"/>
      <c r="H200" s="3504"/>
      <c r="I200" s="3504"/>
      <c r="J200" s="3504"/>
      <c r="K200" s="3504"/>
      <c r="L200" s="3504"/>
      <c r="M200" s="3504"/>
      <c r="N200" s="3504"/>
      <c r="O200" s="3504"/>
      <c r="P200" s="3504"/>
      <c r="Q200" s="3504"/>
      <c r="R200" s="3504"/>
      <c r="S200" s="3504"/>
      <c r="T200" s="3504"/>
      <c r="U200" s="3504"/>
      <c r="V200" s="3504"/>
      <c r="W200" s="3504"/>
      <c r="X200" s="3504"/>
      <c r="Y200" s="3504"/>
      <c r="Z200" s="3504"/>
      <c r="AA200" s="3504"/>
      <c r="AB200" s="3504"/>
      <c r="AC200" s="3504"/>
    </row>
    <row r="201" spans="1:29" s="3505" customFormat="1">
      <c r="A201" s="3504"/>
      <c r="B201" s="3504"/>
      <c r="C201" s="3504"/>
      <c r="D201" s="3504"/>
      <c r="E201" s="3504"/>
      <c r="F201" s="3504"/>
      <c r="G201" s="3504"/>
      <c r="H201" s="3504"/>
      <c r="I201" s="3504"/>
      <c r="J201" s="3504"/>
      <c r="K201" s="3504"/>
      <c r="L201" s="3504"/>
      <c r="M201" s="3504"/>
      <c r="N201" s="3504"/>
      <c r="O201" s="3504"/>
      <c r="P201" s="3504"/>
      <c r="Q201" s="3504"/>
      <c r="R201" s="3504"/>
      <c r="S201" s="3504"/>
      <c r="T201" s="3504"/>
      <c r="U201" s="3504"/>
      <c r="V201" s="3504"/>
      <c r="W201" s="3504"/>
      <c r="X201" s="3504"/>
      <c r="Y201" s="3504"/>
      <c r="Z201" s="3504"/>
      <c r="AA201" s="3504"/>
      <c r="AB201" s="3504"/>
      <c r="AC201" s="3504"/>
    </row>
    <row r="202" spans="1:29" s="3505" customFormat="1">
      <c r="A202" s="3504"/>
      <c r="B202" s="3504"/>
      <c r="C202" s="3504"/>
      <c r="D202" s="3504"/>
      <c r="E202" s="3504"/>
      <c r="F202" s="3504"/>
      <c r="G202" s="3504"/>
      <c r="H202" s="3504"/>
      <c r="I202" s="3504"/>
      <c r="J202" s="3504"/>
      <c r="K202" s="3504"/>
      <c r="L202" s="3504"/>
      <c r="M202" s="3504"/>
      <c r="N202" s="3504"/>
      <c r="O202" s="3504"/>
      <c r="P202" s="3504"/>
      <c r="Q202" s="3504"/>
      <c r="R202" s="3504"/>
      <c r="S202" s="3504"/>
      <c r="T202" s="3504"/>
      <c r="U202" s="3504"/>
      <c r="V202" s="3504"/>
      <c r="W202" s="3504"/>
      <c r="X202" s="3504"/>
      <c r="Y202" s="3504"/>
      <c r="Z202" s="3504"/>
      <c r="AA202" s="3504"/>
      <c r="AB202" s="3504"/>
      <c r="AC202" s="3504"/>
    </row>
    <row r="203" spans="1:29" s="3505" customFormat="1">
      <c r="A203" s="3504"/>
      <c r="B203" s="3504"/>
      <c r="C203" s="3504"/>
      <c r="D203" s="3504"/>
      <c r="E203" s="3504"/>
      <c r="F203" s="3504"/>
      <c r="G203" s="3504"/>
      <c r="H203" s="3504"/>
      <c r="I203" s="3504"/>
      <c r="J203" s="3504"/>
      <c r="K203" s="3504"/>
      <c r="L203" s="3504"/>
      <c r="M203" s="3504"/>
      <c r="N203" s="3504"/>
      <c r="O203" s="3504"/>
      <c r="P203" s="3504"/>
      <c r="Q203" s="3504"/>
      <c r="R203" s="3504"/>
      <c r="S203" s="3504"/>
      <c r="T203" s="3504"/>
      <c r="U203" s="3504"/>
      <c r="V203" s="3504"/>
      <c r="W203" s="3504"/>
      <c r="X203" s="3504"/>
      <c r="Y203" s="3504"/>
      <c r="Z203" s="3504"/>
      <c r="AA203" s="3504"/>
      <c r="AB203" s="3504"/>
      <c r="AC203" s="3504"/>
    </row>
    <row r="204" spans="1:29" s="3505" customFormat="1">
      <c r="A204" s="3504"/>
      <c r="B204" s="3504"/>
      <c r="C204" s="3504"/>
      <c r="D204" s="3504"/>
      <c r="E204" s="3504"/>
      <c r="F204" s="3504"/>
      <c r="G204" s="3504"/>
      <c r="H204" s="3504"/>
      <c r="I204" s="3504"/>
      <c r="J204" s="3504"/>
      <c r="K204" s="3504"/>
      <c r="L204" s="3504"/>
      <c r="M204" s="3504"/>
      <c r="N204" s="3504"/>
      <c r="O204" s="3504"/>
      <c r="P204" s="3504"/>
      <c r="Q204" s="3504"/>
      <c r="R204" s="3504"/>
      <c r="S204" s="3504"/>
      <c r="T204" s="3504"/>
      <c r="U204" s="3504"/>
      <c r="V204" s="3504"/>
      <c r="W204" s="3504"/>
      <c r="X204" s="3504"/>
      <c r="Y204" s="3504"/>
      <c r="Z204" s="3504"/>
      <c r="AA204" s="3504"/>
      <c r="AB204" s="3504"/>
      <c r="AC204" s="3504"/>
    </row>
    <row r="205" spans="1:29" s="3505" customFormat="1">
      <c r="A205" s="3504"/>
      <c r="B205" s="3504"/>
      <c r="C205" s="3504"/>
      <c r="D205" s="3504"/>
      <c r="E205" s="3504"/>
      <c r="F205" s="3504"/>
      <c r="G205" s="3504"/>
      <c r="H205" s="3504"/>
      <c r="I205" s="3504"/>
      <c r="J205" s="3504"/>
      <c r="K205" s="3504"/>
      <c r="L205" s="3504"/>
      <c r="M205" s="3504"/>
      <c r="N205" s="3504"/>
      <c r="O205" s="3504"/>
      <c r="P205" s="3504"/>
      <c r="Q205" s="3504"/>
      <c r="R205" s="3504"/>
      <c r="S205" s="3504"/>
      <c r="T205" s="3504"/>
      <c r="U205" s="3504"/>
      <c r="V205" s="3504"/>
      <c r="W205" s="3504"/>
      <c r="X205" s="3504"/>
      <c r="Y205" s="3504"/>
      <c r="Z205" s="3504"/>
      <c r="AA205" s="3504"/>
      <c r="AB205" s="3504"/>
      <c r="AC205" s="3504"/>
    </row>
    <row r="206" spans="1:29" s="3505" customFormat="1">
      <c r="A206" s="3504"/>
      <c r="B206" s="3504"/>
      <c r="C206" s="3504"/>
      <c r="D206" s="3504"/>
      <c r="E206" s="3504"/>
      <c r="F206" s="3504"/>
      <c r="G206" s="3504"/>
      <c r="H206" s="3504"/>
      <c r="I206" s="3504"/>
      <c r="J206" s="3504"/>
      <c r="K206" s="3504"/>
      <c r="L206" s="3504"/>
      <c r="M206" s="3504"/>
      <c r="N206" s="3504"/>
      <c r="O206" s="3504"/>
      <c r="P206" s="3504"/>
      <c r="Q206" s="3504"/>
      <c r="R206" s="3504"/>
      <c r="S206" s="3504"/>
      <c r="T206" s="3504"/>
      <c r="U206" s="3504"/>
      <c r="V206" s="3504"/>
      <c r="W206" s="3504"/>
      <c r="X206" s="3504"/>
      <c r="Y206" s="3504"/>
      <c r="Z206" s="3504"/>
      <c r="AA206" s="3504"/>
      <c r="AB206" s="3504"/>
      <c r="AC206" s="3504"/>
    </row>
    <row r="207" spans="1:29" s="3505" customFormat="1">
      <c r="A207" s="3504"/>
      <c r="B207" s="3504"/>
      <c r="C207" s="3504"/>
      <c r="D207" s="3504"/>
      <c r="E207" s="3504"/>
      <c r="F207" s="3504"/>
      <c r="G207" s="3504"/>
      <c r="H207" s="3504"/>
      <c r="I207" s="3504"/>
      <c r="J207" s="3504"/>
      <c r="K207" s="3504"/>
      <c r="L207" s="3504"/>
      <c r="M207" s="3504"/>
      <c r="N207" s="3504"/>
      <c r="O207" s="3504"/>
      <c r="P207" s="3504"/>
      <c r="Q207" s="3504"/>
      <c r="R207" s="3504"/>
      <c r="S207" s="3504"/>
      <c r="T207" s="3504"/>
      <c r="U207" s="3504"/>
      <c r="V207" s="3504"/>
      <c r="W207" s="3504"/>
      <c r="X207" s="3504"/>
      <c r="Y207" s="3504"/>
      <c r="Z207" s="3504"/>
      <c r="AA207" s="3504"/>
      <c r="AB207" s="3504"/>
      <c r="AC207" s="3504"/>
    </row>
    <row r="208" spans="1:29" s="3505" customFormat="1">
      <c r="A208" s="3504"/>
      <c r="B208" s="3504"/>
      <c r="C208" s="3504"/>
      <c r="D208" s="3504"/>
      <c r="E208" s="3504"/>
      <c r="F208" s="3504"/>
      <c r="G208" s="3504"/>
      <c r="H208" s="3504"/>
      <c r="I208" s="3504"/>
      <c r="J208" s="3504"/>
      <c r="K208" s="3504"/>
      <c r="L208" s="3504"/>
      <c r="M208" s="3504"/>
      <c r="N208" s="3504"/>
      <c r="O208" s="3504"/>
      <c r="P208" s="3504"/>
      <c r="Q208" s="3504"/>
      <c r="R208" s="3504"/>
      <c r="S208" s="3504"/>
      <c r="T208" s="3504"/>
      <c r="U208" s="3504"/>
      <c r="V208" s="3504"/>
      <c r="W208" s="3504"/>
      <c r="X208" s="3504"/>
      <c r="Y208" s="3504"/>
      <c r="Z208" s="3504"/>
      <c r="AA208" s="3504"/>
      <c r="AB208" s="3504"/>
      <c r="AC208" s="3504"/>
    </row>
    <row r="209" spans="1:29" s="3505" customFormat="1">
      <c r="A209" s="3504"/>
      <c r="B209" s="3504"/>
      <c r="C209" s="3504"/>
      <c r="D209" s="3504"/>
      <c r="E209" s="3504"/>
      <c r="F209" s="3504"/>
      <c r="G209" s="3504"/>
      <c r="H209" s="3504"/>
      <c r="I209" s="3504"/>
      <c r="J209" s="3504"/>
      <c r="K209" s="3504"/>
      <c r="L209" s="3504"/>
      <c r="M209" s="3504"/>
      <c r="N209" s="3504"/>
      <c r="O209" s="3504"/>
      <c r="P209" s="3504"/>
      <c r="Q209" s="3504"/>
      <c r="R209" s="3504"/>
      <c r="S209" s="3504"/>
      <c r="T209" s="3504"/>
      <c r="U209" s="3504"/>
      <c r="V209" s="3504"/>
      <c r="W209" s="3504"/>
      <c r="X209" s="3504"/>
      <c r="Y209" s="3504"/>
      <c r="Z209" s="3504"/>
      <c r="AA209" s="3504"/>
      <c r="AB209" s="3504"/>
      <c r="AC209" s="3504"/>
    </row>
    <row r="210" spans="1:29" s="3505" customFormat="1">
      <c r="A210" s="3504"/>
      <c r="B210" s="3504"/>
      <c r="C210" s="3504"/>
      <c r="D210" s="3504"/>
      <c r="E210" s="3504"/>
      <c r="F210" s="3504"/>
      <c r="G210" s="3504"/>
      <c r="H210" s="3504"/>
      <c r="I210" s="3504"/>
      <c r="J210" s="3504"/>
      <c r="K210" s="3504"/>
      <c r="L210" s="3504"/>
      <c r="M210" s="3504"/>
      <c r="N210" s="3504"/>
      <c r="O210" s="3504"/>
      <c r="P210" s="3504"/>
      <c r="Q210" s="3504"/>
      <c r="R210" s="3504"/>
      <c r="S210" s="3504"/>
      <c r="T210" s="3504"/>
      <c r="U210" s="3504"/>
      <c r="V210" s="3504"/>
      <c r="W210" s="3504"/>
      <c r="X210" s="3504"/>
      <c r="Y210" s="3504"/>
      <c r="Z210" s="3504"/>
      <c r="AA210" s="3504"/>
      <c r="AB210" s="3504"/>
      <c r="AC210" s="3504"/>
    </row>
    <row r="211" spans="1:29" s="3505" customFormat="1">
      <c r="A211" s="3504"/>
      <c r="B211" s="3504"/>
      <c r="C211" s="3504"/>
      <c r="D211" s="3504"/>
      <c r="E211" s="3504"/>
      <c r="F211" s="3504"/>
      <c r="G211" s="3504"/>
      <c r="H211" s="3504"/>
      <c r="I211" s="3504"/>
      <c r="J211" s="3504"/>
      <c r="K211" s="3504"/>
      <c r="L211" s="3504"/>
      <c r="M211" s="3504"/>
      <c r="N211" s="3504"/>
      <c r="O211" s="3504"/>
      <c r="P211" s="3504"/>
      <c r="Q211" s="3504"/>
      <c r="R211" s="3504"/>
      <c r="S211" s="3504"/>
      <c r="T211" s="3504"/>
      <c r="U211" s="3504"/>
      <c r="V211" s="3504"/>
      <c r="W211" s="3504"/>
      <c r="X211" s="3504"/>
      <c r="Y211" s="3504"/>
      <c r="Z211" s="3504"/>
      <c r="AA211" s="3504"/>
      <c r="AB211" s="3504"/>
      <c r="AC211" s="3504"/>
    </row>
    <row r="212" spans="1:29" s="3505" customFormat="1">
      <c r="A212" s="3504"/>
      <c r="B212" s="3504"/>
      <c r="C212" s="3504"/>
      <c r="D212" s="3504"/>
      <c r="E212" s="3504"/>
      <c r="F212" s="3504"/>
      <c r="G212" s="3504"/>
      <c r="H212" s="3504"/>
      <c r="I212" s="3504"/>
      <c r="J212" s="3504"/>
      <c r="K212" s="3504"/>
      <c r="L212" s="3504"/>
      <c r="M212" s="3504"/>
      <c r="N212" s="3504"/>
      <c r="O212" s="3504"/>
      <c r="P212" s="3504"/>
      <c r="Q212" s="3504"/>
      <c r="R212" s="3504"/>
      <c r="S212" s="3504"/>
      <c r="T212" s="3504"/>
      <c r="U212" s="3504"/>
      <c r="V212" s="3504"/>
      <c r="W212" s="3504"/>
      <c r="X212" s="3504"/>
      <c r="Y212" s="3504"/>
      <c r="Z212" s="3504"/>
      <c r="AA212" s="3504"/>
      <c r="AB212" s="3504"/>
      <c r="AC212" s="3504"/>
    </row>
    <row r="213" spans="1:29" s="3505" customFormat="1">
      <c r="A213" s="3504"/>
      <c r="B213" s="3504"/>
      <c r="C213" s="3504"/>
      <c r="D213" s="3504"/>
      <c r="E213" s="3504"/>
      <c r="F213" s="3504"/>
      <c r="G213" s="3504"/>
      <c r="H213" s="3504"/>
      <c r="I213" s="3504"/>
      <c r="J213" s="3504"/>
      <c r="K213" s="3504"/>
      <c r="L213" s="3504"/>
      <c r="M213" s="3504"/>
      <c r="N213" s="3504"/>
      <c r="O213" s="3504"/>
      <c r="P213" s="3504"/>
      <c r="Q213" s="3504"/>
      <c r="R213" s="3504"/>
      <c r="S213" s="3504"/>
      <c r="T213" s="3504"/>
      <c r="U213" s="3504"/>
      <c r="V213" s="3504"/>
      <c r="W213" s="3504"/>
      <c r="X213" s="3504"/>
      <c r="Y213" s="3504"/>
      <c r="Z213" s="3504"/>
      <c r="AA213" s="3504"/>
      <c r="AB213" s="3504"/>
      <c r="AC213" s="3504"/>
    </row>
    <row r="214" spans="1:29" s="3505" customFormat="1">
      <c r="A214" s="3504"/>
      <c r="B214" s="3504"/>
      <c r="C214" s="3504"/>
      <c r="D214" s="3504"/>
      <c r="E214" s="3504"/>
      <c r="F214" s="3504"/>
      <c r="G214" s="3504"/>
      <c r="H214" s="3504"/>
      <c r="I214" s="3504"/>
      <c r="J214" s="3504"/>
      <c r="K214" s="3504"/>
      <c r="L214" s="3504"/>
      <c r="M214" s="3504"/>
      <c r="N214" s="3504"/>
      <c r="O214" s="3504"/>
      <c r="P214" s="3504"/>
      <c r="Q214" s="3504"/>
      <c r="R214" s="3504"/>
      <c r="S214" s="3504"/>
      <c r="T214" s="3504"/>
      <c r="U214" s="3504"/>
      <c r="V214" s="3504"/>
      <c r="W214" s="3504"/>
      <c r="X214" s="3504"/>
      <c r="Y214" s="3504"/>
      <c r="Z214" s="3504"/>
      <c r="AA214" s="3504"/>
      <c r="AB214" s="3504"/>
      <c r="AC214" s="3504"/>
    </row>
    <row r="215" spans="1:29" s="3505" customFormat="1">
      <c r="A215" s="3504"/>
      <c r="B215" s="3504"/>
      <c r="C215" s="3504"/>
      <c r="D215" s="3504"/>
      <c r="E215" s="3504"/>
      <c r="F215" s="3504"/>
      <c r="G215" s="3504"/>
      <c r="H215" s="3504"/>
      <c r="I215" s="3504"/>
      <c r="J215" s="3504"/>
      <c r="K215" s="3504"/>
      <c r="L215" s="3504"/>
      <c r="M215" s="3504"/>
      <c r="N215" s="3504"/>
      <c r="O215" s="3504"/>
      <c r="P215" s="3504"/>
      <c r="Q215" s="3504"/>
      <c r="R215" s="3504"/>
      <c r="S215" s="3504"/>
      <c r="T215" s="3504"/>
      <c r="U215" s="3504"/>
      <c r="V215" s="3504"/>
      <c r="W215" s="3504"/>
      <c r="X215" s="3504"/>
      <c r="Y215" s="3504"/>
      <c r="Z215" s="3504"/>
      <c r="AA215" s="3504"/>
      <c r="AB215" s="3504"/>
      <c r="AC215" s="3504"/>
    </row>
    <row r="216" spans="1:29" s="3505" customFormat="1">
      <c r="A216" s="3504"/>
      <c r="B216" s="3504"/>
      <c r="C216" s="3504"/>
      <c r="D216" s="3504"/>
      <c r="E216" s="3504"/>
      <c r="F216" s="3504"/>
      <c r="G216" s="3504"/>
      <c r="H216" s="3504"/>
      <c r="I216" s="3504"/>
      <c r="J216" s="3504"/>
      <c r="K216" s="3504"/>
      <c r="L216" s="3504"/>
      <c r="M216" s="3504"/>
      <c r="N216" s="3504"/>
      <c r="O216" s="3504"/>
      <c r="P216" s="3504"/>
      <c r="Q216" s="3504"/>
      <c r="R216" s="3504"/>
      <c r="S216" s="3504"/>
      <c r="T216" s="3504"/>
      <c r="U216" s="3504"/>
      <c r="V216" s="3504"/>
      <c r="W216" s="3504"/>
      <c r="X216" s="3504"/>
      <c r="Y216" s="3504"/>
      <c r="Z216" s="3504"/>
      <c r="AA216" s="3504"/>
      <c r="AB216" s="3504"/>
      <c r="AC216" s="3504"/>
    </row>
    <row r="217" spans="1:29" s="3505" customFormat="1">
      <c r="A217" s="3504"/>
      <c r="B217" s="3504"/>
      <c r="C217" s="3504"/>
      <c r="D217" s="3504"/>
      <c r="E217" s="3504"/>
      <c r="F217" s="3504"/>
      <c r="G217" s="3504"/>
      <c r="H217" s="3504"/>
      <c r="I217" s="3504"/>
      <c r="J217" s="3504"/>
      <c r="K217" s="3504"/>
      <c r="L217" s="3504"/>
      <c r="M217" s="3504"/>
      <c r="N217" s="3504"/>
      <c r="O217" s="3504"/>
      <c r="P217" s="3504"/>
      <c r="Q217" s="3504"/>
      <c r="R217" s="3504"/>
      <c r="S217" s="3504"/>
      <c r="T217" s="3504"/>
      <c r="U217" s="3504"/>
      <c r="V217" s="3504"/>
      <c r="W217" s="3504"/>
      <c r="X217" s="3504"/>
      <c r="Y217" s="3504"/>
      <c r="Z217" s="3504"/>
      <c r="AA217" s="3504"/>
      <c r="AB217" s="3504"/>
      <c r="AC217" s="3504"/>
    </row>
    <row r="218" spans="1:29" s="3505" customFormat="1">
      <c r="A218" s="3504"/>
      <c r="B218" s="3504"/>
      <c r="C218" s="3504"/>
      <c r="D218" s="3504"/>
      <c r="E218" s="3504"/>
      <c r="F218" s="3504"/>
      <c r="G218" s="3504"/>
      <c r="H218" s="3504"/>
      <c r="I218" s="3504"/>
      <c r="J218" s="3504"/>
      <c r="K218" s="3504"/>
      <c r="L218" s="3504"/>
      <c r="M218" s="3504"/>
      <c r="N218" s="3504"/>
      <c r="O218" s="3504"/>
      <c r="P218" s="3504"/>
      <c r="Q218" s="3504"/>
      <c r="R218" s="3504"/>
      <c r="S218" s="3504"/>
      <c r="T218" s="3504"/>
      <c r="U218" s="3504"/>
      <c r="V218" s="3504"/>
      <c r="W218" s="3504"/>
      <c r="X218" s="3504"/>
      <c r="Y218" s="3504"/>
      <c r="Z218" s="3504"/>
      <c r="AA218" s="3504"/>
      <c r="AB218" s="3504"/>
      <c r="AC218" s="3504"/>
    </row>
    <row r="219" spans="1:29" s="3505" customFormat="1">
      <c r="A219" s="3504"/>
      <c r="B219" s="3504"/>
      <c r="C219" s="3504"/>
      <c r="D219" s="3504"/>
      <c r="E219" s="3504"/>
      <c r="F219" s="3504"/>
      <c r="G219" s="3504"/>
      <c r="H219" s="3504"/>
      <c r="I219" s="3504"/>
      <c r="J219" s="3504"/>
      <c r="K219" s="3504"/>
      <c r="L219" s="3504"/>
      <c r="M219" s="3504"/>
      <c r="N219" s="3504"/>
      <c r="O219" s="3504"/>
      <c r="P219" s="3504"/>
      <c r="Q219" s="3504"/>
      <c r="R219" s="3504"/>
      <c r="S219" s="3504"/>
      <c r="T219" s="3504"/>
      <c r="U219" s="3504"/>
      <c r="V219" s="3504"/>
      <c r="W219" s="3504"/>
      <c r="X219" s="3504"/>
      <c r="Y219" s="3504"/>
      <c r="Z219" s="3504"/>
      <c r="AA219" s="3504"/>
      <c r="AB219" s="3504"/>
      <c r="AC219" s="3504"/>
    </row>
    <row r="220" spans="1:29" s="3505" customFormat="1">
      <c r="A220" s="3504"/>
      <c r="B220" s="3504"/>
      <c r="C220" s="3504"/>
      <c r="D220" s="3504"/>
      <c r="E220" s="3504"/>
      <c r="F220" s="3504"/>
      <c r="G220" s="3504"/>
      <c r="H220" s="3504"/>
      <c r="I220" s="3504"/>
      <c r="J220" s="3504"/>
      <c r="K220" s="3504"/>
      <c r="L220" s="3504"/>
      <c r="M220" s="3504"/>
      <c r="N220" s="3504"/>
      <c r="O220" s="3504"/>
      <c r="P220" s="3504"/>
      <c r="Q220" s="3504"/>
      <c r="R220" s="3504"/>
      <c r="S220" s="3504"/>
      <c r="T220" s="3504"/>
      <c r="U220" s="3504"/>
      <c r="V220" s="3504"/>
      <c r="W220" s="3504"/>
      <c r="X220" s="3504"/>
      <c r="Y220" s="3504"/>
      <c r="Z220" s="3504"/>
      <c r="AA220" s="3504"/>
      <c r="AB220" s="3504"/>
      <c r="AC220" s="3504"/>
    </row>
    <row r="221" spans="1:29" s="3505" customFormat="1">
      <c r="A221" s="3504"/>
      <c r="B221" s="3504"/>
      <c r="C221" s="3504"/>
      <c r="D221" s="3504"/>
      <c r="E221" s="3504"/>
      <c r="F221" s="3504"/>
      <c r="G221" s="3504"/>
      <c r="H221" s="3504"/>
      <c r="I221" s="3504"/>
      <c r="J221" s="3504"/>
      <c r="K221" s="3504"/>
      <c r="L221" s="3504"/>
      <c r="M221" s="3504"/>
      <c r="N221" s="3504"/>
      <c r="O221" s="3504"/>
      <c r="P221" s="3504"/>
      <c r="Q221" s="3504"/>
      <c r="R221" s="3504"/>
      <c r="S221" s="3504"/>
      <c r="T221" s="3504"/>
      <c r="U221" s="3504"/>
      <c r="V221" s="3504"/>
      <c r="W221" s="3504"/>
      <c r="X221" s="3504"/>
      <c r="Y221" s="3504"/>
      <c r="Z221" s="3504"/>
      <c r="AA221" s="3504"/>
      <c r="AB221" s="3504"/>
      <c r="AC221" s="3504"/>
    </row>
    <row r="222" spans="1:29" s="3505" customFormat="1">
      <c r="A222" s="3504"/>
      <c r="B222" s="3504"/>
      <c r="C222" s="3504"/>
      <c r="D222" s="3504"/>
      <c r="E222" s="3504"/>
      <c r="F222" s="3504"/>
      <c r="G222" s="3504"/>
      <c r="H222" s="3504"/>
      <c r="I222" s="3504"/>
      <c r="J222" s="3504"/>
      <c r="K222" s="3504"/>
      <c r="L222" s="3504"/>
      <c r="M222" s="3504"/>
      <c r="N222" s="3504"/>
      <c r="O222" s="3504"/>
      <c r="P222" s="3504"/>
      <c r="Q222" s="3504"/>
      <c r="R222" s="3504"/>
      <c r="S222" s="3504"/>
      <c r="T222" s="3504"/>
      <c r="U222" s="3504"/>
      <c r="V222" s="3504"/>
      <c r="W222" s="3504"/>
      <c r="X222" s="3504"/>
      <c r="Y222" s="3504"/>
      <c r="Z222" s="3504"/>
      <c r="AA222" s="3504"/>
      <c r="AB222" s="3504"/>
      <c r="AC222" s="3504"/>
    </row>
    <row r="223" spans="1:29" s="3505" customFormat="1">
      <c r="A223" s="3504"/>
      <c r="B223" s="3504"/>
      <c r="C223" s="3504"/>
      <c r="D223" s="3504"/>
      <c r="E223" s="3504"/>
      <c r="F223" s="3504"/>
      <c r="G223" s="3504"/>
      <c r="H223" s="3504"/>
      <c r="I223" s="3504"/>
      <c r="J223" s="3504"/>
      <c r="K223" s="3504"/>
      <c r="L223" s="3504"/>
      <c r="M223" s="3504"/>
      <c r="N223" s="3504"/>
      <c r="O223" s="3504"/>
      <c r="P223" s="3504"/>
      <c r="Q223" s="3504"/>
      <c r="R223" s="3504"/>
      <c r="S223" s="3504"/>
      <c r="T223" s="3504"/>
      <c r="U223" s="3504"/>
      <c r="V223" s="3504"/>
      <c r="W223" s="3504"/>
      <c r="X223" s="3504"/>
      <c r="Y223" s="3504"/>
      <c r="Z223" s="3504"/>
      <c r="AA223" s="3504"/>
      <c r="AB223" s="3504"/>
      <c r="AC223" s="3504"/>
    </row>
    <row r="224" spans="1:29" s="3505" customFormat="1">
      <c r="A224" s="3504"/>
      <c r="B224" s="3504"/>
      <c r="C224" s="3504"/>
      <c r="D224" s="3504"/>
      <c r="E224" s="3504"/>
      <c r="F224" s="3504"/>
      <c r="G224" s="3504"/>
      <c r="H224" s="3504"/>
      <c r="I224" s="3504"/>
      <c r="J224" s="3504"/>
      <c r="K224" s="3504"/>
      <c r="L224" s="3504"/>
      <c r="M224" s="3504"/>
      <c r="N224" s="3504"/>
      <c r="O224" s="3504"/>
      <c r="P224" s="3504"/>
      <c r="Q224" s="3504"/>
      <c r="R224" s="3504"/>
      <c r="S224" s="3504"/>
      <c r="T224" s="3504"/>
      <c r="U224" s="3504"/>
      <c r="V224" s="3504"/>
      <c r="W224" s="3504"/>
      <c r="X224" s="3504"/>
      <c r="Y224" s="3504"/>
      <c r="Z224" s="3504"/>
      <c r="AA224" s="3504"/>
      <c r="AB224" s="3504"/>
      <c r="AC224" s="3504"/>
    </row>
    <row r="225" spans="1:29" s="3505" customFormat="1">
      <c r="A225" s="3504"/>
      <c r="B225" s="3504"/>
      <c r="C225" s="3504"/>
      <c r="D225" s="3504"/>
      <c r="E225" s="3504"/>
      <c r="F225" s="3504"/>
      <c r="G225" s="3504"/>
      <c r="H225" s="3504"/>
      <c r="I225" s="3504"/>
      <c r="J225" s="3504"/>
      <c r="K225" s="3504"/>
      <c r="L225" s="3504"/>
      <c r="M225" s="3504"/>
      <c r="N225" s="3504"/>
      <c r="O225" s="3504"/>
      <c r="P225" s="3504"/>
      <c r="Q225" s="3504"/>
      <c r="R225" s="3504"/>
      <c r="S225" s="3504"/>
      <c r="T225" s="3504"/>
      <c r="U225" s="3504"/>
      <c r="V225" s="3504"/>
      <c r="W225" s="3504"/>
      <c r="X225" s="3504"/>
      <c r="Y225" s="3504"/>
      <c r="Z225" s="3504"/>
      <c r="AA225" s="3504"/>
      <c r="AB225" s="3504"/>
      <c r="AC225" s="3504"/>
    </row>
    <row r="226" spans="1:29" s="3505" customFormat="1">
      <c r="A226" s="3504"/>
      <c r="B226" s="3504"/>
      <c r="C226" s="3504"/>
      <c r="D226" s="3504"/>
      <c r="E226" s="3504"/>
      <c r="F226" s="3504"/>
      <c r="G226" s="3504"/>
      <c r="H226" s="3504"/>
      <c r="I226" s="3504"/>
      <c r="J226" s="3504"/>
      <c r="K226" s="3504"/>
      <c r="L226" s="3504"/>
      <c r="M226" s="3504"/>
      <c r="N226" s="3504"/>
      <c r="O226" s="3504"/>
      <c r="P226" s="3504"/>
      <c r="Q226" s="3504"/>
      <c r="R226" s="3504"/>
      <c r="S226" s="3504"/>
      <c r="T226" s="3504"/>
      <c r="U226" s="3504"/>
      <c r="V226" s="3504"/>
      <c r="W226" s="3504"/>
      <c r="X226" s="3504"/>
      <c r="Y226" s="3504"/>
      <c r="Z226" s="3504"/>
      <c r="AA226" s="3504"/>
      <c r="AB226" s="3504"/>
      <c r="AC226" s="3504"/>
    </row>
    <row r="227" spans="1:29" s="3505" customFormat="1">
      <c r="A227" s="3504"/>
      <c r="B227" s="3504"/>
      <c r="C227" s="3504"/>
      <c r="D227" s="3504"/>
      <c r="E227" s="3504"/>
      <c r="F227" s="3504"/>
      <c r="G227" s="3504"/>
      <c r="H227" s="3504"/>
      <c r="I227" s="3504"/>
      <c r="J227" s="3504"/>
      <c r="K227" s="3504"/>
      <c r="L227" s="3504"/>
      <c r="M227" s="3504"/>
      <c r="N227" s="3504"/>
      <c r="O227" s="3504"/>
      <c r="P227" s="3504"/>
      <c r="Q227" s="3504"/>
      <c r="R227" s="3504"/>
      <c r="S227" s="3504"/>
      <c r="T227" s="3504"/>
      <c r="U227" s="3504"/>
      <c r="V227" s="3504"/>
      <c r="W227" s="3504"/>
      <c r="X227" s="3504"/>
      <c r="Y227" s="3504"/>
      <c r="Z227" s="3504"/>
      <c r="AA227" s="3504"/>
      <c r="AB227" s="3504"/>
      <c r="AC227" s="3504"/>
    </row>
    <row r="228" spans="1:29" s="3505" customFormat="1">
      <c r="A228" s="3504"/>
      <c r="B228" s="3504"/>
      <c r="C228" s="3504"/>
      <c r="D228" s="3504"/>
      <c r="E228" s="3504"/>
      <c r="F228" s="3504"/>
      <c r="G228" s="3504"/>
      <c r="H228" s="3504"/>
      <c r="I228" s="3504"/>
      <c r="J228" s="3504"/>
      <c r="K228" s="3504"/>
      <c r="L228" s="3504"/>
      <c r="M228" s="3504"/>
      <c r="N228" s="3504"/>
      <c r="O228" s="3504"/>
      <c r="P228" s="3504"/>
      <c r="Q228" s="3504"/>
      <c r="R228" s="3504"/>
      <c r="S228" s="3504"/>
      <c r="T228" s="3504"/>
      <c r="U228" s="3504"/>
      <c r="V228" s="3504"/>
      <c r="W228" s="3504"/>
      <c r="X228" s="3504"/>
      <c r="Y228" s="3504"/>
      <c r="Z228" s="3504"/>
      <c r="AA228" s="3504"/>
      <c r="AB228" s="3504"/>
      <c r="AC228" s="3504"/>
    </row>
    <row r="229" spans="1:29" s="3505" customFormat="1">
      <c r="A229" s="3504"/>
      <c r="B229" s="3504"/>
      <c r="C229" s="3504"/>
      <c r="D229" s="3504"/>
      <c r="E229" s="3504"/>
      <c r="F229" s="3504"/>
      <c r="G229" s="3504"/>
      <c r="H229" s="3504"/>
      <c r="I229" s="3504"/>
      <c r="J229" s="3504"/>
      <c r="K229" s="3504"/>
      <c r="L229" s="3504"/>
      <c r="M229" s="3504"/>
      <c r="N229" s="3504"/>
      <c r="O229" s="3504"/>
      <c r="P229" s="3504"/>
      <c r="Q229" s="3504"/>
      <c r="R229" s="3504"/>
      <c r="S229" s="3504"/>
      <c r="T229" s="3504"/>
      <c r="U229" s="3504"/>
      <c r="V229" s="3504"/>
      <c r="W229" s="3504"/>
      <c r="X229" s="3504"/>
      <c r="Y229" s="3504"/>
      <c r="Z229" s="3504"/>
      <c r="AA229" s="3504"/>
      <c r="AB229" s="3504"/>
      <c r="AC229" s="3504"/>
    </row>
    <row r="230" spans="1:29" s="3505" customFormat="1">
      <c r="A230" s="3504"/>
      <c r="B230" s="3504"/>
      <c r="C230" s="3504"/>
      <c r="D230" s="3504"/>
      <c r="E230" s="3504"/>
      <c r="F230" s="3504"/>
      <c r="G230" s="3504"/>
      <c r="H230" s="3504"/>
      <c r="I230" s="3504"/>
      <c r="J230" s="3504"/>
      <c r="K230" s="3504"/>
      <c r="L230" s="3504"/>
      <c r="M230" s="3504"/>
      <c r="N230" s="3504"/>
      <c r="O230" s="3504"/>
      <c r="P230" s="3504"/>
      <c r="Q230" s="3504"/>
      <c r="R230" s="3504"/>
      <c r="S230" s="3504"/>
      <c r="T230" s="3504"/>
      <c r="U230" s="3504"/>
      <c r="V230" s="3504"/>
      <c r="W230" s="3504"/>
      <c r="X230" s="3504"/>
      <c r="Y230" s="3504"/>
      <c r="Z230" s="3504"/>
      <c r="AA230" s="3504"/>
      <c r="AB230" s="3504"/>
      <c r="AC230" s="3504"/>
    </row>
    <row r="231" spans="1:29" s="3505" customFormat="1">
      <c r="A231" s="3504"/>
      <c r="B231" s="3504"/>
      <c r="C231" s="3504"/>
      <c r="D231" s="3504"/>
      <c r="E231" s="3504"/>
      <c r="F231" s="3504"/>
      <c r="G231" s="3504"/>
      <c r="H231" s="3504"/>
      <c r="I231" s="3504"/>
      <c r="J231" s="3504"/>
      <c r="K231" s="3504"/>
      <c r="L231" s="3504"/>
      <c r="M231" s="3504"/>
      <c r="N231" s="3504"/>
      <c r="O231" s="3504"/>
      <c r="P231" s="3504"/>
      <c r="Q231" s="3504"/>
      <c r="R231" s="3504"/>
      <c r="S231" s="3504"/>
      <c r="T231" s="3504"/>
      <c r="U231" s="3504"/>
      <c r="V231" s="3504"/>
      <c r="W231" s="3504"/>
      <c r="X231" s="3504"/>
      <c r="Y231" s="3504"/>
      <c r="Z231" s="3504"/>
      <c r="AA231" s="3504"/>
      <c r="AB231" s="3504"/>
      <c r="AC231" s="3504"/>
    </row>
    <row r="232" spans="1:29" s="3505" customFormat="1">
      <c r="A232" s="3504"/>
      <c r="B232" s="3504"/>
      <c r="C232" s="3504"/>
      <c r="D232" s="3504"/>
      <c r="E232" s="3504"/>
      <c r="F232" s="3504"/>
      <c r="G232" s="3504"/>
      <c r="H232" s="3504"/>
      <c r="I232" s="3504"/>
      <c r="J232" s="3504"/>
      <c r="K232" s="3504"/>
      <c r="L232" s="3504"/>
      <c r="M232" s="3504"/>
      <c r="N232" s="3504"/>
      <c r="O232" s="3504"/>
      <c r="P232" s="3504"/>
      <c r="Q232" s="3504"/>
      <c r="R232" s="3504"/>
      <c r="S232" s="3504"/>
      <c r="T232" s="3504"/>
      <c r="U232" s="3504"/>
      <c r="V232" s="3504"/>
      <c r="W232" s="3504"/>
      <c r="X232" s="3504"/>
      <c r="Y232" s="3504"/>
      <c r="Z232" s="3504"/>
      <c r="AA232" s="3504"/>
      <c r="AB232" s="3504"/>
      <c r="AC232" s="3504"/>
    </row>
    <row r="233" spans="1:29" s="3505" customFormat="1">
      <c r="A233" s="3504"/>
      <c r="B233" s="3504"/>
      <c r="C233" s="3504"/>
      <c r="D233" s="3504"/>
      <c r="E233" s="3504"/>
      <c r="F233" s="3504"/>
      <c r="G233" s="3504"/>
      <c r="H233" s="3504"/>
      <c r="I233" s="3504"/>
      <c r="J233" s="3504"/>
      <c r="K233" s="3504"/>
      <c r="L233" s="3504"/>
      <c r="M233" s="3504"/>
      <c r="N233" s="3504"/>
      <c r="O233" s="3504"/>
      <c r="P233" s="3504"/>
      <c r="Q233" s="3504"/>
      <c r="R233" s="3504"/>
      <c r="S233" s="3504"/>
      <c r="T233" s="3504"/>
      <c r="U233" s="3504"/>
      <c r="V233" s="3504"/>
      <c r="W233" s="3504"/>
      <c r="X233" s="3504"/>
      <c r="Y233" s="3504"/>
      <c r="Z233" s="3504"/>
      <c r="AA233" s="3504"/>
      <c r="AB233" s="3504"/>
      <c r="AC233" s="3504"/>
    </row>
    <row r="234" spans="1:29" s="3505" customFormat="1">
      <c r="A234" s="3504"/>
      <c r="B234" s="3504"/>
      <c r="C234" s="3504"/>
      <c r="D234" s="3504"/>
      <c r="E234" s="3504"/>
      <c r="F234" s="3504"/>
      <c r="G234" s="3504"/>
      <c r="H234" s="3504"/>
      <c r="I234" s="3504"/>
      <c r="J234" s="3504"/>
      <c r="K234" s="3504"/>
      <c r="L234" s="3504"/>
      <c r="M234" s="3504"/>
      <c r="N234" s="3504"/>
      <c r="O234" s="3504"/>
      <c r="P234" s="3504"/>
      <c r="Q234" s="3504"/>
      <c r="R234" s="3504"/>
      <c r="S234" s="3504"/>
      <c r="T234" s="3504"/>
      <c r="U234" s="3504"/>
      <c r="V234" s="3504"/>
      <c r="W234" s="3504"/>
      <c r="X234" s="3504"/>
      <c r="Y234" s="3504"/>
      <c r="Z234" s="3504"/>
      <c r="AA234" s="3504"/>
      <c r="AB234" s="3504"/>
      <c r="AC234" s="3504"/>
    </row>
    <row r="235" spans="1:29" s="3505" customFormat="1">
      <c r="A235" s="3504"/>
      <c r="B235" s="3504"/>
      <c r="C235" s="3504"/>
      <c r="D235" s="3504"/>
      <c r="E235" s="3504"/>
      <c r="F235" s="3504"/>
      <c r="G235" s="3504"/>
      <c r="H235" s="3504"/>
      <c r="I235" s="3504"/>
      <c r="J235" s="3504"/>
      <c r="K235" s="3504"/>
      <c r="L235" s="3504"/>
      <c r="M235" s="3504"/>
      <c r="N235" s="3504"/>
      <c r="O235" s="3504"/>
      <c r="P235" s="3504"/>
      <c r="Q235" s="3504"/>
      <c r="R235" s="3504"/>
      <c r="S235" s="3504"/>
      <c r="T235" s="3504"/>
      <c r="U235" s="3504"/>
      <c r="V235" s="3504"/>
      <c r="W235" s="3504"/>
      <c r="X235" s="3504"/>
      <c r="Y235" s="3504"/>
      <c r="Z235" s="3504"/>
      <c r="AA235" s="3504"/>
      <c r="AB235" s="3504"/>
      <c r="AC235" s="3504"/>
    </row>
    <row r="236" spans="1:29" s="3505" customFormat="1">
      <c r="A236" s="3504"/>
      <c r="B236" s="3504"/>
      <c r="C236" s="3504"/>
      <c r="D236" s="3504"/>
      <c r="E236" s="3504"/>
      <c r="F236" s="3504"/>
      <c r="G236" s="3504"/>
      <c r="H236" s="3504"/>
      <c r="I236" s="3504"/>
      <c r="J236" s="3504"/>
      <c r="K236" s="3504"/>
      <c r="L236" s="3504"/>
      <c r="M236" s="3504"/>
      <c r="N236" s="3504"/>
      <c r="O236" s="3504"/>
      <c r="P236" s="3504"/>
      <c r="Q236" s="3504"/>
      <c r="R236" s="3504"/>
      <c r="S236" s="3504"/>
      <c r="T236" s="3504"/>
      <c r="U236" s="3504"/>
      <c r="V236" s="3504"/>
      <c r="W236" s="3504"/>
      <c r="X236" s="3504"/>
      <c r="Y236" s="3504"/>
      <c r="Z236" s="3504"/>
      <c r="AA236" s="3504"/>
      <c r="AB236" s="3504"/>
      <c r="AC236" s="3504"/>
    </row>
    <row r="237" spans="1:29" s="3505" customFormat="1">
      <c r="A237" s="3504"/>
      <c r="B237" s="3504"/>
      <c r="C237" s="3504"/>
      <c r="D237" s="3504"/>
      <c r="E237" s="3504"/>
      <c r="F237" s="3504"/>
      <c r="G237" s="3504"/>
      <c r="H237" s="3504"/>
      <c r="I237" s="3504"/>
      <c r="J237" s="3504"/>
      <c r="K237" s="3504"/>
      <c r="L237" s="3504"/>
      <c r="M237" s="3504"/>
      <c r="N237" s="3504"/>
      <c r="O237" s="3504"/>
      <c r="P237" s="3504"/>
      <c r="Q237" s="3504"/>
      <c r="R237" s="3504"/>
      <c r="S237" s="3504"/>
      <c r="T237" s="3504"/>
      <c r="U237" s="3504"/>
      <c r="V237" s="3504"/>
      <c r="W237" s="3504"/>
      <c r="X237" s="3504"/>
      <c r="Y237" s="3504"/>
      <c r="Z237" s="3504"/>
      <c r="AA237" s="3504"/>
      <c r="AB237" s="3504"/>
      <c r="AC237" s="3504"/>
    </row>
    <row r="238" spans="1:29" s="3505" customFormat="1">
      <c r="A238" s="3504"/>
      <c r="B238" s="3504"/>
      <c r="C238" s="3504"/>
      <c r="D238" s="3504"/>
      <c r="E238" s="3504"/>
      <c r="F238" s="3504"/>
      <c r="G238" s="3504"/>
      <c r="H238" s="3504"/>
      <c r="I238" s="3504"/>
      <c r="J238" s="3504"/>
      <c r="K238" s="3504"/>
      <c r="L238" s="3504"/>
      <c r="M238" s="3504"/>
      <c r="N238" s="3504"/>
      <c r="O238" s="3504"/>
      <c r="P238" s="3504"/>
      <c r="Q238" s="3504"/>
      <c r="R238" s="3504"/>
      <c r="S238" s="3504"/>
      <c r="T238" s="3504"/>
      <c r="U238" s="3504"/>
      <c r="V238" s="3504"/>
      <c r="W238" s="3504"/>
      <c r="X238" s="3504"/>
      <c r="Y238" s="3504"/>
      <c r="Z238" s="3504"/>
      <c r="AA238" s="3504"/>
      <c r="AB238" s="3504"/>
      <c r="AC238" s="3504"/>
    </row>
    <row r="239" spans="1:29" s="3505" customFormat="1">
      <c r="A239" s="3504"/>
      <c r="B239" s="3504"/>
      <c r="C239" s="3504"/>
      <c r="D239" s="3504"/>
      <c r="E239" s="3504"/>
      <c r="F239" s="3504"/>
      <c r="G239" s="3504"/>
      <c r="H239" s="3504"/>
      <c r="I239" s="3504"/>
      <c r="J239" s="3504"/>
      <c r="K239" s="3504"/>
      <c r="L239" s="3504"/>
      <c r="M239" s="3504"/>
      <c r="N239" s="3504"/>
      <c r="O239" s="3504"/>
      <c r="P239" s="3504"/>
      <c r="Q239" s="3504"/>
      <c r="R239" s="3504"/>
      <c r="S239" s="3504"/>
      <c r="T239" s="3504"/>
      <c r="U239" s="3504"/>
      <c r="V239" s="3504"/>
      <c r="W239" s="3504"/>
      <c r="X239" s="3504"/>
      <c r="Y239" s="3504"/>
      <c r="Z239" s="3504"/>
      <c r="AA239" s="3504"/>
      <c r="AB239" s="3504"/>
      <c r="AC239" s="3504"/>
    </row>
    <row r="240" spans="1:29" s="3505" customFormat="1">
      <c r="A240" s="3504"/>
      <c r="B240" s="3504"/>
      <c r="C240" s="3504"/>
      <c r="D240" s="3504"/>
      <c r="E240" s="3504"/>
      <c r="F240" s="3504"/>
      <c r="G240" s="3504"/>
      <c r="H240" s="3504"/>
      <c r="I240" s="3504"/>
      <c r="J240" s="3504"/>
      <c r="K240" s="3504"/>
      <c r="L240" s="3504"/>
      <c r="M240" s="3504"/>
      <c r="N240" s="3504"/>
      <c r="O240" s="3504"/>
      <c r="P240" s="3504"/>
      <c r="Q240" s="3504"/>
      <c r="R240" s="3504"/>
      <c r="S240" s="3504"/>
      <c r="T240" s="3504"/>
      <c r="U240" s="3504"/>
      <c r="V240" s="3504"/>
      <c r="W240" s="3504"/>
      <c r="X240" s="3504"/>
      <c r="Y240" s="3504"/>
      <c r="Z240" s="3504"/>
      <c r="AA240" s="3504"/>
      <c r="AB240" s="3504"/>
      <c r="AC240" s="3504"/>
    </row>
    <row r="241" spans="1:29" s="3505" customFormat="1">
      <c r="A241" s="3504"/>
      <c r="B241" s="3504"/>
      <c r="C241" s="3504"/>
      <c r="D241" s="3504"/>
      <c r="E241" s="3504"/>
      <c r="F241" s="3504"/>
      <c r="G241" s="3504"/>
      <c r="H241" s="3504"/>
      <c r="I241" s="3504"/>
      <c r="J241" s="3504"/>
      <c r="K241" s="3504"/>
      <c r="L241" s="3504"/>
      <c r="M241" s="3504"/>
      <c r="N241" s="3504"/>
      <c r="O241" s="3504"/>
      <c r="P241" s="3504"/>
      <c r="Q241" s="3504"/>
      <c r="R241" s="3504"/>
      <c r="S241" s="3504"/>
      <c r="T241" s="3504"/>
      <c r="U241" s="3504"/>
      <c r="V241" s="3504"/>
      <c r="W241" s="3504"/>
      <c r="X241" s="3504"/>
      <c r="Y241" s="3504"/>
      <c r="Z241" s="3504"/>
      <c r="AA241" s="3504"/>
      <c r="AB241" s="3504"/>
      <c r="AC241" s="3504"/>
    </row>
    <row r="242" spans="1:29" s="3505" customFormat="1">
      <c r="A242" s="3504"/>
      <c r="B242" s="3504"/>
      <c r="C242" s="3504"/>
      <c r="D242" s="3504"/>
      <c r="E242" s="3504"/>
      <c r="F242" s="3504"/>
      <c r="G242" s="3504"/>
      <c r="H242" s="3504"/>
      <c r="I242" s="3504"/>
      <c r="J242" s="3504"/>
      <c r="K242" s="3504"/>
      <c r="L242" s="3504"/>
      <c r="M242" s="3504"/>
      <c r="N242" s="3504"/>
      <c r="O242" s="3504"/>
      <c r="P242" s="3504"/>
      <c r="Q242" s="3504"/>
      <c r="R242" s="3504"/>
      <c r="S242" s="3504"/>
      <c r="T242" s="3504"/>
      <c r="U242" s="3504"/>
      <c r="V242" s="3504"/>
      <c r="W242" s="3504"/>
      <c r="X242" s="3504"/>
      <c r="Y242" s="3504"/>
      <c r="Z242" s="3504"/>
      <c r="AA242" s="3504"/>
      <c r="AB242" s="3504"/>
      <c r="AC242" s="3504"/>
    </row>
    <row r="243" spans="1:29" s="3505" customFormat="1">
      <c r="A243" s="3504"/>
      <c r="B243" s="3504"/>
      <c r="C243" s="3504"/>
      <c r="D243" s="3504"/>
      <c r="E243" s="3504"/>
      <c r="F243" s="3504"/>
      <c r="G243" s="3504"/>
      <c r="H243" s="3504"/>
      <c r="I243" s="3504"/>
      <c r="J243" s="3504"/>
      <c r="K243" s="3504"/>
      <c r="L243" s="3504"/>
      <c r="M243" s="3504"/>
      <c r="N243" s="3504"/>
      <c r="O243" s="3504"/>
      <c r="P243" s="3504"/>
      <c r="Q243" s="3504"/>
      <c r="R243" s="3504"/>
      <c r="S243" s="3504"/>
      <c r="T243" s="3504"/>
      <c r="U243" s="3504"/>
      <c r="V243" s="3504"/>
      <c r="W243" s="3504"/>
      <c r="X243" s="3504"/>
      <c r="Y243" s="3504"/>
      <c r="Z243" s="3504"/>
      <c r="AA243" s="3504"/>
      <c r="AB243" s="3504"/>
      <c r="AC243" s="3504"/>
    </row>
    <row r="244" spans="1:29" s="3505" customFormat="1">
      <c r="A244" s="3504"/>
      <c r="B244" s="3504"/>
      <c r="C244" s="3504"/>
      <c r="D244" s="3504"/>
      <c r="E244" s="3504"/>
      <c r="F244" s="3504"/>
      <c r="G244" s="3504"/>
      <c r="H244" s="3504"/>
      <c r="I244" s="3504"/>
      <c r="J244" s="3504"/>
      <c r="K244" s="3504"/>
      <c r="L244" s="3504"/>
      <c r="M244" s="3504"/>
      <c r="N244" s="3504"/>
      <c r="O244" s="3504"/>
      <c r="P244" s="3504"/>
      <c r="Q244" s="3504"/>
      <c r="R244" s="3504"/>
      <c r="S244" s="3504"/>
      <c r="T244" s="3504"/>
      <c r="U244" s="3504"/>
      <c r="V244" s="3504"/>
      <c r="W244" s="3504"/>
      <c r="X244" s="3504"/>
      <c r="Y244" s="3504"/>
      <c r="Z244" s="3504"/>
      <c r="AA244" s="3504"/>
      <c r="AB244" s="3504"/>
      <c r="AC244" s="3504"/>
    </row>
    <row r="245" spans="1:29" s="3505" customFormat="1">
      <c r="A245" s="3504"/>
      <c r="B245" s="3504"/>
      <c r="C245" s="3504"/>
      <c r="D245" s="3504"/>
      <c r="E245" s="3504"/>
      <c r="F245" s="3504"/>
      <c r="G245" s="3504"/>
      <c r="H245" s="3504"/>
      <c r="I245" s="3504"/>
      <c r="J245" s="3504"/>
      <c r="K245" s="3504"/>
      <c r="L245" s="3504"/>
      <c r="M245" s="3504"/>
      <c r="N245" s="3504"/>
      <c r="O245" s="3504"/>
      <c r="P245" s="3504"/>
      <c r="Q245" s="3504"/>
      <c r="R245" s="3504"/>
      <c r="S245" s="3504"/>
      <c r="T245" s="3504"/>
      <c r="U245" s="3504"/>
      <c r="V245" s="3504"/>
      <c r="W245" s="3504"/>
      <c r="X245" s="3504"/>
      <c r="Y245" s="3504"/>
      <c r="Z245" s="3504"/>
      <c r="AA245" s="3504"/>
      <c r="AB245" s="3504"/>
      <c r="AC245" s="3504"/>
    </row>
    <row r="246" spans="1:29" s="3505" customFormat="1">
      <c r="A246" s="3504"/>
      <c r="B246" s="3504"/>
      <c r="C246" s="3504"/>
      <c r="D246" s="3504"/>
      <c r="E246" s="3504"/>
      <c r="F246" s="3504"/>
      <c r="G246" s="3504"/>
      <c r="H246" s="3504"/>
      <c r="I246" s="3504"/>
      <c r="J246" s="3504"/>
      <c r="K246" s="3504"/>
      <c r="L246" s="3504"/>
      <c r="M246" s="3504"/>
      <c r="N246" s="3504"/>
      <c r="O246" s="3504"/>
      <c r="P246" s="3504"/>
      <c r="Q246" s="3504"/>
      <c r="R246" s="3504"/>
      <c r="S246" s="3504"/>
      <c r="T246" s="3504"/>
      <c r="U246" s="3504"/>
      <c r="V246" s="3504"/>
      <c r="W246" s="3504"/>
      <c r="X246" s="3504"/>
      <c r="Y246" s="3504"/>
      <c r="Z246" s="3504"/>
      <c r="AA246" s="3504"/>
      <c r="AB246" s="3504"/>
      <c r="AC246" s="3504"/>
    </row>
    <row r="247" spans="1:29" s="3505" customFormat="1">
      <c r="A247" s="3504"/>
      <c r="B247" s="3504"/>
      <c r="C247" s="3504"/>
      <c r="D247" s="3504"/>
      <c r="E247" s="3504"/>
      <c r="F247" s="3504"/>
      <c r="G247" s="3504"/>
      <c r="H247" s="3504"/>
      <c r="I247" s="3504"/>
      <c r="J247" s="3504"/>
      <c r="K247" s="3504"/>
      <c r="L247" s="3504"/>
      <c r="M247" s="3504"/>
      <c r="N247" s="3504"/>
      <c r="O247" s="3504"/>
      <c r="P247" s="3504"/>
      <c r="Q247" s="3504"/>
      <c r="R247" s="3504"/>
      <c r="S247" s="3504"/>
      <c r="T247" s="3504"/>
      <c r="U247" s="3504"/>
      <c r="V247" s="3504"/>
      <c r="W247" s="3504"/>
      <c r="X247" s="3504"/>
      <c r="Y247" s="3504"/>
      <c r="Z247" s="3504"/>
      <c r="AA247" s="3504"/>
      <c r="AB247" s="3504"/>
      <c r="AC247" s="3504"/>
    </row>
    <row r="248" spans="1:29" s="3505" customFormat="1">
      <c r="A248" s="3504"/>
      <c r="B248" s="3504"/>
      <c r="C248" s="3504"/>
      <c r="D248" s="3504"/>
      <c r="E248" s="3504"/>
      <c r="F248" s="3504"/>
      <c r="G248" s="3504"/>
      <c r="H248" s="3504"/>
      <c r="I248" s="3504"/>
      <c r="J248" s="3504"/>
      <c r="K248" s="3504"/>
      <c r="L248" s="3504"/>
      <c r="M248" s="3504"/>
      <c r="N248" s="3504"/>
      <c r="O248" s="3504"/>
      <c r="P248" s="3504"/>
      <c r="Q248" s="3504"/>
      <c r="R248" s="3504"/>
      <c r="S248" s="3504"/>
      <c r="T248" s="3504"/>
      <c r="U248" s="3504"/>
      <c r="V248" s="3504"/>
      <c r="W248" s="3504"/>
      <c r="X248" s="3504"/>
      <c r="Y248" s="3504"/>
      <c r="Z248" s="3504"/>
      <c r="AA248" s="3504"/>
      <c r="AB248" s="3504"/>
      <c r="AC248" s="3504"/>
    </row>
    <row r="249" spans="1:29" s="3505" customFormat="1">
      <c r="A249" s="3504"/>
      <c r="B249" s="3504"/>
      <c r="C249" s="3504"/>
      <c r="D249" s="3504"/>
      <c r="E249" s="3504"/>
      <c r="F249" s="3504"/>
      <c r="G249" s="3504"/>
      <c r="H249" s="3504"/>
      <c r="I249" s="3504"/>
      <c r="J249" s="3504"/>
      <c r="K249" s="3504"/>
      <c r="L249" s="3504"/>
      <c r="M249" s="3504"/>
      <c r="N249" s="3504"/>
      <c r="O249" s="3504"/>
      <c r="P249" s="3504"/>
      <c r="Q249" s="3504"/>
      <c r="R249" s="3504"/>
      <c r="S249" s="3504"/>
      <c r="T249" s="3504"/>
      <c r="U249" s="3504"/>
      <c r="V249" s="3504"/>
      <c r="W249" s="3504"/>
      <c r="X249" s="3504"/>
      <c r="Y249" s="3504"/>
      <c r="Z249" s="3504"/>
      <c r="AA249" s="3504"/>
      <c r="AB249" s="3504"/>
      <c r="AC249" s="3504"/>
    </row>
    <row r="250" spans="1:29" s="3505" customFormat="1">
      <c r="A250" s="3504"/>
      <c r="B250" s="3504"/>
      <c r="C250" s="3504"/>
      <c r="D250" s="3504"/>
      <c r="E250" s="3504"/>
      <c r="F250" s="3504"/>
      <c r="G250" s="3504"/>
      <c r="H250" s="3504"/>
      <c r="I250" s="3504"/>
      <c r="J250" s="3504"/>
      <c r="K250" s="3504"/>
      <c r="L250" s="3504"/>
      <c r="M250" s="3504"/>
      <c r="N250" s="3504"/>
      <c r="O250" s="3504"/>
      <c r="P250" s="3504"/>
      <c r="Q250" s="3504"/>
      <c r="R250" s="3504"/>
      <c r="S250" s="3504"/>
      <c r="T250" s="3504"/>
      <c r="U250" s="3504"/>
      <c r="V250" s="3504"/>
      <c r="W250" s="3504"/>
      <c r="X250" s="3504"/>
      <c r="Y250" s="3504"/>
      <c r="Z250" s="3504"/>
      <c r="AA250" s="3504"/>
      <c r="AB250" s="3504"/>
      <c r="AC250" s="3504"/>
    </row>
    <row r="251" spans="1:29" s="3505" customFormat="1">
      <c r="A251" s="3504"/>
      <c r="B251" s="3504"/>
      <c r="C251" s="3504"/>
      <c r="D251" s="3504"/>
      <c r="E251" s="3504"/>
      <c r="F251" s="3504"/>
      <c r="G251" s="3504"/>
      <c r="H251" s="3504"/>
      <c r="I251" s="3504"/>
      <c r="J251" s="3504"/>
      <c r="K251" s="3504"/>
      <c r="L251" s="3504"/>
      <c r="M251" s="3504"/>
      <c r="N251" s="3504"/>
      <c r="O251" s="3504"/>
      <c r="P251" s="3504"/>
      <c r="Q251" s="3504"/>
      <c r="R251" s="3504"/>
      <c r="S251" s="3504"/>
      <c r="T251" s="3504"/>
      <c r="U251" s="3504"/>
      <c r="V251" s="3504"/>
      <c r="W251" s="3504"/>
      <c r="X251" s="3504"/>
      <c r="Y251" s="3504"/>
      <c r="Z251" s="3504"/>
      <c r="AA251" s="3504"/>
      <c r="AB251" s="3504"/>
      <c r="AC251" s="3504"/>
    </row>
    <row r="252" spans="1:29" s="3505" customFormat="1">
      <c r="A252" s="3504"/>
      <c r="B252" s="3504"/>
      <c r="C252" s="3504"/>
      <c r="D252" s="3504"/>
      <c r="E252" s="3504"/>
      <c r="F252" s="3504"/>
      <c r="G252" s="3504"/>
      <c r="H252" s="3504"/>
      <c r="I252" s="3504"/>
      <c r="J252" s="3504"/>
      <c r="K252" s="3504"/>
      <c r="L252" s="3504"/>
      <c r="M252" s="3504"/>
      <c r="N252" s="3504"/>
      <c r="O252" s="3504"/>
      <c r="P252" s="3504"/>
      <c r="Q252" s="3504"/>
      <c r="R252" s="3504"/>
      <c r="S252" s="3504"/>
      <c r="T252" s="3504"/>
      <c r="U252" s="3504"/>
      <c r="V252" s="3504"/>
      <c r="W252" s="3504"/>
      <c r="X252" s="3504"/>
      <c r="Y252" s="3504"/>
      <c r="Z252" s="3504"/>
      <c r="AA252" s="3504"/>
      <c r="AB252" s="3504"/>
      <c r="AC252" s="3504"/>
    </row>
    <row r="253" spans="1:29" s="3505" customFormat="1">
      <c r="A253" s="3504"/>
      <c r="B253" s="3504"/>
      <c r="C253" s="3504"/>
      <c r="D253" s="3504"/>
      <c r="E253" s="3504"/>
      <c r="F253" s="3504"/>
      <c r="G253" s="3504"/>
      <c r="H253" s="3504"/>
      <c r="I253" s="3504"/>
      <c r="J253" s="3504"/>
      <c r="K253" s="3504"/>
      <c r="L253" s="3504"/>
      <c r="M253" s="3504"/>
      <c r="N253" s="3504"/>
      <c r="O253" s="3504"/>
      <c r="P253" s="3504"/>
      <c r="Q253" s="3504"/>
      <c r="R253" s="3504"/>
      <c r="S253" s="3504"/>
      <c r="T253" s="3504"/>
      <c r="U253" s="3504"/>
      <c r="V253" s="3504"/>
      <c r="W253" s="3504"/>
      <c r="X253" s="3504"/>
      <c r="Y253" s="3504"/>
      <c r="Z253" s="3504"/>
      <c r="AA253" s="3504"/>
      <c r="AB253" s="3504"/>
      <c r="AC253" s="3504"/>
    </row>
    <row r="254" spans="1:29" s="3505" customFormat="1">
      <c r="A254" s="3504"/>
      <c r="B254" s="3504"/>
      <c r="C254" s="3504"/>
      <c r="D254" s="3504"/>
      <c r="E254" s="3504"/>
      <c r="F254" s="3504"/>
      <c r="G254" s="3504"/>
      <c r="H254" s="3504"/>
      <c r="I254" s="3504"/>
      <c r="J254" s="3504"/>
      <c r="K254" s="3504"/>
      <c r="L254" s="3504"/>
      <c r="M254" s="3504"/>
      <c r="N254" s="3504"/>
      <c r="O254" s="3504"/>
      <c r="P254" s="3504"/>
      <c r="Q254" s="3504"/>
      <c r="R254" s="3504"/>
      <c r="S254" s="3504"/>
      <c r="T254" s="3504"/>
      <c r="U254" s="3504"/>
      <c r="V254" s="3504"/>
      <c r="W254" s="3504"/>
      <c r="X254" s="3504"/>
      <c r="Y254" s="3504"/>
      <c r="Z254" s="3504"/>
      <c r="AA254" s="3504"/>
      <c r="AB254" s="3504"/>
      <c r="AC254" s="3504"/>
    </row>
    <row r="255" spans="1:29" s="3505" customFormat="1">
      <c r="A255" s="3504"/>
      <c r="B255" s="3504"/>
      <c r="C255" s="3504"/>
      <c r="D255" s="3504"/>
      <c r="E255" s="3504"/>
      <c r="F255" s="3504"/>
      <c r="G255" s="3504"/>
      <c r="H255" s="3504"/>
      <c r="I255" s="3504"/>
      <c r="J255" s="3504"/>
      <c r="K255" s="3504"/>
      <c r="L255" s="3504"/>
      <c r="M255" s="3504"/>
      <c r="N255" s="3504"/>
      <c r="O255" s="3504"/>
      <c r="P255" s="3504"/>
      <c r="Q255" s="3504"/>
      <c r="R255" s="3504"/>
      <c r="S255" s="3504"/>
      <c r="T255" s="3504"/>
      <c r="U255" s="3504"/>
      <c r="V255" s="3504"/>
      <c r="W255" s="3504"/>
      <c r="X255" s="3504"/>
      <c r="Y255" s="3504"/>
      <c r="Z255" s="3504"/>
      <c r="AA255" s="3504"/>
      <c r="AB255" s="3504"/>
      <c r="AC255" s="3504"/>
    </row>
    <row r="256" spans="1:29" s="3505" customFormat="1"/>
    <row r="257" s="3505" customFormat="1"/>
    <row r="258" s="3505" customFormat="1"/>
    <row r="259" s="3505" customFormat="1"/>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29" sqref="C129:F134"/>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4123" t="s">
        <v>523</v>
      </c>
      <c r="D6" s="4124"/>
      <c r="E6" s="4225" t="s">
        <v>524</v>
      </c>
      <c r="F6" s="4226"/>
      <c r="G6" s="4123" t="s">
        <v>525</v>
      </c>
      <c r="H6" s="4124"/>
      <c r="I6" s="4123" t="s">
        <v>526</v>
      </c>
      <c r="J6" s="4124"/>
      <c r="K6" s="514" t="s">
        <v>527</v>
      </c>
      <c r="L6" s="2135"/>
      <c r="M6" s="2136"/>
      <c r="N6" s="2136"/>
      <c r="O6" s="2136"/>
      <c r="P6" s="4125" t="s">
        <v>528</v>
      </c>
      <c r="Q6" s="4126"/>
      <c r="R6" s="4111" t="s">
        <v>524</v>
      </c>
      <c r="S6" s="4112"/>
      <c r="T6" s="4111" t="s">
        <v>525</v>
      </c>
      <c r="U6" s="4112"/>
      <c r="V6" s="4131" t="s">
        <v>526</v>
      </c>
      <c r="W6" s="4131"/>
      <c r="X6" s="1568"/>
      <c r="Y6" s="4111" t="s">
        <v>528</v>
      </c>
      <c r="Z6" s="4112"/>
      <c r="AA6" s="4106" t="s">
        <v>524</v>
      </c>
      <c r="AB6" s="4107" t="s">
        <v>525</v>
      </c>
      <c r="AC6" s="4106" t="s">
        <v>526</v>
      </c>
    </row>
    <row r="7" spans="1:29" ht="15">
      <c r="A7" s="515"/>
      <c r="B7" s="516"/>
      <c r="C7" s="4229" t="s">
        <v>2934</v>
      </c>
      <c r="D7" s="4230"/>
      <c r="E7" s="4227" t="s">
        <v>2935</v>
      </c>
      <c r="F7" s="4228"/>
      <c r="G7" s="4229" t="s">
        <v>2936</v>
      </c>
      <c r="H7" s="4230"/>
      <c r="I7" s="4229" t="s">
        <v>2937</v>
      </c>
      <c r="J7" s="4230"/>
      <c r="K7" s="514"/>
      <c r="L7" s="2135"/>
      <c r="M7" s="2136"/>
      <c r="N7" s="2136"/>
      <c r="O7" s="2136"/>
      <c r="P7" s="4127"/>
      <c r="Q7" s="4128"/>
      <c r="R7" s="4113"/>
      <c r="S7" s="4114"/>
      <c r="T7" s="4113"/>
      <c r="U7" s="4114"/>
      <c r="V7" s="4131"/>
      <c r="W7" s="4131"/>
      <c r="X7" s="1568"/>
      <c r="Y7" s="4113"/>
      <c r="Z7" s="4114"/>
      <c r="AA7" s="4107"/>
      <c r="AB7" s="4107"/>
      <c r="AC7" s="4107"/>
    </row>
    <row r="8" spans="1:29" ht="15.75" thickBot="1">
      <c r="A8" s="517"/>
      <c r="B8" s="518"/>
      <c r="C8" s="4231" t="s">
        <v>2938</v>
      </c>
      <c r="D8" s="4232"/>
      <c r="E8" s="4233" t="s">
        <v>2938</v>
      </c>
      <c r="F8" s="4234"/>
      <c r="G8" s="4231" t="s">
        <v>2938</v>
      </c>
      <c r="H8" s="4232"/>
      <c r="I8" s="4231" t="s">
        <v>2938</v>
      </c>
      <c r="J8" s="4232"/>
      <c r="K8" s="514" t="s">
        <v>529</v>
      </c>
      <c r="L8" s="2135"/>
      <c r="M8" s="2136"/>
      <c r="N8" s="2136"/>
      <c r="O8" s="2136"/>
      <c r="P8" s="4129"/>
      <c r="Q8" s="4130"/>
      <c r="R8" s="4113"/>
      <c r="S8" s="4114"/>
      <c r="T8" s="4115"/>
      <c r="U8" s="4116"/>
      <c r="V8" s="4131"/>
      <c r="W8" s="4131"/>
      <c r="X8" s="1568"/>
      <c r="Y8" s="4115"/>
      <c r="Z8" s="4116"/>
      <c r="AA8" s="4108"/>
      <c r="AB8" s="4108"/>
      <c r="AC8" s="4108"/>
    </row>
    <row r="9" spans="1:29" s="1220" customFormat="1" ht="15.75" thickBot="1">
      <c r="A9" s="2939"/>
      <c r="B9" s="2946" t="s">
        <v>530</v>
      </c>
      <c r="C9" s="519">
        <f>'数据-取费表'!B2</f>
        <v>42940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4109" t="s">
        <v>531</v>
      </c>
      <c r="Q9" s="4118"/>
      <c r="R9" s="1569" t="s">
        <v>8</v>
      </c>
      <c r="S9" s="1570">
        <f t="shared" ref="S9:S17" si="0">F9</f>
        <v>0</v>
      </c>
      <c r="T9" s="1569" t="s">
        <v>8</v>
      </c>
      <c r="U9" s="1570">
        <f t="shared" ref="U9:U17" si="1">H9</f>
        <v>0</v>
      </c>
      <c r="V9" s="1569" t="s">
        <v>8</v>
      </c>
      <c r="W9" s="1570">
        <f t="shared" ref="W9:W17" si="2">J9</f>
        <v>0</v>
      </c>
      <c r="X9" s="1571"/>
      <c r="Y9" s="4109" t="s">
        <v>531</v>
      </c>
      <c r="Z9" s="4110"/>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4109" t="s">
        <v>534</v>
      </c>
      <c r="Q10" s="4110"/>
      <c r="R10" s="1569" t="s">
        <v>8</v>
      </c>
      <c r="S10" s="1570">
        <f t="shared" si="0"/>
        <v>0</v>
      </c>
      <c r="T10" s="1569" t="s">
        <v>8</v>
      </c>
      <c r="U10" s="1570">
        <f t="shared" si="1"/>
        <v>0</v>
      </c>
      <c r="V10" s="1569" t="s">
        <v>8</v>
      </c>
      <c r="W10" s="1570">
        <f t="shared" si="2"/>
        <v>0</v>
      </c>
      <c r="X10" s="1571"/>
      <c r="Y10" s="4109" t="s">
        <v>534</v>
      </c>
      <c r="Z10" s="4110"/>
      <c r="AA10" s="1572" t="e">
        <f t="shared" ref="AA10:AA42" si="3">D10/F10</f>
        <v>#DIV/0!</v>
      </c>
      <c r="AB10" s="1572" t="e">
        <f t="shared" ref="AB10:AB42" si="4">D10/H10</f>
        <v>#DIV/0!</v>
      </c>
      <c r="AC10" s="1572" t="e">
        <f t="shared" ref="AC10:AC42" si="5">D10/J10</f>
        <v>#DIV/0!</v>
      </c>
    </row>
    <row r="11" spans="1:29" s="1220" customFormat="1" ht="15">
      <c r="A11" s="2941"/>
      <c r="B11" s="2948" t="s">
        <v>2764</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4117" t="s">
        <v>536</v>
      </c>
      <c r="Q11" s="1151" t="str">
        <f t="shared" ref="Q11:Q17" si="6">B11</f>
        <v>用途</v>
      </c>
      <c r="R11" s="1569" t="s">
        <v>8</v>
      </c>
      <c r="S11" s="1570">
        <f t="shared" si="0"/>
        <v>100</v>
      </c>
      <c r="T11" s="1569" t="s">
        <v>8</v>
      </c>
      <c r="U11" s="1570">
        <f t="shared" si="1"/>
        <v>100</v>
      </c>
      <c r="V11" s="1569" t="s">
        <v>8</v>
      </c>
      <c r="W11" s="1570">
        <f t="shared" si="2"/>
        <v>100</v>
      </c>
      <c r="X11" s="1571"/>
      <c r="Y11" s="4074" t="s">
        <v>537</v>
      </c>
      <c r="Z11" s="1150" t="str">
        <f t="shared" ref="Z11:Z17" si="7">Q11</f>
        <v>用途</v>
      </c>
      <c r="AA11" s="1572">
        <f t="shared" si="3"/>
        <v>1</v>
      </c>
      <c r="AB11" s="1572">
        <f t="shared" si="4"/>
        <v>1</v>
      </c>
      <c r="AC11" s="1572">
        <f t="shared" si="5"/>
        <v>1</v>
      </c>
    </row>
    <row r="12" spans="1:29" s="1338" customFormat="1" ht="27">
      <c r="A12" s="2942"/>
      <c r="B12" s="2947" t="s">
        <v>2765</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4117"/>
      <c r="Q12" s="1151" t="str">
        <f t="shared" si="6"/>
        <v>土地使用年限（年）</v>
      </c>
      <c r="R12" s="1569" t="s">
        <v>8</v>
      </c>
      <c r="S12" s="1570">
        <f t="shared" si="0"/>
        <v>100</v>
      </c>
      <c r="T12" s="1569" t="s">
        <v>8</v>
      </c>
      <c r="U12" s="1570">
        <f t="shared" si="1"/>
        <v>100</v>
      </c>
      <c r="V12" s="1569" t="s">
        <v>8</v>
      </c>
      <c r="W12" s="1570">
        <f t="shared" si="2"/>
        <v>100</v>
      </c>
      <c r="X12" s="1571"/>
      <c r="Y12" s="4074"/>
      <c r="Z12" s="1150" t="str">
        <f t="shared" si="7"/>
        <v>土地使用年限（年）</v>
      </c>
      <c r="AA12" s="1572">
        <f t="shared" si="3"/>
        <v>1</v>
      </c>
      <c r="AB12" s="1572">
        <f t="shared" si="4"/>
        <v>1</v>
      </c>
      <c r="AC12" s="1572">
        <f t="shared" si="5"/>
        <v>1</v>
      </c>
    </row>
    <row r="13" spans="1:29" ht="15">
      <c r="A13" s="2943"/>
      <c r="B13" s="2947" t="s">
        <v>2766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4117"/>
      <c r="Q13" s="1151" t="str">
        <f t="shared" si="6"/>
        <v>容积率</v>
      </c>
      <c r="R13" s="1569" t="s">
        <v>8</v>
      </c>
      <c r="S13" s="1570" t="e">
        <f t="shared" si="0"/>
        <v>#N/A</v>
      </c>
      <c r="T13" s="1569" t="s">
        <v>8</v>
      </c>
      <c r="U13" s="1570" t="e">
        <f t="shared" si="1"/>
        <v>#N/A</v>
      </c>
      <c r="V13" s="1569" t="s">
        <v>8</v>
      </c>
      <c r="W13" s="1570" t="e">
        <f t="shared" si="2"/>
        <v>#N/A</v>
      </c>
      <c r="X13" s="1571"/>
      <c r="Y13" s="4074"/>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4117"/>
      <c r="Q14" s="1151">
        <f t="shared" si="6"/>
        <v>111</v>
      </c>
      <c r="R14" s="1569" t="s">
        <v>8</v>
      </c>
      <c r="S14" s="1570">
        <f t="shared" si="0"/>
        <v>100</v>
      </c>
      <c r="T14" s="1569" t="s">
        <v>8</v>
      </c>
      <c r="U14" s="1570">
        <f t="shared" si="1"/>
        <v>100</v>
      </c>
      <c r="V14" s="1569" t="s">
        <v>8</v>
      </c>
      <c r="W14" s="1570">
        <f t="shared" si="2"/>
        <v>100</v>
      </c>
      <c r="X14" s="1571"/>
      <c r="Y14" s="4074"/>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4117"/>
      <c r="Q15" s="1151">
        <f t="shared" si="6"/>
        <v>111</v>
      </c>
      <c r="R15" s="1569" t="s">
        <v>8</v>
      </c>
      <c r="S15" s="1570">
        <f t="shared" si="0"/>
        <v>100</v>
      </c>
      <c r="T15" s="1569" t="s">
        <v>8</v>
      </c>
      <c r="U15" s="1570">
        <f t="shared" si="1"/>
        <v>100</v>
      </c>
      <c r="V15" s="1569" t="s">
        <v>8</v>
      </c>
      <c r="W15" s="1570">
        <f t="shared" si="2"/>
        <v>100</v>
      </c>
      <c r="X15" s="1571"/>
      <c r="Y15" s="4074"/>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4117"/>
      <c r="Q16" s="1151">
        <f t="shared" si="6"/>
        <v>111</v>
      </c>
      <c r="R16" s="1569" t="s">
        <v>8</v>
      </c>
      <c r="S16" s="1570">
        <f t="shared" si="0"/>
        <v>100</v>
      </c>
      <c r="T16" s="1569" t="s">
        <v>8</v>
      </c>
      <c r="U16" s="1570">
        <f t="shared" si="1"/>
        <v>100</v>
      </c>
      <c r="V16" s="1569" t="s">
        <v>8</v>
      </c>
      <c r="W16" s="1570">
        <f t="shared" si="2"/>
        <v>100</v>
      </c>
      <c r="X16" s="1571"/>
      <c r="Y16" s="4074"/>
      <c r="Z16" s="1150">
        <f t="shared" si="7"/>
        <v>111</v>
      </c>
      <c r="AA16" s="1572">
        <f t="shared" si="3"/>
        <v>1</v>
      </c>
      <c r="AB16" s="1572">
        <f t="shared" si="4"/>
        <v>1</v>
      </c>
      <c r="AC16" s="1572">
        <f t="shared" si="5"/>
        <v>1</v>
      </c>
    </row>
    <row r="17" spans="1:29" ht="57">
      <c r="A17" s="2937" t="s">
        <v>2762</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4119" t="s">
        <v>541</v>
      </c>
      <c r="Q17" s="1573" t="str">
        <f t="shared" si="6"/>
        <v>产业集聚程度</v>
      </c>
      <c r="R17" s="1574" t="s">
        <v>8</v>
      </c>
      <c r="S17" s="1575">
        <f t="shared" si="0"/>
        <v>100</v>
      </c>
      <c r="T17" s="1574" t="s">
        <v>8</v>
      </c>
      <c r="U17" s="1575">
        <f t="shared" si="1"/>
        <v>100</v>
      </c>
      <c r="V17" s="1574" t="s">
        <v>8</v>
      </c>
      <c r="W17" s="1575">
        <f t="shared" si="2"/>
        <v>100</v>
      </c>
      <c r="X17" s="1568"/>
      <c r="Y17" s="4119"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4120"/>
      <c r="Q18" s="1573"/>
      <c r="R18" s="1574"/>
      <c r="S18" s="1575"/>
      <c r="T18" s="1574"/>
      <c r="U18" s="1575"/>
      <c r="V18" s="1574"/>
      <c r="W18" s="1575"/>
      <c r="X18" s="1568"/>
      <c r="Y18" s="4120"/>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4120"/>
      <c r="Q19" s="1573" t="str">
        <f>B19</f>
        <v>交通便捷度</v>
      </c>
      <c r="R19" s="1574" t="s">
        <v>8</v>
      </c>
      <c r="S19" s="1575">
        <f>F19</f>
        <v>100</v>
      </c>
      <c r="T19" s="1574" t="s">
        <v>8</v>
      </c>
      <c r="U19" s="1575">
        <f>H19</f>
        <v>100</v>
      </c>
      <c r="V19" s="1574" t="s">
        <v>8</v>
      </c>
      <c r="W19" s="1575">
        <f>J19</f>
        <v>100</v>
      </c>
      <c r="X19" s="1568"/>
      <c r="Y19" s="412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4120"/>
      <c r="Q20" s="1573"/>
      <c r="R20" s="1574"/>
      <c r="S20" s="1575"/>
      <c r="T20" s="1574"/>
      <c r="U20" s="1575"/>
      <c r="V20" s="1574"/>
      <c r="W20" s="1575"/>
      <c r="X20" s="1568"/>
      <c r="Y20" s="4120"/>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4120"/>
      <c r="Q21" s="1573" t="str">
        <f t="shared" ref="Q21:Q35" si="8">B21</f>
        <v>区域土地利用方向</v>
      </c>
      <c r="R21" s="1574" t="s">
        <v>8</v>
      </c>
      <c r="S21" s="1575">
        <f>F21</f>
        <v>100</v>
      </c>
      <c r="T21" s="1574" t="s">
        <v>8</v>
      </c>
      <c r="U21" s="1575">
        <f>H21</f>
        <v>100</v>
      </c>
      <c r="V21" s="1574" t="s">
        <v>8</v>
      </c>
      <c r="W21" s="1575">
        <f>J21</f>
        <v>100</v>
      </c>
      <c r="X21" s="1568"/>
      <c r="Y21" s="412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4120"/>
      <c r="Q22" s="1573"/>
      <c r="R22" s="1574"/>
      <c r="S22" s="1575"/>
      <c r="T22" s="1574"/>
      <c r="U22" s="1575"/>
      <c r="V22" s="1574"/>
      <c r="W22" s="1575"/>
      <c r="X22" s="1568"/>
      <c r="Y22" s="4120"/>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4120"/>
      <c r="Q23" s="1573" t="str">
        <f t="shared" si="8"/>
        <v>环境状况</v>
      </c>
      <c r="R23" s="1574" t="s">
        <v>8</v>
      </c>
      <c r="S23" s="1575">
        <f>F23</f>
        <v>100</v>
      </c>
      <c r="T23" s="1574" t="s">
        <v>8</v>
      </c>
      <c r="U23" s="1575">
        <f>H23</f>
        <v>100</v>
      </c>
      <c r="V23" s="1574" t="s">
        <v>8</v>
      </c>
      <c r="W23" s="1575">
        <f>J23</f>
        <v>100</v>
      </c>
      <c r="X23" s="1568"/>
      <c r="Y23" s="412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4120"/>
      <c r="Q24" s="1573"/>
      <c r="R24" s="1574"/>
      <c r="S24" s="1575"/>
      <c r="T24" s="1574"/>
      <c r="U24" s="1575"/>
      <c r="V24" s="1574"/>
      <c r="W24" s="1575"/>
      <c r="X24" s="1568"/>
      <c r="Y24" s="4120"/>
      <c r="Z24" s="1576"/>
      <c r="AA24" s="1577">
        <v>1</v>
      </c>
      <c r="AB24" s="1577">
        <v>1</v>
      </c>
      <c r="AC24" s="1577">
        <v>1</v>
      </c>
    </row>
    <row r="25" spans="1:29" s="1220" customFormat="1" ht="42.75">
      <c r="A25" s="577"/>
      <c r="B25" s="2619" t="s">
        <v>2554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4120"/>
      <c r="Q25" s="1151" t="str">
        <f t="shared" si="8"/>
        <v>公共配套设施</v>
      </c>
      <c r="R25" s="1569" t="s">
        <v>8</v>
      </c>
      <c r="S25" s="1570">
        <f>F25</f>
        <v>100</v>
      </c>
      <c r="T25" s="1569" t="s">
        <v>8</v>
      </c>
      <c r="U25" s="1570">
        <f>H25</f>
        <v>100</v>
      </c>
      <c r="V25" s="1569" t="s">
        <v>8</v>
      </c>
      <c r="W25" s="1570">
        <f>J25</f>
        <v>100</v>
      </c>
      <c r="X25" s="1571"/>
      <c r="Y25" s="4120"/>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4120"/>
      <c r="Q26" s="1151"/>
      <c r="R26" s="1569"/>
      <c r="S26" s="1570"/>
      <c r="T26" s="1569"/>
      <c r="U26" s="1570"/>
      <c r="V26" s="1569"/>
      <c r="W26" s="1570"/>
      <c r="X26" s="1571"/>
      <c r="Y26" s="4120"/>
      <c r="Z26" s="1150"/>
      <c r="AA26" s="1572">
        <v>1</v>
      </c>
      <c r="AB26" s="1572">
        <v>1</v>
      </c>
      <c r="AC26" s="1572">
        <v>1</v>
      </c>
    </row>
    <row r="27" spans="1:29" s="1220" customFormat="1" ht="28.5">
      <c r="A27" s="577"/>
      <c r="B27" s="2619" t="s">
        <v>2555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4120"/>
      <c r="Q27" s="2604" t="str">
        <f t="shared" ref="Q27" si="9">B27</f>
        <v>基础设施水平</v>
      </c>
      <c r="R27" s="1569" t="s">
        <v>8</v>
      </c>
      <c r="S27" s="1570">
        <f>F27</f>
        <v>100</v>
      </c>
      <c r="T27" s="1569" t="s">
        <v>8</v>
      </c>
      <c r="U27" s="1570">
        <f>H27</f>
        <v>100</v>
      </c>
      <c r="V27" s="1569" t="s">
        <v>8</v>
      </c>
      <c r="W27" s="1570">
        <f>J27</f>
        <v>100</v>
      </c>
      <c r="X27" s="1571"/>
      <c r="Y27" s="4120"/>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4120"/>
      <c r="Q28" s="2604"/>
      <c r="R28" s="1569"/>
      <c r="S28" s="1570"/>
      <c r="T28" s="1569"/>
      <c r="U28" s="1570"/>
      <c r="V28" s="1569"/>
      <c r="W28" s="1570"/>
      <c r="X28" s="1571"/>
      <c r="Y28" s="4120"/>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412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4120"/>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4120"/>
      <c r="Q30" s="1573" t="str">
        <f t="shared" si="8"/>
        <v>毗邻道路的类型与等级</v>
      </c>
      <c r="R30" s="1574" t="s">
        <v>8</v>
      </c>
      <c r="S30" s="1575">
        <f t="shared" si="10"/>
        <v>100</v>
      </c>
      <c r="T30" s="1574" t="s">
        <v>8</v>
      </c>
      <c r="U30" s="1575">
        <f t="shared" si="11"/>
        <v>100</v>
      </c>
      <c r="V30" s="1574" t="s">
        <v>8</v>
      </c>
      <c r="W30" s="1575">
        <f t="shared" si="12"/>
        <v>100</v>
      </c>
      <c r="X30" s="1568"/>
      <c r="Y30" s="4120"/>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4120"/>
      <c r="Q31" s="1573"/>
      <c r="R31" s="1574"/>
      <c r="S31" s="1575"/>
      <c r="T31" s="1574"/>
      <c r="U31" s="1575"/>
      <c r="V31" s="1574"/>
      <c r="W31" s="1575"/>
      <c r="X31" s="1568"/>
      <c r="Y31" s="4120"/>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4120"/>
      <c r="Q32" s="1573" t="str">
        <f t="shared" si="8"/>
        <v>土地级别</v>
      </c>
      <c r="R32" s="1574" t="s">
        <v>8</v>
      </c>
      <c r="S32" s="1575">
        <f t="shared" si="10"/>
        <v>100</v>
      </c>
      <c r="T32" s="1574" t="s">
        <v>8</v>
      </c>
      <c r="U32" s="1575">
        <f t="shared" si="11"/>
        <v>100</v>
      </c>
      <c r="V32" s="1574" t="s">
        <v>8</v>
      </c>
      <c r="W32" s="1575">
        <f t="shared" si="12"/>
        <v>100</v>
      </c>
      <c r="X32" s="1568"/>
      <c r="Y32" s="412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4120"/>
      <c r="Q33" s="1573">
        <f t="shared" si="8"/>
        <v>111</v>
      </c>
      <c r="R33" s="1574" t="s">
        <v>8</v>
      </c>
      <c r="S33" s="1575">
        <f t="shared" si="10"/>
        <v>100</v>
      </c>
      <c r="T33" s="1574" t="s">
        <v>8</v>
      </c>
      <c r="U33" s="1575">
        <f t="shared" si="11"/>
        <v>100</v>
      </c>
      <c r="V33" s="1574" t="s">
        <v>8</v>
      </c>
      <c r="W33" s="1575">
        <f t="shared" si="12"/>
        <v>100</v>
      </c>
      <c r="X33" s="1568"/>
      <c r="Y33" s="412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4121" t="s">
        <v>551</v>
      </c>
      <c r="Q34" s="1573">
        <f t="shared" si="8"/>
        <v>111</v>
      </c>
      <c r="R34" s="1574" t="s">
        <v>8</v>
      </c>
      <c r="S34" s="1575">
        <f t="shared" si="10"/>
        <v>100</v>
      </c>
      <c r="T34" s="1574" t="s">
        <v>8</v>
      </c>
      <c r="U34" s="1575">
        <f t="shared" si="11"/>
        <v>100</v>
      </c>
      <c r="V34" s="1574" t="s">
        <v>8</v>
      </c>
      <c r="W34" s="1575">
        <f t="shared" si="12"/>
        <v>100</v>
      </c>
      <c r="X34" s="1568"/>
      <c r="Y34" s="4122"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4122"/>
      <c r="Q35" s="1573">
        <f t="shared" si="8"/>
        <v>111</v>
      </c>
      <c r="R35" s="1578" t="s">
        <v>8</v>
      </c>
      <c r="S35" s="1579">
        <f t="shared" si="10"/>
        <v>100</v>
      </c>
      <c r="T35" s="1578" t="s">
        <v>8</v>
      </c>
      <c r="U35" s="1579">
        <f t="shared" si="11"/>
        <v>100</v>
      </c>
      <c r="V35" s="1578" t="s">
        <v>8</v>
      </c>
      <c r="W35" s="1579">
        <f t="shared" si="12"/>
        <v>100</v>
      </c>
      <c r="X35" s="1580"/>
      <c r="Y35" s="4122"/>
      <c r="Z35" s="1581">
        <f t="shared" si="13"/>
        <v>111</v>
      </c>
      <c r="AA35" s="1577">
        <f t="shared" si="3"/>
        <v>1</v>
      </c>
      <c r="AB35" s="1577">
        <f t="shared" si="4"/>
        <v>1</v>
      </c>
      <c r="AC35" s="1577">
        <f t="shared" si="5"/>
        <v>1</v>
      </c>
    </row>
    <row r="36" spans="1:29" ht="15">
      <c r="A36" s="2935" t="s">
        <v>2763</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4122"/>
      <c r="Q36" s="1573" t="str">
        <f>B36</f>
        <v>宗地面积</v>
      </c>
      <c r="R36" s="1574" t="s">
        <v>8</v>
      </c>
      <c r="S36" s="1575" t="e">
        <f t="shared" si="10"/>
        <v>#N/A</v>
      </c>
      <c r="T36" s="1574" t="s">
        <v>8</v>
      </c>
      <c r="U36" s="1575" t="e">
        <f t="shared" si="11"/>
        <v>#N/A</v>
      </c>
      <c r="V36" s="1574" t="s">
        <v>8</v>
      </c>
      <c r="W36" s="1575" t="e">
        <f t="shared" si="12"/>
        <v>#N/A</v>
      </c>
      <c r="X36" s="1568"/>
      <c r="Y36" s="4122"/>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4122"/>
      <c r="Q37" s="1573" t="str">
        <f t="shared" ref="Q37:Q42" si="14">B37</f>
        <v>宗地形状</v>
      </c>
      <c r="R37" s="1574" t="s">
        <v>8</v>
      </c>
      <c r="S37" s="1575">
        <f t="shared" si="10"/>
        <v>100</v>
      </c>
      <c r="T37" s="1574" t="s">
        <v>8</v>
      </c>
      <c r="U37" s="1575">
        <f t="shared" si="11"/>
        <v>100</v>
      </c>
      <c r="V37" s="1574" t="s">
        <v>8</v>
      </c>
      <c r="W37" s="1575">
        <f t="shared" si="12"/>
        <v>100</v>
      </c>
      <c r="X37" s="1568"/>
      <c r="Y37" s="4122"/>
      <c r="Z37" s="1576" t="str">
        <f t="shared" si="13"/>
        <v>宗地形状</v>
      </c>
      <c r="AA37" s="1577">
        <f t="shared" si="3"/>
        <v>1</v>
      </c>
      <c r="AB37" s="1577">
        <f t="shared" si="4"/>
        <v>1</v>
      </c>
      <c r="AC37" s="1577">
        <f t="shared" si="5"/>
        <v>1</v>
      </c>
    </row>
    <row r="38" spans="1:29" s="1220" customFormat="1" ht="15">
      <c r="A38" s="600"/>
      <c r="B38" s="1897"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4122"/>
      <c r="Q38" s="1573" t="str">
        <f t="shared" si="14"/>
        <v>宗地开发程度</v>
      </c>
      <c r="R38" s="1569" t="s">
        <v>8</v>
      </c>
      <c r="S38" s="1570">
        <f t="shared" si="10"/>
        <v>100</v>
      </c>
      <c r="T38" s="1569" t="s">
        <v>8</v>
      </c>
      <c r="U38" s="1570">
        <f t="shared" si="11"/>
        <v>100</v>
      </c>
      <c r="V38" s="1569" t="s">
        <v>8</v>
      </c>
      <c r="W38" s="1570">
        <f t="shared" si="12"/>
        <v>100</v>
      </c>
      <c r="X38" s="1571"/>
      <c r="Y38" s="4122"/>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4122" t="s">
        <v>602</v>
      </c>
      <c r="Q39" s="1573" t="str">
        <f t="shared" si="14"/>
        <v>工程地质条件</v>
      </c>
      <c r="R39" s="1574" t="s">
        <v>8</v>
      </c>
      <c r="S39" s="1575">
        <f t="shared" si="10"/>
        <v>100</v>
      </c>
      <c r="T39" s="1574" t="s">
        <v>8</v>
      </c>
      <c r="U39" s="1575">
        <f t="shared" si="11"/>
        <v>100</v>
      </c>
      <c r="V39" s="1574" t="s">
        <v>8</v>
      </c>
      <c r="W39" s="1575">
        <f t="shared" si="12"/>
        <v>100</v>
      </c>
      <c r="X39" s="1568"/>
      <c r="Y39" s="4122"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4122"/>
      <c r="Q40" s="1573">
        <f t="shared" si="14"/>
        <v>111</v>
      </c>
      <c r="R40" s="1574" t="s">
        <v>8</v>
      </c>
      <c r="S40" s="1575">
        <f t="shared" si="10"/>
        <v>100</v>
      </c>
      <c r="T40" s="1574" t="s">
        <v>8</v>
      </c>
      <c r="U40" s="1575">
        <f t="shared" si="11"/>
        <v>100</v>
      </c>
      <c r="V40" s="1574" t="s">
        <v>8</v>
      </c>
      <c r="W40" s="1575">
        <f t="shared" si="12"/>
        <v>100</v>
      </c>
      <c r="X40" s="1568"/>
      <c r="Y40" s="412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4122"/>
      <c r="Q41" s="1573">
        <f t="shared" si="14"/>
        <v>111</v>
      </c>
      <c r="R41" s="1574" t="s">
        <v>8</v>
      </c>
      <c r="S41" s="1575">
        <f t="shared" si="10"/>
        <v>100</v>
      </c>
      <c r="T41" s="1574" t="s">
        <v>8</v>
      </c>
      <c r="U41" s="1575">
        <f t="shared" si="11"/>
        <v>100</v>
      </c>
      <c r="V41" s="1574" t="s">
        <v>8</v>
      </c>
      <c r="W41" s="1575">
        <f t="shared" si="12"/>
        <v>100</v>
      </c>
      <c r="X41" s="1568"/>
      <c r="Y41" s="412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4122"/>
      <c r="Q42" s="1573">
        <f t="shared" si="14"/>
        <v>111</v>
      </c>
      <c r="R42" s="1578" t="s">
        <v>8</v>
      </c>
      <c r="S42" s="1579">
        <f t="shared" si="10"/>
        <v>100</v>
      </c>
      <c r="T42" s="1578" t="s">
        <v>8</v>
      </c>
      <c r="U42" s="1579">
        <f t="shared" si="11"/>
        <v>100</v>
      </c>
      <c r="V42" s="1578" t="s">
        <v>8</v>
      </c>
      <c r="W42" s="1579">
        <f t="shared" si="12"/>
        <v>100</v>
      </c>
      <c r="X42" s="1580"/>
      <c r="Y42" s="4122"/>
      <c r="Z42" s="1581">
        <f t="shared" si="13"/>
        <v>111</v>
      </c>
      <c r="AA42" s="1577">
        <f t="shared" si="3"/>
        <v>1</v>
      </c>
      <c r="AB42" s="1577">
        <f t="shared" si="4"/>
        <v>1</v>
      </c>
      <c r="AC42" s="1577">
        <f t="shared" si="5"/>
        <v>1</v>
      </c>
    </row>
    <row r="43" spans="1:29" ht="15">
      <c r="A43" s="607" t="s">
        <v>557</v>
      </c>
      <c r="B43" s="608" t="s">
        <v>2939</v>
      </c>
      <c r="C43" s="609" t="s">
        <v>1</v>
      </c>
      <c r="D43" s="610"/>
      <c r="E43" s="611"/>
      <c r="F43" s="612"/>
      <c r="G43" s="613"/>
      <c r="H43" s="614"/>
      <c r="I43" s="611"/>
      <c r="J43" s="614"/>
      <c r="K43" s="1340"/>
      <c r="L43" s="2146"/>
      <c r="M43" s="2136"/>
      <c r="N43" s="2136"/>
      <c r="O43" s="2147"/>
      <c r="P43" s="4117" t="str">
        <f>A43</f>
        <v>成交单价</v>
      </c>
      <c r="Q43" s="4117"/>
      <c r="R43" s="4131">
        <f>E43</f>
        <v>0</v>
      </c>
      <c r="S43" s="4131"/>
      <c r="T43" s="4131">
        <f>G43</f>
        <v>0</v>
      </c>
      <c r="U43" s="4131"/>
      <c r="V43" s="4131">
        <f>I43</f>
        <v>0</v>
      </c>
      <c r="W43" s="4131"/>
      <c r="X43" s="1560"/>
      <c r="Y43" s="1582"/>
      <c r="Z43" s="1560"/>
      <c r="AA43" s="1560"/>
      <c r="AB43" s="1560"/>
      <c r="AC43" s="1560"/>
    </row>
    <row r="44" spans="1:29" ht="15.75" thickBot="1">
      <c r="A44" s="615" t="s">
        <v>2701</v>
      </c>
      <c r="B44" s="616"/>
      <c r="C44" s="617" t="e">
        <f>R45</f>
        <v>#DIV/0!</v>
      </c>
      <c r="D44" s="618"/>
      <c r="E44" s="617" t="e">
        <f>R44</f>
        <v>#DIV/0!</v>
      </c>
      <c r="F44" s="619"/>
      <c r="G44" s="620" t="e">
        <f>T44</f>
        <v>#DIV/0!</v>
      </c>
      <c r="H44" s="618"/>
      <c r="I44" s="617" t="e">
        <f>V44</f>
        <v>#DIV/0!</v>
      </c>
      <c r="J44" s="618"/>
      <c r="K44" s="1341"/>
      <c r="L44" s="2146"/>
      <c r="M44" s="2136"/>
      <c r="N44" s="2136"/>
      <c r="O44" s="2147"/>
      <c r="P44" s="4117" t="str">
        <f>A44</f>
        <v>比较价格（元/平方米）</v>
      </c>
      <c r="Q44" s="4117"/>
      <c r="R44" s="4142" t="e">
        <f>ROUND(PRODUCT(R43,AA9:AA42),0)</f>
        <v>#DIV/0!</v>
      </c>
      <c r="S44" s="4142"/>
      <c r="T44" s="4142" t="e">
        <f>ROUND(PRODUCT(T43,AB9:AB42),0)</f>
        <v>#DIV/0!</v>
      </c>
      <c r="U44" s="4142"/>
      <c r="V44" s="4142" t="e">
        <f>ROUND(PRODUCT(V43,AC9:AC42),0)</f>
        <v>#DIV/0!</v>
      </c>
      <c r="W44" s="4142"/>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4139" t="str">
        <f>A45</f>
        <v>估价对象XX用房的比较价格（楼面单价，元/平方米）</v>
      </c>
      <c r="Q45" s="4140"/>
      <c r="R45" s="4141" t="e">
        <f>ROUND(AVERAGE(R44:V44),0)</f>
        <v>#DIV/0!</v>
      </c>
      <c r="S45" s="4141"/>
      <c r="T45" s="4141"/>
      <c r="U45" s="4141"/>
      <c r="V45" s="4141"/>
      <c r="W45" s="414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2296</v>
      </c>
      <c r="E52" s="631" t="s">
        <v>563</v>
      </c>
      <c r="F52" s="1953" t="s">
        <v>564</v>
      </c>
      <c r="G52" s="4220" t="s">
        <v>2287</v>
      </c>
      <c r="H52" s="4221"/>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183978.59999999998</v>
      </c>
      <c r="F53" s="1952" t="e">
        <f t="shared" ref="F53:F62" si="15">ROUND(B53*E53/10000,0)</f>
        <v>#DIV/0!</v>
      </c>
      <c r="G53" s="4222"/>
      <c r="H53" s="422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4224"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422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422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422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2297</v>
      </c>
      <c r="E63" s="643">
        <f>IF(B43="楼面地价",SUM(E53:E62),'数据-汇总表'!D3)</f>
        <v>70761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2017-7-1</v>
      </c>
      <c r="D65" s="2827">
        <f>EDATE(C65,-3)</f>
        <v>42826</v>
      </c>
      <c r="E65" s="2827">
        <f t="shared" ref="E65:N65" si="18">EDATE(D65,-3)</f>
        <v>42736</v>
      </c>
      <c r="F65" s="2827">
        <f t="shared" si="18"/>
        <v>42644</v>
      </c>
      <c r="G65" s="2827">
        <f t="shared" si="18"/>
        <v>42552</v>
      </c>
      <c r="H65" s="2827">
        <f t="shared" si="18"/>
        <v>42461</v>
      </c>
      <c r="I65" s="2827">
        <f t="shared" si="18"/>
        <v>42370</v>
      </c>
      <c r="J65" s="2827">
        <f t="shared" si="18"/>
        <v>42278</v>
      </c>
      <c r="K65" s="2827">
        <f t="shared" si="18"/>
        <v>42186</v>
      </c>
      <c r="L65" s="2827">
        <f t="shared" si="18"/>
        <v>42095</v>
      </c>
      <c r="M65" s="2827">
        <f t="shared" si="18"/>
        <v>42005</v>
      </c>
      <c r="N65" s="2827">
        <f t="shared" si="18"/>
        <v>41913</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2539</v>
      </c>
      <c r="B67" s="646"/>
      <c r="C67" s="2822" t="str">
        <f>YEAR(C65)&amp;"-"&amp;ROUNDUP(MONTH(C65)/3,0)</f>
        <v>2017-3</v>
      </c>
      <c r="D67" s="2829" t="str">
        <f t="shared" ref="D67:N67" si="19">YEAR(D65)&amp;"-"&amp;ROUNDUP(MONTH(D65)/3,0)</f>
        <v>2017-2</v>
      </c>
      <c r="E67" s="2829" t="str">
        <f t="shared" si="19"/>
        <v>2017-1</v>
      </c>
      <c r="F67" s="2829" t="str">
        <f t="shared" si="19"/>
        <v>2016-4</v>
      </c>
      <c r="G67" s="2829" t="str">
        <f t="shared" si="19"/>
        <v>2016-3</v>
      </c>
      <c r="H67" s="2829" t="str">
        <f t="shared" si="19"/>
        <v>2016-2</v>
      </c>
      <c r="I67" s="2829" t="str">
        <f t="shared" si="19"/>
        <v>2016-1</v>
      </c>
      <c r="J67" s="2829" t="str">
        <f t="shared" si="19"/>
        <v>2015-4</v>
      </c>
      <c r="K67" s="2829" t="str">
        <f t="shared" si="19"/>
        <v>2015-3</v>
      </c>
      <c r="L67" s="2829" t="str">
        <f t="shared" si="19"/>
        <v>2015-2</v>
      </c>
      <c r="M67" s="2829" t="str">
        <f t="shared" si="19"/>
        <v>2015-1</v>
      </c>
      <c r="N67" s="2829" t="str">
        <f t="shared" si="19"/>
        <v>2014-4</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2657</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2554</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2556</v>
      </c>
      <c r="C95" s="2624" t="s">
        <v>2557</v>
      </c>
      <c r="D95" s="2624" t="s">
        <v>2558</v>
      </c>
      <c r="E95" s="2624" t="s">
        <v>2559</v>
      </c>
      <c r="F95" s="2624" t="s">
        <v>2560</v>
      </c>
      <c r="G95" s="2624" t="s">
        <v>2561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2429</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29" sqref="C129:F13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2430</v>
      </c>
      <c r="D1" s="1522">
        <f>SUM(D29:D30,D33:D39)</f>
        <v>0</v>
      </c>
      <c r="E1" s="1407" t="s">
        <v>2431</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3" t="s">
        <v>2770</v>
      </c>
      <c r="S1" s="2963" t="s">
        <v>2771</v>
      </c>
      <c r="T1" s="2963" t="s">
        <v>2792</v>
      </c>
      <c r="U1" s="2963" t="s">
        <v>2793</v>
      </c>
      <c r="V1" s="2963" t="s">
        <v>2794</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2941</v>
      </c>
      <c r="G3" s="1039">
        <f>IF(F3="宗地容积率",'数据-汇总表'!I4,IF(F3="估价对象容积率",'数据-汇总表'!I6,'数据-汇总表'!I7))</f>
        <v>2.6</v>
      </c>
      <c r="H3" s="1415" t="s">
        <v>930</v>
      </c>
      <c r="I3" s="1040">
        <v>8</v>
      </c>
      <c r="J3" s="1411" t="s">
        <v>931</v>
      </c>
      <c r="K3" s="1402"/>
      <c r="L3" s="1887" t="s">
        <v>2243</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4236" t="str">
        <f>IF(E2="商业",IF(C8="不临58条商业街","",2),"")</f>
        <v/>
      </c>
      <c r="B7" s="1428" t="s">
        <v>933</v>
      </c>
      <c r="C7" s="1043" t="e">
        <f>IF(C8="不临58条商业街",1,ROUND(1+(1.6*E8+1.2*E9+0.8*E10+0.4*E11)*C9,4))</f>
        <v>#DIV/0!</v>
      </c>
      <c r="D7" s="1429" t="s">
        <v>934</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2773</v>
      </c>
      <c r="X7" s="2954">
        <f>G2</f>
        <v>0</v>
      </c>
      <c r="Y7" s="2954" t="s">
        <v>2774</v>
      </c>
      <c r="Z7" s="2955">
        <f>G3</f>
        <v>2.6</v>
      </c>
      <c r="AA7" s="2194"/>
      <c r="AB7" s="2194"/>
      <c r="AC7" s="2195"/>
      <c r="AD7" s="2956"/>
      <c r="AE7" s="2956"/>
      <c r="AF7" s="2956"/>
      <c r="AG7" s="2956"/>
      <c r="AH7" s="2956"/>
      <c r="AI7" s="2956"/>
      <c r="AJ7" s="2957"/>
    </row>
    <row r="8" spans="1:39" ht="15">
      <c r="A8" s="4237"/>
      <c r="B8" s="1415" t="s">
        <v>935</v>
      </c>
      <c r="C8" s="1530"/>
      <c r="D8" s="1045" t="s">
        <v>936</v>
      </c>
      <c r="E8" s="1046" t="e">
        <f>ROUND(C11/E7,4)</f>
        <v>#DIV/0!</v>
      </c>
      <c r="F8" s="1433" t="s">
        <v>937</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4246" t="s">
        <v>2791</v>
      </c>
      <c r="X8" s="4247"/>
      <c r="Y8" s="1851" t="s">
        <v>2775</v>
      </c>
      <c r="Z8" s="1851" t="s">
        <v>2776</v>
      </c>
      <c r="AA8" s="1851" t="s">
        <v>2777</v>
      </c>
      <c r="AB8" s="1851" t="s">
        <v>2778</v>
      </c>
      <c r="AC8" s="1851" t="s">
        <v>2779</v>
      </c>
      <c r="AD8" s="1851" t="s">
        <v>2780</v>
      </c>
      <c r="AE8" s="1851" t="s">
        <v>2781</v>
      </c>
      <c r="AF8" s="1851" t="s">
        <v>2782</v>
      </c>
      <c r="AG8" s="1851" t="s">
        <v>2783</v>
      </c>
      <c r="AH8" s="1851" t="s">
        <v>2784</v>
      </c>
      <c r="AI8" s="1851" t="s">
        <v>2785</v>
      </c>
      <c r="AJ8" s="1851" t="s">
        <v>2786</v>
      </c>
    </row>
    <row r="9" spans="1:39" ht="15">
      <c r="A9" s="4237"/>
      <c r="B9" s="1415" t="s">
        <v>938</v>
      </c>
      <c r="C9" s="1047">
        <f>SUMIF(修正!C59:C119,C8,修正!E59:E119)</f>
        <v>0</v>
      </c>
      <c r="D9" s="1048" t="s">
        <v>939</v>
      </c>
      <c r="E9" s="1048" t="e">
        <f>ROUND(C11/E7,4)</f>
        <v>#DIV/0!</v>
      </c>
      <c r="F9" s="1433" t="s">
        <v>940</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4245" t="s">
        <v>2787</v>
      </c>
      <c r="X9" s="2958" t="s">
        <v>2788</v>
      </c>
      <c r="Y9" s="3125"/>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4237"/>
      <c r="B10" s="1415" t="s">
        <v>941</v>
      </c>
      <c r="C10" s="1048">
        <f>SUMIF(修正!C59:C119,C8,修正!F59:F119)</f>
        <v>0</v>
      </c>
      <c r="D10" s="1048" t="s">
        <v>942</v>
      </c>
      <c r="E10" s="1048" t="e">
        <f>ROUND(C11/E7,4)</f>
        <v>#DIV/0!</v>
      </c>
      <c r="F10" s="1433" t="s">
        <v>943</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4245"/>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4237"/>
      <c r="B11" s="1436" t="s">
        <v>944</v>
      </c>
      <c r="C11" s="1049">
        <f>C10/4</f>
        <v>0</v>
      </c>
      <c r="D11" s="1049" t="s">
        <v>945</v>
      </c>
      <c r="E11" s="1049" t="e">
        <f>ROUND(C11/E7,4)</f>
        <v>#DIV/0!</v>
      </c>
      <c r="F11" s="1437" t="s">
        <v>946</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4245" t="s">
        <v>2789</v>
      </c>
      <c r="X11" s="1048" t="s">
        <v>2774</v>
      </c>
      <c r="Y11" s="1654">
        <f>$G$3</f>
        <v>2.6</v>
      </c>
      <c r="Z11" s="1654">
        <f t="shared" ref="Z11:AJ11" si="3">$G$3</f>
        <v>2.6</v>
      </c>
      <c r="AA11" s="1654">
        <f t="shared" si="3"/>
        <v>2.6</v>
      </c>
      <c r="AB11" s="1654">
        <f t="shared" si="3"/>
        <v>2.6</v>
      </c>
      <c r="AC11" s="1654">
        <f t="shared" si="3"/>
        <v>2.6</v>
      </c>
      <c r="AD11" s="1654">
        <f t="shared" si="3"/>
        <v>2.6</v>
      </c>
      <c r="AE11" s="1654">
        <f t="shared" si="3"/>
        <v>2.6</v>
      </c>
      <c r="AF11" s="1654">
        <f t="shared" si="3"/>
        <v>2.6</v>
      </c>
      <c r="AG11" s="1654">
        <f t="shared" si="3"/>
        <v>2.6</v>
      </c>
      <c r="AH11" s="1654">
        <f t="shared" si="3"/>
        <v>2.6</v>
      </c>
      <c r="AI11" s="1654">
        <f t="shared" si="3"/>
        <v>2.6</v>
      </c>
      <c r="AJ11" s="1654">
        <f t="shared" si="3"/>
        <v>2.6</v>
      </c>
    </row>
    <row r="12" spans="1:39" ht="25.5" thickBot="1">
      <c r="A12" s="4236" t="s">
        <v>1873</v>
      </c>
      <c r="B12" s="1440" t="s">
        <v>947</v>
      </c>
      <c r="C12" s="1043">
        <f>ROUND(C15*D15*E15*F15*G15*H15*I15*J15,4)</f>
        <v>1</v>
      </c>
      <c r="D12" s="1441" t="s">
        <v>948</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4245"/>
      <c r="X12" s="2961" t="s">
        <v>2790</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4238"/>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4245"/>
      <c r="X13" s="2961"/>
      <c r="Y13" s="2960">
        <f>(-0.163*(Y12^2)-0.59*Y12+7617)*(10^(-4))/Y11</f>
        <v>0.2929615384615385</v>
      </c>
      <c r="Z13" s="2960">
        <f t="shared" ref="Z13:AJ13" si="5">(-0.163*(Z12^2)-0.59*Z12+7617)*(10^(-4))/Z11</f>
        <v>0.2929615384615385</v>
      </c>
      <c r="AA13" s="2960">
        <f t="shared" si="5"/>
        <v>0.2929615384615385</v>
      </c>
      <c r="AB13" s="2960">
        <f t="shared" si="5"/>
        <v>0.2929615384615385</v>
      </c>
      <c r="AC13" s="2960">
        <f t="shared" si="5"/>
        <v>0.2929615384615385</v>
      </c>
      <c r="AD13" s="2960">
        <f t="shared" si="5"/>
        <v>0.2929615384615385</v>
      </c>
      <c r="AE13" s="2960">
        <f t="shared" si="5"/>
        <v>0.2929615384615385</v>
      </c>
      <c r="AF13" s="2960">
        <f t="shared" si="5"/>
        <v>0.2929615384615385</v>
      </c>
      <c r="AG13" s="2960">
        <f t="shared" si="5"/>
        <v>0.2929615384615385</v>
      </c>
      <c r="AH13" s="2960">
        <f t="shared" si="5"/>
        <v>0.2929615384615385</v>
      </c>
      <c r="AI13" s="2960">
        <f t="shared" si="5"/>
        <v>0.2929615384615385</v>
      </c>
      <c r="AJ13" s="2960">
        <f t="shared" si="5"/>
        <v>0.2929615384615385</v>
      </c>
    </row>
    <row r="14" spans="1:39" ht="12.75" customHeight="1" thickBot="1">
      <c r="A14" s="4238"/>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4239"/>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4236"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4237"/>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42940</v>
      </c>
      <c r="H19" s="1476" t="s">
        <v>2942</v>
      </c>
      <c r="I19" s="2812" t="str">
        <f>IF(H19="季度增幅（自定义）",SUMIF(N21:N24,E2,O21:O24),"")</f>
        <v/>
      </c>
      <c r="J19" s="1472"/>
      <c r="K19" s="1482"/>
      <c r="L19" s="3067" t="s">
        <v>2849</v>
      </c>
      <c r="M19" s="3068">
        <f>ROUND(SUMIF(地价!B2:F2,E2,地价!B20:F20),0)</f>
        <v>0</v>
      </c>
      <c r="N19" s="2814" t="s">
        <v>1678</v>
      </c>
      <c r="O19" s="2813">
        <f>ROUNDDOWN(DATEDIF(E19,G19,"M")/3,0)</f>
        <v>14</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9" t="s">
        <v>2850</v>
      </c>
      <c r="M20" s="3070">
        <f>ROUND(SUMPRODUCT((地价!A5:A20=YEAR(G19)&amp;"-"&amp;ROUNDUP(MONTH(G19)/3,0))*(地价!B2:F2=E2)*(地价!B5:F20)),0)</f>
        <v>0</v>
      </c>
      <c r="N20" s="2817" t="s">
        <v>2653</v>
      </c>
      <c r="O20" s="2815" t="s">
        <v>2652</v>
      </c>
      <c r="P20" s="2816" t="s">
        <v>2658</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2769</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2.6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2656</v>
      </c>
      <c r="O25" s="2197"/>
      <c r="P25" s="1542">
        <f>SUMPRODUCT((地价!A3:A20=YEAR(G19)&amp;"-"&amp;ROUNDUP(MONTH(G19)/3,0))*(地价!AD2:AH2=N25)*(地价!AD3:AH20))</f>
        <v>2.4899999999999999E-2</v>
      </c>
      <c r="R25" s="2952"/>
      <c r="S25" s="2952"/>
      <c r="T25" s="2952"/>
      <c r="U25" s="2952"/>
      <c r="V25" s="2952"/>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4242" t="s">
        <v>2969</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4243"/>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4243"/>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4244"/>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2253</v>
      </c>
      <c r="G46" s="2457" t="s">
        <v>1016</v>
      </c>
      <c r="H46" s="2440" t="s">
        <v>2422</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48">
      <c r="A47" s="1067" t="s">
        <v>1022</v>
      </c>
      <c r="B47" s="2437" t="str">
        <f>估价对象房地状况!C16</f>
        <v>估价对象周边商业氛围一般、大型商业较少、人流量一般、商业繁华度一般。</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估价对象周边路网密集程度一般、有一定数量公交车、停车较便捷，综合评价交通便捷度一般。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4" t="s">
        <v>2944</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城市主干道—万家丽南路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3" t="s">
        <v>2943</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估价对象所在区域公共配套设施较齐备。</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估价对象所在区域基础设施水平达六通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72.75" thickBot="1">
      <c r="A55" s="2467" t="s">
        <v>1030</v>
      </c>
      <c r="B55" s="2438" t="str">
        <f>估价对象房地状况!C20</f>
        <v>估价对象周边无大型绿化，公园等自然环境一般：周边有长沙理工大学，无其他博物馆，图书馆等人文环境一般；综合评价环境状况一般。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2254</v>
      </c>
      <c r="G57" s="2457" t="s">
        <v>1016</v>
      </c>
      <c r="H57" s="2440" t="s">
        <v>2422</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估价对象周边路网密集程度一般、有一定数量公交车、停车较便捷，综合评价交通便捷度一般。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4" t="s">
        <v>2945</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城市主干道—万家丽南路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3" t="s">
        <v>2943</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估价对象所在区域公共配套设施较齐备。</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估价对象所在区域基础设施水平达六通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72.75" thickBot="1">
      <c r="A66" s="2467" t="s">
        <v>1030</v>
      </c>
      <c r="B66" s="2439" t="str">
        <f>估价对象房地状况!C20</f>
        <v>估价对象周边无大型绿化，公园等自然环境一般：周边有长沙理工大学，无其他博物馆，图书馆等人文环境一般；综合评价环境状况一般。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2255</v>
      </c>
      <c r="G68" s="2457" t="s">
        <v>1016</v>
      </c>
      <c r="H68" s="2440" t="s">
        <v>2422</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1034</v>
      </c>
      <c r="B69" s="2437" t="str">
        <f>估价对象房地状况!C15</f>
        <v>估价对象周边居住用地比例一般、有一定数量居住小区、入住率一般，综合评价居住社区成熟度一般。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估价对象周边路网密集程度一般、有一定数量公交车、停车较便捷，综合评价交通便捷度一般。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城市主干道—万家丽南路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估价对象所在区域公共配套设施较齐备。</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估价对象所在区域基础设施水平达六通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3" t="s">
        <v>2943</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72">
      <c r="A76" s="1067" t="s">
        <v>1030</v>
      </c>
      <c r="B76" s="2437" t="str">
        <f>估价对象房地状况!C20</f>
        <v>估价对象周边无大型绿化，公园等自然环境一般：周边有长沙理工大学，无其他博物馆，图书馆等人文环境一般；综合评价环境状况一般。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2256</v>
      </c>
      <c r="G79" s="2457" t="s">
        <v>1016</v>
      </c>
      <c r="H79" s="2440" t="s">
        <v>2422</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3" t="s">
        <v>2943</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4240" t="s">
        <v>1635</v>
      </c>
      <c r="B90" s="4240"/>
      <c r="C90" s="4240"/>
      <c r="D90" s="4240"/>
      <c r="E90" s="4240"/>
      <c r="F90" s="4240"/>
      <c r="G90" s="4240"/>
      <c r="H90" s="4240"/>
      <c r="I90" s="4240"/>
      <c r="J90" s="4240"/>
      <c r="K90" s="2476"/>
      <c r="L90" s="2476"/>
      <c r="M90" s="2476"/>
      <c r="N90" s="2476"/>
    </row>
    <row r="91" spans="1:40">
      <c r="A91" s="4241" t="s">
        <v>1445</v>
      </c>
      <c r="B91" s="4241" t="s">
        <v>1636</v>
      </c>
      <c r="C91" s="1140" t="s">
        <v>1637</v>
      </c>
      <c r="D91" s="1141"/>
      <c r="E91" s="1141"/>
      <c r="F91" s="1141"/>
      <c r="G91" s="1141"/>
      <c r="H91" s="1141"/>
      <c r="I91" s="1141"/>
      <c r="J91" s="1142"/>
      <c r="K91" s="1134"/>
      <c r="L91" s="1134"/>
      <c r="M91" s="1134"/>
      <c r="N91" s="1134"/>
    </row>
    <row r="92" spans="1:40">
      <c r="A92" s="4241"/>
      <c r="B92" s="4241"/>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4248" t="s">
        <v>2772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424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424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424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424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424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4249"/>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425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4248" t="s">
        <v>1639</v>
      </c>
      <c r="B101" s="1147" t="s">
        <v>907</v>
      </c>
      <c r="C101" s="1148">
        <f>$G$3</f>
        <v>2.6</v>
      </c>
      <c r="D101" s="1148">
        <f t="shared" ref="D101:N101" si="31">$G$3</f>
        <v>2.6</v>
      </c>
      <c r="E101" s="1148">
        <f t="shared" si="31"/>
        <v>2.6</v>
      </c>
      <c r="F101" s="1148">
        <f t="shared" si="31"/>
        <v>2.6</v>
      </c>
      <c r="G101" s="1148">
        <f t="shared" si="31"/>
        <v>2.6</v>
      </c>
      <c r="H101" s="1148">
        <f t="shared" si="31"/>
        <v>2.6</v>
      </c>
      <c r="I101" s="1148">
        <f t="shared" si="31"/>
        <v>2.6</v>
      </c>
      <c r="J101" s="1148">
        <f t="shared" si="31"/>
        <v>2.6</v>
      </c>
      <c r="K101" s="1148">
        <f t="shared" si="31"/>
        <v>2.6</v>
      </c>
      <c r="L101" s="1148">
        <f t="shared" si="31"/>
        <v>2.6</v>
      </c>
      <c r="M101" s="1148">
        <f t="shared" si="31"/>
        <v>2.6</v>
      </c>
      <c r="N101" s="1148">
        <f t="shared" si="31"/>
        <v>2.6</v>
      </c>
    </row>
    <row r="102" spans="1:14">
      <c r="A102" s="4249"/>
      <c r="B102" s="1143">
        <v>1</v>
      </c>
      <c r="C102" s="1144">
        <f>1.9362/C101</f>
        <v>0.74469230769230765</v>
      </c>
      <c r="D102" s="1144">
        <f>1.9362/D101</f>
        <v>0.74469230769230765</v>
      </c>
      <c r="E102" s="1144">
        <f>1.8629/E101</f>
        <v>0.71650000000000003</v>
      </c>
      <c r="F102" s="1144">
        <f>1.8629/F101</f>
        <v>0.71650000000000003</v>
      </c>
      <c r="G102" s="1144">
        <f>1.8629/G101</f>
        <v>0.71650000000000003</v>
      </c>
      <c r="H102" s="1144">
        <f>1.8629/H101</f>
        <v>0.71650000000000003</v>
      </c>
      <c r="I102" s="1144">
        <f>1.8629/I101</f>
        <v>0.71650000000000003</v>
      </c>
      <c r="J102" s="1144">
        <f>1.942/J101</f>
        <v>0.74692307692307691</v>
      </c>
      <c r="K102" s="1144">
        <f>1.942/K101</f>
        <v>0.74692307692307691</v>
      </c>
      <c r="L102" s="1144">
        <f>1.942/L101</f>
        <v>0.74692307692307691</v>
      </c>
      <c r="M102" s="1144">
        <f>1.942/M101</f>
        <v>0.74692307692307691</v>
      </c>
      <c r="N102" s="1144">
        <f>1.942/N101</f>
        <v>0.74692307692307691</v>
      </c>
    </row>
    <row r="103" spans="1:14">
      <c r="A103" s="4249"/>
      <c r="B103" s="1143">
        <v>2</v>
      </c>
      <c r="C103" s="1144">
        <f>1.4198/C101</f>
        <v>0.54607692307692302</v>
      </c>
      <c r="D103" s="1144">
        <f>1.4198/D101</f>
        <v>0.54607692307692302</v>
      </c>
      <c r="E103" s="1144">
        <f>1.3372/E101</f>
        <v>0.51430769230769224</v>
      </c>
      <c r="F103" s="1144">
        <f>1.3372/F101</f>
        <v>0.51430769230769224</v>
      </c>
      <c r="G103" s="1144">
        <f>1.3372/G101</f>
        <v>0.51430769230769224</v>
      </c>
      <c r="H103" s="1144">
        <f>1.3372/H101</f>
        <v>0.51430769230769224</v>
      </c>
      <c r="I103" s="1144">
        <f>1.3372/I101</f>
        <v>0.51430769230769224</v>
      </c>
      <c r="J103" s="1144">
        <f>1.2799/J101</f>
        <v>0.49226923076923079</v>
      </c>
      <c r="K103" s="1144">
        <f>1.2799/K101</f>
        <v>0.49226923076923079</v>
      </c>
      <c r="L103" s="1144">
        <f>1.2799/L101</f>
        <v>0.49226923076923079</v>
      </c>
      <c r="M103" s="1144">
        <f>1.2799/M101</f>
        <v>0.49226923076923079</v>
      </c>
      <c r="N103" s="1144">
        <f>1.2799/N101</f>
        <v>0.49226923076923079</v>
      </c>
    </row>
    <row r="104" spans="1:14">
      <c r="A104" s="4249"/>
      <c r="B104" s="1143">
        <v>3</v>
      </c>
      <c r="C104" s="1144">
        <f>1.1594/C101</f>
        <v>0.44592307692307692</v>
      </c>
      <c r="D104" s="1144">
        <f>1.1594/D101</f>
        <v>0.44592307692307692</v>
      </c>
      <c r="E104" s="1144">
        <f>1.0788/E101</f>
        <v>0.41492307692307689</v>
      </c>
      <c r="F104" s="1144">
        <f>1.0788/F101</f>
        <v>0.41492307692307689</v>
      </c>
      <c r="G104" s="1144">
        <f>1.0788/G101</f>
        <v>0.41492307692307689</v>
      </c>
      <c r="H104" s="1144">
        <f>1.0788/H101</f>
        <v>0.41492307692307689</v>
      </c>
      <c r="I104" s="1144">
        <f>1.0788/I101</f>
        <v>0.41492307692307689</v>
      </c>
      <c r="J104" s="1144">
        <f>1.0072/J101</f>
        <v>0.38738461538461538</v>
      </c>
      <c r="K104" s="1144">
        <f>1.0072/K101</f>
        <v>0.38738461538461538</v>
      </c>
      <c r="L104" s="1144">
        <f>1.0072/L101</f>
        <v>0.38738461538461538</v>
      </c>
      <c r="M104" s="1144">
        <f>1.0072/M101</f>
        <v>0.38738461538461538</v>
      </c>
      <c r="N104" s="1144">
        <f>1.0072/N101</f>
        <v>0.38738461538461538</v>
      </c>
    </row>
    <row r="105" spans="1:14">
      <c r="A105" s="4249"/>
      <c r="B105" s="1143">
        <v>4</v>
      </c>
      <c r="C105" s="1144">
        <f>0.9622/C101</f>
        <v>0.37007692307692308</v>
      </c>
      <c r="D105" s="1144">
        <f>0.9622/D101</f>
        <v>0.37007692307692308</v>
      </c>
      <c r="E105" s="1144">
        <f>0.8656/E101</f>
        <v>0.33292307692307693</v>
      </c>
      <c r="F105" s="1144">
        <f>0.8656/F101</f>
        <v>0.33292307692307693</v>
      </c>
      <c r="G105" s="1144">
        <f>0.8656/G101</f>
        <v>0.33292307692307693</v>
      </c>
      <c r="H105" s="1144">
        <f>0.8656/H101</f>
        <v>0.33292307692307693</v>
      </c>
      <c r="I105" s="1144">
        <f>0.8656/I101</f>
        <v>0.33292307692307693</v>
      </c>
      <c r="J105" s="1144">
        <f>0.7525/J101</f>
        <v>0.28942307692307689</v>
      </c>
      <c r="K105" s="1144">
        <f>0.7525/K101</f>
        <v>0.28942307692307689</v>
      </c>
      <c r="L105" s="1144">
        <f>0.7525/L101</f>
        <v>0.28942307692307689</v>
      </c>
      <c r="M105" s="1144">
        <f>0.7525/M101</f>
        <v>0.28942307692307689</v>
      </c>
      <c r="N105" s="1144">
        <f>0.7525/N101</f>
        <v>0.28942307692307689</v>
      </c>
    </row>
    <row r="106" spans="1:14">
      <c r="A106" s="4249"/>
      <c r="B106" s="1143">
        <v>5</v>
      </c>
      <c r="C106" s="1144">
        <f>0.8417/C101</f>
        <v>0.32373076923076921</v>
      </c>
      <c r="D106" s="1144">
        <f>0.8417/D101</f>
        <v>0.32373076923076921</v>
      </c>
      <c r="E106" s="1144">
        <f>0.7371/E101</f>
        <v>0.28349999999999997</v>
      </c>
      <c r="F106" s="1144">
        <f>0.7371/F101</f>
        <v>0.28349999999999997</v>
      </c>
      <c r="G106" s="1144">
        <f>0.7371/G101</f>
        <v>0.28349999999999997</v>
      </c>
      <c r="H106" s="1144">
        <f>0.7371/H101</f>
        <v>0.28349999999999997</v>
      </c>
      <c r="I106" s="1144">
        <f>0.7371/I101</f>
        <v>0.28349999999999997</v>
      </c>
      <c r="J106" s="1144">
        <f>0.5659/J101</f>
        <v>0.21765384615384614</v>
      </c>
      <c r="K106" s="1144">
        <f>0.5659/K101</f>
        <v>0.21765384615384614</v>
      </c>
      <c r="L106" s="1144">
        <f>0.5659/L101</f>
        <v>0.21765384615384614</v>
      </c>
      <c r="M106" s="1144">
        <f>0.5659/M101</f>
        <v>0.21765384615384614</v>
      </c>
      <c r="N106" s="1144">
        <f>0.5659/N101</f>
        <v>0.21765384615384614</v>
      </c>
    </row>
    <row r="107" spans="1:14">
      <c r="A107" s="4249"/>
      <c r="B107" s="1143">
        <v>6</v>
      </c>
      <c r="C107" s="1144">
        <f>0.7608/C101</f>
        <v>0.29261538461538461</v>
      </c>
      <c r="D107" s="1144">
        <f>0.7608/D101</f>
        <v>0.29261538461538461</v>
      </c>
      <c r="E107" s="1144">
        <f>0.6482/E101</f>
        <v>0.24930769230769229</v>
      </c>
      <c r="F107" s="1144">
        <f>0.6482/F101</f>
        <v>0.24930769230769229</v>
      </c>
      <c r="G107" s="1144">
        <f>0.6482/G101</f>
        <v>0.24930769230769229</v>
      </c>
      <c r="H107" s="1144">
        <f>0.6482/H101</f>
        <v>0.24930769230769229</v>
      </c>
      <c r="I107" s="1144">
        <f>0.6482/I101</f>
        <v>0.24930769230769229</v>
      </c>
      <c r="J107" s="1144">
        <f>0.4525/J101</f>
        <v>0.17403846153846153</v>
      </c>
      <c r="K107" s="1144">
        <f>0.4525/K101</f>
        <v>0.17403846153846153</v>
      </c>
      <c r="L107" s="1144">
        <f>0.4525/L101</f>
        <v>0.17403846153846153</v>
      </c>
      <c r="M107" s="1144">
        <f>0.4525/M101</f>
        <v>0.17403846153846153</v>
      </c>
      <c r="N107" s="1144">
        <f>0.4525/N101</f>
        <v>0.17403846153846153</v>
      </c>
    </row>
    <row r="108" spans="1:14">
      <c r="A108" s="4249"/>
      <c r="B108" s="4251"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4250"/>
      <c r="B109" s="4252"/>
      <c r="C109" s="1146">
        <f>(-0.163*(C108^2)-0.59*C108+7617)*(10^(-4))/C101</f>
        <v>0.29237876923076922</v>
      </c>
      <c r="D109" s="1146">
        <f>(-0.163*(D108^2)-0.59*D108+7617)*(10^(-4))/D101</f>
        <v>0.29237876923076922</v>
      </c>
      <c r="E109" s="1146">
        <f>(-0.161*(E108^2)-7.509*E108+6533)*(10^(-4))/E101</f>
        <v>0.24856246153846154</v>
      </c>
      <c r="F109" s="1146">
        <f>(-0.161*(F108^2)-7.509*F108+6533)*(10^(-4))/F101</f>
        <v>0.24856246153846154</v>
      </c>
      <c r="G109" s="1146">
        <f>(-0.161*(G108^2)-7.509*G108+6533)*(10^(-4))/G101</f>
        <v>0.24856246153846154</v>
      </c>
      <c r="H109" s="1146">
        <f>(-0.161*(H108^2)-7.509*H108+6533)*(10^(-4))/H101</f>
        <v>0.24856246153846154</v>
      </c>
      <c r="I109" s="1146">
        <f>(-0.161*(I108^2)-7.509*I108+6533)*(10^(-4))/I101</f>
        <v>0.24856246153846154</v>
      </c>
      <c r="J109" s="1146">
        <f>(-0.214*(J108^2)-21.991*J108+4665)*(10^(-4))/J101</f>
        <v>0.17212984615384616</v>
      </c>
      <c r="K109" s="1146">
        <f>(-0.214*(K108^2)-21.991*K108+4665)*(10^(-4))/K101</f>
        <v>0.17212984615384616</v>
      </c>
      <c r="L109" s="1146">
        <f>(-0.214*(L108^2)-21.991*L108+4665)*(10^(-4))/L101</f>
        <v>0.17212984615384616</v>
      </c>
      <c r="M109" s="1146">
        <f>(-0.214*(M108^2)-21.991*M108+4665)*(10^(-4))/M101</f>
        <v>0.17212984615384616</v>
      </c>
      <c r="N109" s="1146">
        <f>(-0.214*(N108^2)-21.991*N108+4665)*(10^(-4))/N101</f>
        <v>0.17212984615384616</v>
      </c>
    </row>
    <row r="110" spans="1:14">
      <c r="A110" s="4235" t="s">
        <v>1641</v>
      </c>
      <c r="B110" s="4235"/>
      <c r="C110" s="4235"/>
      <c r="D110" s="4235"/>
      <c r="E110" s="4235"/>
      <c r="F110" s="4235"/>
      <c r="G110" s="4235"/>
      <c r="H110" s="4235"/>
      <c r="I110" s="4235"/>
      <c r="J110" s="4235"/>
      <c r="K110" s="2474"/>
      <c r="L110" s="2474"/>
      <c r="M110" s="2474"/>
      <c r="N110" s="2474"/>
    </row>
    <row r="112" spans="1:14" ht="12.75" thickBot="1"/>
    <row r="113" spans="1:13" ht="25.5" thickBot="1">
      <c r="A113" s="1016" t="s">
        <v>897</v>
      </c>
      <c r="B113" s="2477">
        <f>G3</f>
        <v>2.6</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0.90910000000000002</v>
      </c>
      <c r="C115" s="1030">
        <f>B115</f>
        <v>0.90910000000000002</v>
      </c>
      <c r="D115" s="1030">
        <f>ROUND(0.8331-0.0109*B113,4)</f>
        <v>0.80479999999999996</v>
      </c>
      <c r="E115" s="1030">
        <f>D115</f>
        <v>0.80479999999999996</v>
      </c>
      <c r="F115" s="1030">
        <f>E115</f>
        <v>0.80479999999999996</v>
      </c>
      <c r="G115" s="1030">
        <f>F115</f>
        <v>0.80479999999999996</v>
      </c>
      <c r="H115" s="1030">
        <f>G115</f>
        <v>0.80479999999999996</v>
      </c>
      <c r="I115" s="1030">
        <f>ROUND(0.689-0.0155*B113,4)</f>
        <v>0.64870000000000005</v>
      </c>
      <c r="J115" s="1030">
        <f t="shared" ref="J115:M118" si="33">I115</f>
        <v>0.64870000000000005</v>
      </c>
      <c r="K115" s="1030">
        <f t="shared" si="33"/>
        <v>0.64870000000000005</v>
      </c>
      <c r="L115" s="1030">
        <f t="shared" si="33"/>
        <v>0.64870000000000005</v>
      </c>
      <c r="M115" s="1031">
        <f t="shared" si="33"/>
        <v>0.64870000000000005</v>
      </c>
    </row>
    <row r="116" spans="1:13" ht="12.75">
      <c r="A116" s="1029" t="s">
        <v>902</v>
      </c>
      <c r="B116" s="1030">
        <f>ROUND(0.949-0.012*B113,4)</f>
        <v>0.91779999999999995</v>
      </c>
      <c r="C116" s="1030">
        <f>B116</f>
        <v>0.91779999999999995</v>
      </c>
      <c r="D116" s="1030">
        <f>ROUND(0.8567-0.013*B113,4)</f>
        <v>0.82289999999999996</v>
      </c>
      <c r="E116" s="1030">
        <f t="shared" ref="E116:H117" si="34">D116</f>
        <v>0.82289999999999996</v>
      </c>
      <c r="F116" s="1030">
        <f t="shared" si="34"/>
        <v>0.82289999999999996</v>
      </c>
      <c r="G116" s="1030">
        <f t="shared" si="34"/>
        <v>0.82289999999999996</v>
      </c>
      <c r="H116" s="1030">
        <f t="shared" si="34"/>
        <v>0.82289999999999996</v>
      </c>
      <c r="I116" s="1030">
        <f>ROUND(0.7694-0.014*B113,4)</f>
        <v>0.73299999999999998</v>
      </c>
      <c r="J116" s="1030">
        <f t="shared" si="33"/>
        <v>0.73299999999999998</v>
      </c>
      <c r="K116" s="1030">
        <f t="shared" si="33"/>
        <v>0.73299999999999998</v>
      </c>
      <c r="L116" s="1030">
        <f t="shared" si="33"/>
        <v>0.73299999999999998</v>
      </c>
      <c r="M116" s="1031">
        <f t="shared" si="33"/>
        <v>0.73299999999999998</v>
      </c>
    </row>
    <row r="117" spans="1:13" ht="12.75">
      <c r="A117" s="1032" t="s">
        <v>903</v>
      </c>
      <c r="B117" s="1030">
        <f>ROUND(0.8808-0.006*B113,4)</f>
        <v>0.86519999999999997</v>
      </c>
      <c r="C117" s="1030">
        <f>B117</f>
        <v>0.86519999999999997</v>
      </c>
      <c r="D117" s="1030">
        <f>ROUND(0.8748-0.008*B113,4)</f>
        <v>0.85399999999999998</v>
      </c>
      <c r="E117" s="1030">
        <f t="shared" si="34"/>
        <v>0.85399999999999998</v>
      </c>
      <c r="F117" s="1030">
        <f t="shared" si="34"/>
        <v>0.85399999999999998</v>
      </c>
      <c r="G117" s="1030">
        <f t="shared" si="34"/>
        <v>0.85399999999999998</v>
      </c>
      <c r="H117" s="1030">
        <f t="shared" si="34"/>
        <v>0.85399999999999998</v>
      </c>
      <c r="I117" s="1030">
        <f>ROUND(0.7412-0.0095*B113,4)</f>
        <v>0.71650000000000003</v>
      </c>
      <c r="J117" s="1030">
        <f t="shared" si="33"/>
        <v>0.71650000000000003</v>
      </c>
      <c r="K117" s="1030">
        <f t="shared" si="33"/>
        <v>0.71650000000000003</v>
      </c>
      <c r="L117" s="1030">
        <f t="shared" si="33"/>
        <v>0.71650000000000003</v>
      </c>
      <c r="M117" s="1031">
        <f t="shared" si="33"/>
        <v>0.71650000000000003</v>
      </c>
    </row>
    <row r="118" spans="1:13" ht="13.5" thickBot="1">
      <c r="A118" s="1033" t="s">
        <v>904</v>
      </c>
      <c r="B118" s="1034">
        <f>ROUND(0.7275-0.01*B113,4)</f>
        <v>0.70150000000000001</v>
      </c>
      <c r="C118" s="1034">
        <f>B118</f>
        <v>0.70150000000000001</v>
      </c>
      <c r="D118" s="1034">
        <f>ROUND(0.7043-0.012*B113,4)</f>
        <v>0.67310000000000003</v>
      </c>
      <c r="E118" s="1034">
        <f>D118</f>
        <v>0.67310000000000003</v>
      </c>
      <c r="F118" s="1034">
        <f>E118</f>
        <v>0.67310000000000003</v>
      </c>
      <c r="G118" s="1034">
        <f>ROUND(0.6299-0.0122*B113,4)</f>
        <v>0.59819999999999995</v>
      </c>
      <c r="H118" s="1034">
        <f>G118</f>
        <v>0.59819999999999995</v>
      </c>
      <c r="I118" s="1034">
        <f>ROUND(0.5667-0.0136*B113,4)</f>
        <v>0.53129999999999999</v>
      </c>
      <c r="J118" s="1034">
        <f t="shared" si="33"/>
        <v>0.53129999999999999</v>
      </c>
      <c r="K118" s="1034">
        <f t="shared" si="33"/>
        <v>0.53129999999999999</v>
      </c>
      <c r="L118" s="1034">
        <f t="shared" si="33"/>
        <v>0.53129999999999999</v>
      </c>
      <c r="M118" s="1035">
        <f t="shared" si="33"/>
        <v>0.53129999999999999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4241" t="s">
        <v>1009</v>
      </c>
      <c r="B18" s="1154" t="s">
        <v>1448</v>
      </c>
      <c r="C18" s="1131" t="s">
        <v>1449</v>
      </c>
      <c r="D18" s="1132"/>
      <c r="E18" s="1154">
        <v>1</v>
      </c>
      <c r="F18" s="1133" t="s">
        <v>1450</v>
      </c>
      <c r="G18" s="1134"/>
      <c r="H18" s="1105"/>
      <c r="I18" s="1105"/>
    </row>
    <row r="19" spans="1:9" s="1600" customFormat="1" ht="19.5" customHeight="1">
      <c r="A19" s="4241"/>
      <c r="B19" s="4241" t="s">
        <v>1451</v>
      </c>
      <c r="C19" s="1131" t="s">
        <v>1452</v>
      </c>
      <c r="D19" s="1132"/>
      <c r="E19" s="1154">
        <v>0.9</v>
      </c>
      <c r="F19" s="1133" t="s">
        <v>1453</v>
      </c>
      <c r="G19" s="1134"/>
      <c r="H19" s="1105"/>
      <c r="I19" s="1105"/>
    </row>
    <row r="20" spans="1:9" s="1600" customFormat="1" ht="19.5" customHeight="1">
      <c r="A20" s="4241"/>
      <c r="B20" s="4241"/>
      <c r="C20" s="1131" t="s">
        <v>1454</v>
      </c>
      <c r="D20" s="1132"/>
      <c r="E20" s="1154">
        <v>1.1000000000000001</v>
      </c>
      <c r="F20" s="1133" t="s">
        <v>1455</v>
      </c>
      <c r="G20" s="1134"/>
      <c r="H20" s="1105"/>
      <c r="I20" s="1105"/>
    </row>
    <row r="21" spans="1:9" s="1600" customFormat="1" ht="19.5" customHeight="1">
      <c r="A21" s="4241"/>
      <c r="B21" s="4241"/>
      <c r="C21" s="1131" t="s">
        <v>1456</v>
      </c>
      <c r="D21" s="1132"/>
      <c r="E21" s="1154">
        <v>0.8</v>
      </c>
      <c r="F21" s="1133" t="s">
        <v>1457</v>
      </c>
      <c r="G21" s="1134"/>
      <c r="H21" s="1105"/>
      <c r="I21" s="1105"/>
    </row>
    <row r="22" spans="1:9" s="1600" customFormat="1" ht="19.5" customHeight="1">
      <c r="A22" s="4241"/>
      <c r="B22" s="4241"/>
      <c r="C22" s="1131" t="s">
        <v>1458</v>
      </c>
      <c r="D22" s="1132"/>
      <c r="E22" s="1154">
        <v>0.5</v>
      </c>
      <c r="F22" s="1133"/>
      <c r="G22" s="1134"/>
      <c r="H22" s="1105"/>
      <c r="I22" s="1105"/>
    </row>
    <row r="23" spans="1:9" s="1600" customFormat="1" ht="19.5" customHeight="1">
      <c r="A23" s="4241" t="s">
        <v>1031</v>
      </c>
      <c r="B23" s="1154" t="s">
        <v>1448</v>
      </c>
      <c r="C23" s="1131" t="s">
        <v>1459</v>
      </c>
      <c r="D23" s="1132"/>
      <c r="E23" s="1154">
        <v>1</v>
      </c>
      <c r="F23" s="1133" t="s">
        <v>1460</v>
      </c>
      <c r="G23" s="1134"/>
      <c r="H23" s="1105"/>
      <c r="I23" s="1105"/>
    </row>
    <row r="24" spans="1:9" s="1600" customFormat="1" ht="19.5" customHeight="1">
      <c r="A24" s="4241"/>
      <c r="B24" s="4241" t="s">
        <v>1451</v>
      </c>
      <c r="C24" s="1131" t="s">
        <v>1461</v>
      </c>
      <c r="D24" s="1132"/>
      <c r="E24" s="1154">
        <v>0.5</v>
      </c>
      <c r="F24" s="1133"/>
      <c r="G24" s="1134"/>
      <c r="H24" s="1105"/>
      <c r="I24" s="1105"/>
    </row>
    <row r="25" spans="1:9" s="1600" customFormat="1" ht="19.5" customHeight="1">
      <c r="A25" s="4241"/>
      <c r="B25" s="4241"/>
      <c r="C25" s="1131" t="s">
        <v>1462</v>
      </c>
      <c r="D25" s="1132"/>
      <c r="E25" s="1154">
        <v>1.1000000000000001</v>
      </c>
      <c r="F25" s="1133"/>
      <c r="G25" s="1134"/>
      <c r="H25" s="1105"/>
      <c r="I25" s="1105"/>
    </row>
    <row r="26" spans="1:9" s="1600" customFormat="1" ht="19.5" customHeight="1">
      <c r="A26" s="4241"/>
      <c r="B26" s="4241"/>
      <c r="C26" s="1131" t="s">
        <v>1463</v>
      </c>
      <c r="D26" s="1132"/>
      <c r="E26" s="1154">
        <v>1.1000000000000001</v>
      </c>
      <c r="F26" s="1133"/>
      <c r="G26" s="1134"/>
      <c r="H26" s="1105"/>
      <c r="I26" s="1105"/>
    </row>
    <row r="27" spans="1:9" s="1600" customFormat="1" ht="19.5" customHeight="1">
      <c r="A27" s="4241"/>
      <c r="B27" s="4241"/>
      <c r="C27" s="1131" t="s">
        <v>1464</v>
      </c>
      <c r="D27" s="1132"/>
      <c r="E27" s="1154">
        <v>0.9</v>
      </c>
      <c r="F27" s="1133" t="s">
        <v>1465</v>
      </c>
      <c r="G27" s="1134"/>
      <c r="H27" s="1105"/>
      <c r="I27" s="1105"/>
    </row>
    <row r="28" spans="1:9" s="1600" customFormat="1" ht="19.5" customHeight="1">
      <c r="A28" s="4241"/>
      <c r="B28" s="4241"/>
      <c r="C28" s="1131" t="s">
        <v>1466</v>
      </c>
      <c r="D28" s="1132"/>
      <c r="E28" s="1154">
        <v>0.9</v>
      </c>
      <c r="F28" s="1133" t="s">
        <v>1467</v>
      </c>
      <c r="G28" s="1134"/>
      <c r="H28" s="1105"/>
      <c r="I28" s="1105"/>
    </row>
    <row r="29" spans="1:9" s="1600" customFormat="1" ht="19.5" customHeight="1">
      <c r="A29" s="4241"/>
      <c r="B29" s="4241"/>
      <c r="C29" s="1131" t="s">
        <v>1468</v>
      </c>
      <c r="D29" s="1132"/>
      <c r="E29" s="1154">
        <v>0.9</v>
      </c>
      <c r="F29" s="1133" t="s">
        <v>1469</v>
      </c>
      <c r="G29" s="1134"/>
      <c r="H29" s="1105"/>
      <c r="I29" s="1105"/>
    </row>
    <row r="30" spans="1:9" s="1600" customFormat="1" ht="19.5" customHeight="1">
      <c r="A30" s="4241"/>
      <c r="B30" s="4241"/>
      <c r="C30" s="1131" t="s">
        <v>1470</v>
      </c>
      <c r="D30" s="1132"/>
      <c r="E30" s="1154">
        <v>0.9</v>
      </c>
      <c r="F30" s="1133" t="s">
        <v>1471</v>
      </c>
      <c r="G30" s="1134"/>
      <c r="H30" s="1105"/>
      <c r="I30" s="1105"/>
    </row>
    <row r="31" spans="1:9" s="1600" customFormat="1" ht="19.5" customHeight="1">
      <c r="A31" s="4241"/>
      <c r="B31" s="4241"/>
      <c r="C31" s="1131" t="s">
        <v>1472</v>
      </c>
      <c r="D31" s="1132"/>
      <c r="E31" s="1154">
        <v>0.8</v>
      </c>
      <c r="F31" s="1133" t="s">
        <v>1473</v>
      </c>
      <c r="G31" s="1134"/>
      <c r="H31" s="1105"/>
      <c r="I31" s="1105"/>
    </row>
    <row r="32" spans="1:9" s="1600" customFormat="1" ht="19.5" customHeight="1">
      <c r="A32" s="4241"/>
      <c r="B32" s="4241"/>
      <c r="C32" s="1131" t="s">
        <v>1474</v>
      </c>
      <c r="D32" s="1132"/>
      <c r="E32" s="1154">
        <v>0.8</v>
      </c>
      <c r="F32" s="1133" t="s">
        <v>1475</v>
      </c>
      <c r="G32" s="1134"/>
      <c r="H32" s="1105"/>
      <c r="I32" s="1105"/>
    </row>
    <row r="33" spans="1:9" s="1600" customFormat="1" ht="19.5" customHeight="1">
      <c r="A33" s="4241" t="s">
        <v>1476</v>
      </c>
      <c r="B33" s="1154" t="s">
        <v>1448</v>
      </c>
      <c r="C33" s="1131" t="s">
        <v>1477</v>
      </c>
      <c r="D33" s="1132"/>
      <c r="E33" s="1154">
        <v>1</v>
      </c>
      <c r="F33" s="1133" t="s">
        <v>1478</v>
      </c>
      <c r="G33" s="1134"/>
      <c r="H33" s="1105"/>
      <c r="I33" s="1105"/>
    </row>
    <row r="34" spans="1:9" s="1600" customFormat="1" ht="19.5" customHeight="1">
      <c r="A34" s="4241"/>
      <c r="B34" s="1154" t="s">
        <v>1451</v>
      </c>
      <c r="C34" s="1131" t="s">
        <v>1479</v>
      </c>
      <c r="D34" s="1132"/>
      <c r="E34" s="1154">
        <v>1.5</v>
      </c>
      <c r="F34" s="1133" t="s">
        <v>1480</v>
      </c>
      <c r="G34" s="1134"/>
      <c r="H34" s="1105"/>
      <c r="I34" s="1105"/>
    </row>
    <row r="35" spans="1:9" s="1600" customFormat="1" ht="19.5" customHeight="1">
      <c r="A35" s="4241" t="s">
        <v>1434</v>
      </c>
      <c r="B35" s="1154" t="s">
        <v>1448</v>
      </c>
      <c r="C35" s="1131" t="s">
        <v>1481</v>
      </c>
      <c r="D35" s="1132"/>
      <c r="E35" s="1154">
        <v>1</v>
      </c>
      <c r="F35" s="1133" t="s">
        <v>1482</v>
      </c>
      <c r="G35" s="1134"/>
      <c r="H35" s="1105"/>
      <c r="I35" s="1105"/>
    </row>
    <row r="36" spans="1:9" s="1600" customFormat="1" ht="19.5" customHeight="1">
      <c r="A36" s="4241"/>
      <c r="B36" s="4241" t="s">
        <v>1451</v>
      </c>
      <c r="C36" s="1131" t="s">
        <v>1483</v>
      </c>
      <c r="D36" s="1132"/>
      <c r="E36" s="1154">
        <v>1</v>
      </c>
      <c r="F36" s="1133" t="s">
        <v>1484</v>
      </c>
      <c r="G36" s="1134"/>
      <c r="H36" s="1105"/>
      <c r="I36" s="1105"/>
    </row>
    <row r="37" spans="1:9" s="1600" customFormat="1" ht="19.5" customHeight="1">
      <c r="A37" s="4241"/>
      <c r="B37" s="4241"/>
      <c r="C37" s="1131" t="s">
        <v>1485</v>
      </c>
      <c r="D37" s="1132"/>
      <c r="E37" s="1154">
        <v>1.5</v>
      </c>
      <c r="F37" s="1133" t="s">
        <v>1486</v>
      </c>
      <c r="G37" s="1134"/>
      <c r="H37" s="1105"/>
      <c r="I37" s="1105"/>
    </row>
    <row r="38" spans="1:9" s="1600" customFormat="1" ht="19.5" customHeight="1">
      <c r="A38" s="4241"/>
      <c r="B38" s="4241"/>
      <c r="C38" s="1131" t="s">
        <v>1487</v>
      </c>
      <c r="D38" s="1132"/>
      <c r="E38" s="1154">
        <v>1</v>
      </c>
      <c r="F38" s="1133" t="s">
        <v>1488</v>
      </c>
      <c r="G38" s="1134"/>
      <c r="H38" s="1105"/>
      <c r="I38" s="1105"/>
    </row>
    <row r="39" spans="1:9" s="1600" customFormat="1" ht="19.5" customHeight="1">
      <c r="A39" s="4241"/>
      <c r="B39" s="4241"/>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4241" t="s">
        <v>1503</v>
      </c>
      <c r="C61" s="1068" t="s">
        <v>1504</v>
      </c>
      <c r="D61" s="1068" t="s">
        <v>1505</v>
      </c>
      <c r="E61" s="1139">
        <v>0.5</v>
      </c>
      <c r="F61" s="1154">
        <v>80</v>
      </c>
      <c r="H61" s="1105">
        <f>SUMIF(C59:C119,基准地价!C8,E59:E119)</f>
        <v>0</v>
      </c>
    </row>
    <row r="62" spans="1:8" s="1105" customFormat="1" ht="24">
      <c r="A62" s="1154">
        <v>2</v>
      </c>
      <c r="B62" s="4241"/>
      <c r="C62" s="1068" t="s">
        <v>1506</v>
      </c>
      <c r="D62" s="1068" t="s">
        <v>1507</v>
      </c>
      <c r="E62" s="1139">
        <v>0.5</v>
      </c>
      <c r="F62" s="1154">
        <v>80</v>
      </c>
    </row>
    <row r="63" spans="1:8" s="1105" customFormat="1" ht="36">
      <c r="A63" s="1154">
        <v>3</v>
      </c>
      <c r="B63" s="4241"/>
      <c r="C63" s="1068" t="s">
        <v>1508</v>
      </c>
      <c r="D63" s="1068" t="s">
        <v>1509</v>
      </c>
      <c r="E63" s="1139">
        <v>0.5</v>
      </c>
      <c r="F63" s="1154">
        <v>80</v>
      </c>
    </row>
    <row r="64" spans="1:8" s="1105" customFormat="1" ht="36">
      <c r="A64" s="1154">
        <v>4</v>
      </c>
      <c r="B64" s="4241"/>
      <c r="C64" s="1068" t="s">
        <v>1510</v>
      </c>
      <c r="D64" s="1068" t="s">
        <v>1511</v>
      </c>
      <c r="E64" s="1139">
        <v>0.4</v>
      </c>
      <c r="F64" s="1154">
        <v>60</v>
      </c>
    </row>
    <row r="65" spans="1:6" s="1105" customFormat="1" ht="36">
      <c r="A65" s="1154">
        <v>5</v>
      </c>
      <c r="B65" s="4241"/>
      <c r="C65" s="1068" t="s">
        <v>1512</v>
      </c>
      <c r="D65" s="1068" t="s">
        <v>1513</v>
      </c>
      <c r="E65" s="1139">
        <v>0.2</v>
      </c>
      <c r="F65" s="1154">
        <v>30</v>
      </c>
    </row>
    <row r="66" spans="1:6" s="1105" customFormat="1" ht="36">
      <c r="A66" s="1154">
        <v>6</v>
      </c>
      <c r="B66" s="4241"/>
      <c r="C66" s="1068" t="s">
        <v>1514</v>
      </c>
      <c r="D66" s="1068" t="s">
        <v>1515</v>
      </c>
      <c r="E66" s="1139">
        <v>0.3</v>
      </c>
      <c r="F66" s="1154">
        <v>50</v>
      </c>
    </row>
    <row r="67" spans="1:6" s="1105" customFormat="1" ht="36">
      <c r="A67" s="1154">
        <v>7</v>
      </c>
      <c r="B67" s="4241"/>
      <c r="C67" s="1068" t="s">
        <v>1516</v>
      </c>
      <c r="D67" s="1068" t="s">
        <v>1517</v>
      </c>
      <c r="E67" s="1139">
        <v>0.2</v>
      </c>
      <c r="F67" s="1154">
        <v>30</v>
      </c>
    </row>
    <row r="68" spans="1:6" s="1105" customFormat="1" ht="36">
      <c r="A68" s="1154">
        <v>8</v>
      </c>
      <c r="B68" s="4241"/>
      <c r="C68" s="1068" t="s">
        <v>1518</v>
      </c>
      <c r="D68" s="1068" t="s">
        <v>1519</v>
      </c>
      <c r="E68" s="1139">
        <v>0.2</v>
      </c>
      <c r="F68" s="1154">
        <v>30</v>
      </c>
    </row>
    <row r="69" spans="1:6" s="1105" customFormat="1" ht="36">
      <c r="A69" s="1154">
        <v>9</v>
      </c>
      <c r="B69" s="4241"/>
      <c r="C69" s="1068" t="s">
        <v>1520</v>
      </c>
      <c r="D69" s="1068" t="s">
        <v>1521</v>
      </c>
      <c r="E69" s="1139">
        <v>0.2</v>
      </c>
      <c r="F69" s="1154">
        <v>30</v>
      </c>
    </row>
    <row r="70" spans="1:6" s="1105" customFormat="1" ht="48">
      <c r="A70" s="1154">
        <v>10</v>
      </c>
      <c r="B70" s="4241"/>
      <c r="C70" s="1068" t="s">
        <v>1522</v>
      </c>
      <c r="D70" s="1068" t="s">
        <v>1523</v>
      </c>
      <c r="E70" s="1139">
        <v>0.2</v>
      </c>
      <c r="F70" s="1154">
        <v>30</v>
      </c>
    </row>
    <row r="71" spans="1:6" s="1105" customFormat="1" ht="48">
      <c r="A71" s="1154">
        <v>11</v>
      </c>
      <c r="B71" s="4241"/>
      <c r="C71" s="1068" t="s">
        <v>1524</v>
      </c>
      <c r="D71" s="1068" t="s">
        <v>1525</v>
      </c>
      <c r="E71" s="1139">
        <v>0.2</v>
      </c>
      <c r="F71" s="1154">
        <v>30</v>
      </c>
    </row>
    <row r="72" spans="1:6" s="1105" customFormat="1" ht="36">
      <c r="A72" s="1154">
        <v>12</v>
      </c>
      <c r="B72" s="4241"/>
      <c r="C72" s="1068" t="s">
        <v>1526</v>
      </c>
      <c r="D72" s="1068" t="s">
        <v>1527</v>
      </c>
      <c r="E72" s="1139">
        <v>0.5</v>
      </c>
      <c r="F72" s="1154">
        <v>80</v>
      </c>
    </row>
    <row r="73" spans="1:6" s="1105" customFormat="1" ht="24">
      <c r="A73" s="1154">
        <v>13</v>
      </c>
      <c r="B73" s="4241"/>
      <c r="C73" s="1068" t="s">
        <v>1528</v>
      </c>
      <c r="D73" s="1068" t="s">
        <v>1529</v>
      </c>
      <c r="E73" s="1139">
        <v>0.4</v>
      </c>
      <c r="F73" s="1154">
        <v>60</v>
      </c>
    </row>
    <row r="74" spans="1:6" s="1105" customFormat="1" ht="24">
      <c r="A74" s="1154">
        <v>14</v>
      </c>
      <c r="B74" s="4241"/>
      <c r="C74" s="1068" t="s">
        <v>1530</v>
      </c>
      <c r="D74" s="1068" t="s">
        <v>1531</v>
      </c>
      <c r="E74" s="1139">
        <v>0.2</v>
      </c>
      <c r="F74" s="1154">
        <v>30</v>
      </c>
    </row>
    <row r="75" spans="1:6" s="1105" customFormat="1" ht="24">
      <c r="A75" s="1154">
        <v>15</v>
      </c>
      <c r="B75" s="4241"/>
      <c r="C75" s="1068" t="s">
        <v>1532</v>
      </c>
      <c r="D75" s="1068" t="s">
        <v>1533</v>
      </c>
      <c r="E75" s="1139">
        <v>0.2</v>
      </c>
      <c r="F75" s="1154">
        <v>30</v>
      </c>
    </row>
    <row r="76" spans="1:6" s="1105" customFormat="1" ht="24">
      <c r="A76" s="1154">
        <v>16</v>
      </c>
      <c r="B76" s="4241" t="s">
        <v>1534</v>
      </c>
      <c r="C76" s="1068" t="s">
        <v>1535</v>
      </c>
      <c r="D76" s="1068" t="s">
        <v>1536</v>
      </c>
      <c r="E76" s="1139">
        <v>0.5</v>
      </c>
      <c r="F76" s="1154">
        <v>80</v>
      </c>
    </row>
    <row r="77" spans="1:6" s="1105" customFormat="1" ht="24">
      <c r="A77" s="1154">
        <v>17</v>
      </c>
      <c r="B77" s="4241"/>
      <c r="C77" s="1068" t="s">
        <v>1537</v>
      </c>
      <c r="D77" s="1068" t="s">
        <v>1538</v>
      </c>
      <c r="E77" s="1139">
        <v>0.5</v>
      </c>
      <c r="F77" s="1154">
        <v>80</v>
      </c>
    </row>
    <row r="78" spans="1:6" s="1105" customFormat="1" ht="24">
      <c r="A78" s="1154">
        <v>18</v>
      </c>
      <c r="B78" s="4241"/>
      <c r="C78" s="1068" t="s">
        <v>1539</v>
      </c>
      <c r="D78" s="1068" t="s">
        <v>1540</v>
      </c>
      <c r="E78" s="1139">
        <v>0.2</v>
      </c>
      <c r="F78" s="1154">
        <v>30</v>
      </c>
    </row>
    <row r="79" spans="1:6" s="1105" customFormat="1" ht="24">
      <c r="A79" s="1154">
        <v>19</v>
      </c>
      <c r="B79" s="4241"/>
      <c r="C79" s="1068" t="s">
        <v>1541</v>
      </c>
      <c r="D79" s="1068" t="s">
        <v>1542</v>
      </c>
      <c r="E79" s="1139">
        <v>0.5</v>
      </c>
      <c r="F79" s="1154">
        <v>80</v>
      </c>
    </row>
    <row r="80" spans="1:6" s="1105" customFormat="1" ht="36">
      <c r="A80" s="1154">
        <v>20</v>
      </c>
      <c r="B80" s="4241"/>
      <c r="C80" s="1068" t="s">
        <v>1543</v>
      </c>
      <c r="D80" s="1068" t="s">
        <v>1544</v>
      </c>
      <c r="E80" s="1139">
        <v>0.2</v>
      </c>
      <c r="F80" s="1154">
        <v>30</v>
      </c>
    </row>
    <row r="81" spans="1:6" s="1105" customFormat="1" ht="36">
      <c r="A81" s="1154">
        <v>21</v>
      </c>
      <c r="B81" s="4241"/>
      <c r="C81" s="1068" t="s">
        <v>1545</v>
      </c>
      <c r="D81" s="1068" t="s">
        <v>1546</v>
      </c>
      <c r="E81" s="1139">
        <v>0.2</v>
      </c>
      <c r="F81" s="1154">
        <v>30</v>
      </c>
    </row>
    <row r="82" spans="1:6" s="1105" customFormat="1" ht="48">
      <c r="A82" s="1154">
        <v>22</v>
      </c>
      <c r="B82" s="4241"/>
      <c r="C82" s="1068" t="s">
        <v>1547</v>
      </c>
      <c r="D82" s="1068" t="s">
        <v>1548</v>
      </c>
      <c r="E82" s="1139">
        <v>0.2</v>
      </c>
      <c r="F82" s="1154">
        <v>30</v>
      </c>
    </row>
    <row r="83" spans="1:6" s="1105" customFormat="1" ht="48">
      <c r="A83" s="1154">
        <v>23</v>
      </c>
      <c r="B83" s="4241"/>
      <c r="C83" s="1068" t="s">
        <v>1549</v>
      </c>
      <c r="D83" s="1068" t="s">
        <v>1550</v>
      </c>
      <c r="E83" s="1139">
        <v>0.2</v>
      </c>
      <c r="F83" s="1154">
        <v>30</v>
      </c>
    </row>
    <row r="84" spans="1:6" s="1105" customFormat="1" ht="36">
      <c r="A84" s="1154">
        <v>24</v>
      </c>
      <c r="B84" s="4241"/>
      <c r="C84" s="1068" t="s">
        <v>1551</v>
      </c>
      <c r="D84" s="1068" t="s">
        <v>1552</v>
      </c>
      <c r="E84" s="1139">
        <v>0.2</v>
      </c>
      <c r="F84" s="1154">
        <v>30</v>
      </c>
    </row>
    <row r="85" spans="1:6" s="1105" customFormat="1" ht="36">
      <c r="A85" s="1154">
        <v>25</v>
      </c>
      <c r="B85" s="4241"/>
      <c r="C85" s="1068" t="s">
        <v>1553</v>
      </c>
      <c r="D85" s="1068" t="s">
        <v>1554</v>
      </c>
      <c r="E85" s="1139">
        <v>0.5</v>
      </c>
      <c r="F85" s="1154">
        <v>80</v>
      </c>
    </row>
    <row r="86" spans="1:6" s="1105" customFormat="1" ht="36">
      <c r="A86" s="1154">
        <v>26</v>
      </c>
      <c r="B86" s="4241"/>
      <c r="C86" s="1068" t="s">
        <v>1555</v>
      </c>
      <c r="D86" s="1068" t="s">
        <v>1556</v>
      </c>
      <c r="E86" s="1139">
        <v>0.2</v>
      </c>
      <c r="F86" s="1154">
        <v>30</v>
      </c>
    </row>
    <row r="87" spans="1:6" s="1105" customFormat="1" ht="36">
      <c r="A87" s="1154">
        <v>27</v>
      </c>
      <c r="B87" s="4241"/>
      <c r="C87" s="1068" t="s">
        <v>1557</v>
      </c>
      <c r="D87" s="1068" t="s">
        <v>1558</v>
      </c>
      <c r="E87" s="1139">
        <v>0.2</v>
      </c>
      <c r="F87" s="1154">
        <v>30</v>
      </c>
    </row>
    <row r="88" spans="1:6" s="1105" customFormat="1" ht="36">
      <c r="A88" s="1154">
        <v>28</v>
      </c>
      <c r="B88" s="4241"/>
      <c r="C88" s="1068" t="s">
        <v>1559</v>
      </c>
      <c r="D88" s="1068" t="s">
        <v>1560</v>
      </c>
      <c r="E88" s="1139">
        <v>0.2</v>
      </c>
      <c r="F88" s="1154">
        <v>30</v>
      </c>
    </row>
    <row r="89" spans="1:6" s="1105" customFormat="1" ht="24">
      <c r="A89" s="1154">
        <v>29</v>
      </c>
      <c r="B89" s="4241"/>
      <c r="C89" s="1068" t="s">
        <v>1561</v>
      </c>
      <c r="D89" s="1068" t="s">
        <v>1562</v>
      </c>
      <c r="E89" s="1139">
        <v>0.2</v>
      </c>
      <c r="F89" s="1154">
        <v>30</v>
      </c>
    </row>
    <row r="90" spans="1:6" s="1105" customFormat="1" ht="24">
      <c r="A90" s="1154">
        <v>30</v>
      </c>
      <c r="B90" s="4241"/>
      <c r="C90" s="1068" t="s">
        <v>1563</v>
      </c>
      <c r="D90" s="1068" t="s">
        <v>1564</v>
      </c>
      <c r="E90" s="1139">
        <v>0.2</v>
      </c>
      <c r="F90" s="1154">
        <v>30</v>
      </c>
    </row>
    <row r="91" spans="1:6" s="1105" customFormat="1" ht="36">
      <c r="A91" s="1154">
        <v>31</v>
      </c>
      <c r="B91" s="4241"/>
      <c r="C91" s="1068" t="s">
        <v>1565</v>
      </c>
      <c r="D91" s="1068" t="s">
        <v>1566</v>
      </c>
      <c r="E91" s="1139">
        <v>0.2</v>
      </c>
      <c r="F91" s="1154">
        <v>30</v>
      </c>
    </row>
    <row r="92" spans="1:6" s="1105" customFormat="1" ht="24">
      <c r="A92" s="1154">
        <v>32</v>
      </c>
      <c r="B92" s="4241" t="s">
        <v>1567</v>
      </c>
      <c r="C92" s="1154" t="s">
        <v>1568</v>
      </c>
      <c r="D92" s="1068" t="s">
        <v>1569</v>
      </c>
      <c r="E92" s="1139">
        <v>0.2</v>
      </c>
      <c r="F92" s="1154">
        <v>30</v>
      </c>
    </row>
    <row r="93" spans="1:6" s="1105" customFormat="1" ht="36">
      <c r="A93" s="1154">
        <v>33</v>
      </c>
      <c r="B93" s="4241"/>
      <c r="C93" s="1154" t="s">
        <v>1570</v>
      </c>
      <c r="D93" s="1068" t="s">
        <v>1571</v>
      </c>
      <c r="E93" s="1139">
        <v>0.2</v>
      </c>
      <c r="F93" s="1154">
        <v>30</v>
      </c>
    </row>
    <row r="94" spans="1:6" s="1105" customFormat="1" ht="48">
      <c r="A94" s="1154">
        <v>34</v>
      </c>
      <c r="B94" s="4241"/>
      <c r="C94" s="1154" t="s">
        <v>1572</v>
      </c>
      <c r="D94" s="1068" t="s">
        <v>1573</v>
      </c>
      <c r="E94" s="1139">
        <v>0.2</v>
      </c>
      <c r="F94" s="1154">
        <v>30</v>
      </c>
    </row>
    <row r="95" spans="1:6" s="1105" customFormat="1" ht="36">
      <c r="A95" s="1154">
        <v>35</v>
      </c>
      <c r="B95" s="4241"/>
      <c r="C95" s="1154" t="s">
        <v>1574</v>
      </c>
      <c r="D95" s="1068" t="s">
        <v>1575</v>
      </c>
      <c r="E95" s="1139">
        <v>0.2</v>
      </c>
      <c r="F95" s="1154">
        <v>30</v>
      </c>
    </row>
    <row r="96" spans="1:6" s="1105" customFormat="1" ht="48">
      <c r="A96" s="1154">
        <v>36</v>
      </c>
      <c r="B96" s="4241"/>
      <c r="C96" s="1068" t="s">
        <v>1576</v>
      </c>
      <c r="D96" s="1068" t="s">
        <v>1577</v>
      </c>
      <c r="E96" s="1139">
        <v>0.2</v>
      </c>
      <c r="F96" s="1154">
        <v>30</v>
      </c>
    </row>
    <row r="97" spans="1:6" s="1105" customFormat="1" ht="36">
      <c r="A97" s="1154">
        <v>37</v>
      </c>
      <c r="B97" s="4241"/>
      <c r="C97" s="1154" t="s">
        <v>1578</v>
      </c>
      <c r="D97" s="1068" t="s">
        <v>1579</v>
      </c>
      <c r="E97" s="1139">
        <v>0.2</v>
      </c>
      <c r="F97" s="1154">
        <v>30</v>
      </c>
    </row>
    <row r="98" spans="1:6" s="1105" customFormat="1" ht="36">
      <c r="A98" s="1154">
        <v>38</v>
      </c>
      <c r="B98" s="4241"/>
      <c r="C98" s="1154" t="s">
        <v>1580</v>
      </c>
      <c r="D98" s="1068" t="s">
        <v>1581</v>
      </c>
      <c r="E98" s="1139">
        <v>0.2</v>
      </c>
      <c r="F98" s="1154">
        <v>30</v>
      </c>
    </row>
    <row r="99" spans="1:6" s="1105" customFormat="1" ht="36">
      <c r="A99" s="1154">
        <v>39</v>
      </c>
      <c r="B99" s="4241" t="s">
        <v>1582</v>
      </c>
      <c r="C99" s="1154" t="s">
        <v>1583</v>
      </c>
      <c r="D99" s="1068" t="s">
        <v>1584</v>
      </c>
      <c r="E99" s="1139">
        <v>0.3</v>
      </c>
      <c r="F99" s="1154">
        <v>50</v>
      </c>
    </row>
    <row r="100" spans="1:6" s="1105" customFormat="1" ht="24">
      <c r="A100" s="1154">
        <v>40</v>
      </c>
      <c r="B100" s="4241"/>
      <c r="C100" s="1154" t="s">
        <v>1585</v>
      </c>
      <c r="D100" s="1068" t="s">
        <v>1586</v>
      </c>
      <c r="E100" s="1139">
        <v>0.2</v>
      </c>
      <c r="F100" s="1154">
        <v>30</v>
      </c>
    </row>
    <row r="101" spans="1:6" s="1105" customFormat="1" ht="36">
      <c r="A101" s="1154">
        <v>41</v>
      </c>
      <c r="B101" s="424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4241" t="s">
        <v>1597</v>
      </c>
      <c r="C105" s="1154" t="s">
        <v>1598</v>
      </c>
      <c r="D105" s="1068" t="s">
        <v>1599</v>
      </c>
      <c r="E105" s="1139">
        <v>0.2</v>
      </c>
      <c r="F105" s="1154">
        <v>30</v>
      </c>
    </row>
    <row r="106" spans="1:6" s="1105" customFormat="1" ht="36">
      <c r="A106" s="1154">
        <v>46</v>
      </c>
      <c r="B106" s="4241"/>
      <c r="C106" s="1154" t="s">
        <v>1600</v>
      </c>
      <c r="D106" s="1068" t="s">
        <v>1601</v>
      </c>
      <c r="E106" s="1139">
        <v>0.2</v>
      </c>
      <c r="F106" s="1154">
        <v>30</v>
      </c>
    </row>
    <row r="107" spans="1:6" s="1105" customFormat="1" ht="36">
      <c r="A107" s="1154">
        <v>47</v>
      </c>
      <c r="B107" s="4241" t="s">
        <v>1602</v>
      </c>
      <c r="C107" s="1154" t="s">
        <v>1603</v>
      </c>
      <c r="D107" s="1068" t="s">
        <v>1604</v>
      </c>
      <c r="E107" s="1139">
        <v>0.3</v>
      </c>
      <c r="F107" s="1154">
        <v>50</v>
      </c>
    </row>
    <row r="108" spans="1:6" s="1105" customFormat="1" ht="36">
      <c r="A108" s="1154">
        <v>48</v>
      </c>
      <c r="B108" s="424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4241" t="s">
        <v>1613</v>
      </c>
      <c r="C111" s="1154" t="s">
        <v>1614</v>
      </c>
      <c r="D111" s="1068" t="s">
        <v>1615</v>
      </c>
      <c r="E111" s="1139">
        <v>0.2</v>
      </c>
      <c r="F111" s="1154">
        <v>30</v>
      </c>
    </row>
    <row r="112" spans="1:6" s="1105" customFormat="1" ht="24">
      <c r="A112" s="1154">
        <v>52</v>
      </c>
      <c r="B112" s="4241"/>
      <c r="C112" s="1154" t="s">
        <v>1616</v>
      </c>
      <c r="D112" s="1068" t="s">
        <v>1617</v>
      </c>
      <c r="E112" s="1139">
        <v>0.2</v>
      </c>
      <c r="F112" s="1154">
        <v>30</v>
      </c>
    </row>
    <row r="113" spans="1:14" s="1105" customFormat="1" ht="24">
      <c r="A113" s="1154">
        <v>53</v>
      </c>
      <c r="B113" s="424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4241" t="s">
        <v>1626</v>
      </c>
      <c r="C116" s="1154" t="s">
        <v>1627</v>
      </c>
      <c r="D116" s="1068" t="s">
        <v>1628</v>
      </c>
      <c r="E116" s="1139">
        <v>0.2</v>
      </c>
      <c r="F116" s="1154">
        <v>30</v>
      </c>
    </row>
    <row r="117" spans="1:14" ht="36">
      <c r="A117" s="1154">
        <v>57</v>
      </c>
      <c r="B117" s="424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4240" t="s">
        <v>1635</v>
      </c>
      <c r="B121" s="4240"/>
      <c r="C121" s="4240"/>
      <c r="D121" s="4240"/>
      <c r="E121" s="4240"/>
      <c r="F121" s="4240"/>
      <c r="G121" s="4240"/>
      <c r="H121" s="4240"/>
      <c r="I121" s="4240"/>
      <c r="J121" s="424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4253" t="s">
        <v>1041</v>
      </c>
      <c r="B1" s="4253"/>
      <c r="C1" s="4253"/>
      <c r="D1" s="4253"/>
      <c r="E1" s="4253"/>
      <c r="F1" s="4253"/>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4254" t="s">
        <v>1054</v>
      </c>
      <c r="B2" s="4254"/>
      <c r="C2" s="4254"/>
      <c r="D2" s="4254"/>
      <c r="E2" s="4254"/>
      <c r="F2" s="4254"/>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4255"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4256"/>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2426</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2427</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4257" t="s">
        <v>2082</v>
      </c>
      <c r="B1" s="4257"/>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湖南金光华暮云房地产开发有限公司：</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金光华暮云房地产开发有限公司使用的、位于出让国有建设用地使用权。根据，估价对象（分摊）出让国有建设用地使用权面积为70761平方米。根据《国有建设用地使用权出让合同》[电子监管号：4301212017B00548/4301212017B00550]，估价对象规划建筑面积为183978.6平方米。</v>
      </c>
    </row>
    <row r="7" spans="1:4" ht="56.25">
      <c r="A7" s="1797" t="s">
        <v>2755</v>
      </c>
    </row>
    <row r="8" spans="1:4" ht="18.75">
      <c r="A8" s="1796" t="s">
        <v>1908</v>
      </c>
    </row>
    <row r="9" spans="1:4" ht="75">
      <c r="A9" s="1798" t="str">
        <f>IF(项目基本情况!B8="抵押",IF(项目基本情况!B5=项目基本情况!B6,定义!C51,定义!B51),定义!D51)</f>
        <v>委托估价方在向金融机构（大业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2017年7月24日（评估专业人员勘察现场之日）</v>
      </c>
    </row>
    <row r="12" spans="1:4" ht="18.75">
      <c r="A12" s="1799" t="s">
        <v>2028</v>
      </c>
    </row>
    <row r="13" spans="1:4" ht="18.75">
      <c r="A13" s="1793" t="s">
        <v>2948</v>
      </c>
    </row>
    <row r="14" spans="1:4" ht="37.5">
      <c r="A14" s="1793" t="str">
        <f>"根据"&amp;项目基本情况!F12&amp;"，本次评估估价对象证载（地类）用途为"&amp;项目基本情况!B12&amp;"。"</f>
        <v>根据《国有土地使用证》[]，本次评估估价对象证载（地类）用途为住宅、商业。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根据委托估价方介绍及评估专业人员现场勘查，本次评估估价对象实际土地开发程度为红线外市政基础设施达“七通”（即通路、通电、通讯、、、、）、宗地红线内场地未平整，。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根据，估价对象（分摊）出让国有建设用地使用权面积为70761平方米。根据《国有建设用地使用权出让合同》[电子监管号：4301212017B00548/4301212017B00550]，估价对象规划建筑面积为183978.6平方米。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本次估价对象为出让国有建设用地使用权，《国有土地使用证》[]证载土地终止日期为住宅2087年12月29日、商业2057年12月29日。截至估价期日，出让国有建设用地使用权剩余土地使用年限为住宅70年、商业50年。</v>
      </c>
    </row>
    <row r="23" spans="1:1" ht="18.75">
      <c r="A23" s="1793" t="str">
        <f>IF(项目基本情况!B16="出让","本次评估设定估价对象剩余土地使用年限为"&amp;项目基本情况!D20&amp;"。","")</f>
        <v>本次评估设定估价对象剩余土地使用年限为住宅70年、商业50年。</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7月24日，在规划利用条件下、设定土地开发程度为红线外“七通”、宗地内场地平整，设定用途为住宅、商业，剩余土地使用年限为住宅70年、商业50年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9" sqref="C129:F13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2957</v>
      </c>
      <c r="B1" s="3136"/>
      <c r="C1" s="3136"/>
      <c r="D1" s="3136"/>
      <c r="E1" s="3136"/>
      <c r="F1" s="3136"/>
    </row>
    <row r="2" spans="1:6" ht="14.25">
      <c r="A2" s="3137" t="s">
        <v>2951</v>
      </c>
      <c r="B2" s="3138" t="e">
        <f ca="1">SUMIF(B7:B14,"&lt;&gt;#ref!",B7:B14)</f>
        <v>#DIV/0!</v>
      </c>
      <c r="C2" s="3137" t="s">
        <v>2952</v>
      </c>
      <c r="D2" s="3136"/>
      <c r="E2" s="3136"/>
      <c r="F2" s="3136"/>
    </row>
    <row r="3" spans="1:6" ht="14.25">
      <c r="A3" s="3137" t="s">
        <v>2954</v>
      </c>
      <c r="B3" s="3138" t="e">
        <f ca="1">ROUND(B2*10000/E3,0)</f>
        <v>#DIV/0!</v>
      </c>
      <c r="C3" s="3137" t="s">
        <v>2081</v>
      </c>
      <c r="D3" s="3137" t="s">
        <v>2953</v>
      </c>
      <c r="E3" s="3138" t="e">
        <f ca="1">SUM(E7:E14)</f>
        <v>#REF!</v>
      </c>
      <c r="F3" s="3136"/>
    </row>
    <row r="4" spans="1:6" ht="14.25">
      <c r="A4" s="3137" t="s">
        <v>2961</v>
      </c>
      <c r="B4" s="3138" t="e">
        <f ca="1">ROUND(B2*10000/E4,0)</f>
        <v>#DIV/0!</v>
      </c>
      <c r="C4" s="3137" t="s">
        <v>2081</v>
      </c>
      <c r="D4" s="3137" t="s">
        <v>2962</v>
      </c>
      <c r="E4" s="3138" t="e">
        <f ca="1">SUM(F7:F14)</f>
        <v>#REF!</v>
      </c>
      <c r="F4" s="3136"/>
    </row>
    <row r="5" spans="1:6" ht="14.25">
      <c r="A5" s="3139"/>
      <c r="B5" s="1883"/>
      <c r="C5" s="1883"/>
      <c r="D5" s="1883"/>
      <c r="E5" s="1883"/>
      <c r="F5" s="3136"/>
    </row>
    <row r="6" spans="1:6" ht="28.5">
      <c r="A6" s="3140" t="s">
        <v>2958</v>
      </c>
      <c r="B6" s="3137" t="s">
        <v>2955</v>
      </c>
      <c r="C6" s="3138"/>
      <c r="D6" s="1883"/>
      <c r="E6" s="3137" t="s">
        <v>2956</v>
      </c>
      <c r="F6" s="3137" t="s">
        <v>2960</v>
      </c>
    </row>
    <row r="7" spans="1:6" ht="14.25">
      <c r="A7" s="260" t="s">
        <v>2959</v>
      </c>
      <c r="B7" s="3141" t="e">
        <f ca="1">SUMIF(INDIRECT("'"&amp;A7&amp;"'"&amp;"!A:A"),"总价",INDIRECT("'"&amp;A7&amp;"'"&amp;"!B:B"))</f>
        <v>#DIV/0!</v>
      </c>
      <c r="C7" s="3137" t="s">
        <v>2952</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2952</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2952</v>
      </c>
      <c r="D9" s="1883"/>
      <c r="E9" s="3142" t="e">
        <f t="shared" ca="1" si="1"/>
        <v>#REF!</v>
      </c>
      <c r="F9" s="3142" t="e">
        <f t="shared" ca="1" si="2"/>
        <v>#REF!</v>
      </c>
    </row>
    <row r="10" spans="1:6" ht="14.25">
      <c r="A10" s="260"/>
      <c r="B10" s="3141" t="e">
        <f t="shared" ca="1" si="0"/>
        <v>#REF!</v>
      </c>
      <c r="C10" s="3137" t="s">
        <v>2952</v>
      </c>
      <c r="D10" s="1883"/>
      <c r="E10" s="3142" t="e">
        <f t="shared" ca="1" si="1"/>
        <v>#REF!</v>
      </c>
      <c r="F10" s="3142" t="e">
        <f t="shared" ca="1" si="2"/>
        <v>#REF!</v>
      </c>
    </row>
    <row r="11" spans="1:6" ht="14.25">
      <c r="A11" s="260"/>
      <c r="B11" s="3141" t="e">
        <f t="shared" ca="1" si="0"/>
        <v>#REF!</v>
      </c>
      <c r="C11" s="3137" t="s">
        <v>2952</v>
      </c>
      <c r="D11" s="1883"/>
      <c r="E11" s="3142" t="e">
        <f t="shared" ca="1" si="1"/>
        <v>#REF!</v>
      </c>
      <c r="F11" s="3142" t="e">
        <f t="shared" ca="1" si="2"/>
        <v>#REF!</v>
      </c>
    </row>
    <row r="12" spans="1:6" ht="14.25">
      <c r="A12" s="260"/>
      <c r="B12" s="3141" t="e">
        <f t="shared" ca="1" si="0"/>
        <v>#REF!</v>
      </c>
      <c r="C12" s="3137" t="s">
        <v>2952</v>
      </c>
      <c r="D12" s="1883"/>
      <c r="E12" s="3142" t="e">
        <f t="shared" ca="1" si="1"/>
        <v>#REF!</v>
      </c>
      <c r="F12" s="3142" t="e">
        <f t="shared" ca="1" si="2"/>
        <v>#REF!</v>
      </c>
    </row>
    <row r="13" spans="1:6" ht="14.25">
      <c r="A13" s="260"/>
      <c r="B13" s="3141" t="e">
        <f t="shared" ca="1" si="0"/>
        <v>#REF!</v>
      </c>
      <c r="C13" s="3137" t="s">
        <v>2952</v>
      </c>
      <c r="D13" s="1883"/>
      <c r="E13" s="3142" t="e">
        <f t="shared" ca="1" si="1"/>
        <v>#REF!</v>
      </c>
      <c r="F13" s="3142" t="e">
        <f t="shared" ca="1" si="2"/>
        <v>#REF!</v>
      </c>
    </row>
    <row r="14" spans="1:6" ht="14.25">
      <c r="A14" s="3135"/>
      <c r="B14" s="3141" t="e">
        <f t="shared" ca="1" si="0"/>
        <v>#REF!</v>
      </c>
      <c r="C14" s="3137" t="s">
        <v>2952</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29" sqref="C129:F13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2378</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2463</v>
      </c>
      <c r="C7" s="53">
        <f ca="1">C8+C12+C14</f>
        <v>0</v>
      </c>
      <c r="D7" s="2522" t="s">
        <v>2466</v>
      </c>
      <c r="E7" s="2516"/>
      <c r="F7" s="2517"/>
      <c r="G7" s="1593"/>
      <c r="H7" s="781">
        <v>1</v>
      </c>
      <c r="I7" s="782" t="s">
        <v>2463</v>
      </c>
      <c r="J7" s="53">
        <f ca="1">J8+J12+J14</f>
        <v>0</v>
      </c>
      <c r="K7" s="2522" t="s">
        <v>2466</v>
      </c>
      <c r="L7" s="2516"/>
      <c r="M7" s="2517"/>
    </row>
    <row r="8" spans="1:25" ht="18" customHeight="1">
      <c r="A8" s="1832" t="s">
        <v>1826</v>
      </c>
      <c r="B8" s="4259" t="s">
        <v>2468</v>
      </c>
      <c r="C8" s="1827">
        <f ca="1">ROUND(F8*F10*F9*(1-F11)/10000,0)</f>
        <v>0</v>
      </c>
      <c r="D8" s="1824" t="s">
        <v>2540</v>
      </c>
      <c r="E8" s="61" t="s">
        <v>638</v>
      </c>
      <c r="F8" s="785">
        <f ca="1">INDIRECT("'数据-取费表'!u"&amp;$G$1)</f>
        <v>0</v>
      </c>
      <c r="G8" s="1593"/>
      <c r="H8" s="2530" t="s">
        <v>1826</v>
      </c>
      <c r="I8" s="4259" t="s">
        <v>2468</v>
      </c>
      <c r="J8" s="783">
        <f ca="1">ROUND(M8*M10*M9*(1-M11)/10000,0)</f>
        <v>0</v>
      </c>
      <c r="K8" s="341" t="s">
        <v>2540</v>
      </c>
      <c r="L8" s="784" t="s">
        <v>1740</v>
      </c>
      <c r="M8" s="785">
        <f ca="1">INDIRECT("'数据-取费表'!z"&amp;$G$1)</f>
        <v>0</v>
      </c>
    </row>
    <row r="9" spans="1:25" ht="18" customHeight="1">
      <c r="A9" s="2526"/>
      <c r="B9" s="4260"/>
      <c r="C9" s="1828"/>
      <c r="D9" s="1825"/>
      <c r="E9" s="61" t="s">
        <v>639</v>
      </c>
      <c r="F9" s="785">
        <f ca="1">IF(INDIRECT("'数据-取费表'!ah"&amp;$G$1)="",INDIRECT("'数据-取费表'!k"&amp;$G$1),INDIRECT("'数据-取费表'!ah"&amp;$G$1))</f>
        <v>0</v>
      </c>
      <c r="G9" s="1593"/>
      <c r="H9" s="2515"/>
      <c r="I9" s="4260"/>
      <c r="J9" s="788"/>
      <c r="K9" s="789"/>
      <c r="L9" s="784" t="s">
        <v>1741</v>
      </c>
      <c r="M9" s="785">
        <f ca="1">F9</f>
        <v>0</v>
      </c>
    </row>
    <row r="10" spans="1:25" ht="18" customHeight="1">
      <c r="A10" s="2519"/>
      <c r="B10" s="4261"/>
      <c r="C10" s="1828"/>
      <c r="D10" s="1825"/>
      <c r="E10" s="61" t="s">
        <v>640</v>
      </c>
      <c r="F10" s="785">
        <f ca="1">INDIRECT("'数据-取费表'!ai"&amp;$G$1)</f>
        <v>0</v>
      </c>
      <c r="G10" s="1593"/>
      <c r="H10" s="2515"/>
      <c r="I10" s="4261"/>
      <c r="J10" s="788"/>
      <c r="K10" s="789"/>
      <c r="L10" s="784" t="s">
        <v>1742</v>
      </c>
      <c r="M10" s="785">
        <f ca="1">INDIRECT("'数据-取费表'!ai"&amp;$G$1)</f>
        <v>0</v>
      </c>
    </row>
    <row r="11" spans="1:25" ht="18" customHeight="1">
      <c r="A11" s="786"/>
      <c r="B11" s="4262"/>
      <c r="C11" s="1828"/>
      <c r="D11" s="1825"/>
      <c r="E11" s="61" t="s">
        <v>641</v>
      </c>
      <c r="F11" s="794">
        <f ca="1">INDIRECT("'数据-取费表'!w"&amp;$G$1)</f>
        <v>0</v>
      </c>
      <c r="G11" s="1593"/>
      <c r="H11" s="2531"/>
      <c r="I11" s="4261"/>
      <c r="J11" s="788"/>
      <c r="K11" s="789"/>
      <c r="L11" s="795" t="s">
        <v>1743</v>
      </c>
      <c r="M11" s="796">
        <f ca="1">INDIRECT("'数据-取费表'!ab"&amp;$G$1)</f>
        <v>0</v>
      </c>
    </row>
    <row r="12" spans="1:25" ht="18" customHeight="1">
      <c r="A12" s="1832" t="s">
        <v>1827</v>
      </c>
      <c r="B12" s="2520" t="s">
        <v>2464</v>
      </c>
      <c r="C12" s="799">
        <f ca="1">ROUND(IF(F12="押一",F8*F10*F9/12*F13,IF(F12="押二",F8*F10*F9/12*2*F13,IF(F12="押三",F8*F10*F9/12*3*F13,C13*F13)))/10000,0)</f>
        <v>0</v>
      </c>
      <c r="D12" s="2527" t="s">
        <v>2471</v>
      </c>
      <c r="E12" s="2524" t="s">
        <v>2469</v>
      </c>
      <c r="F12" s="2647"/>
      <c r="G12" s="1593"/>
      <c r="H12" s="2587" t="s">
        <v>1827</v>
      </c>
      <c r="I12" s="2592" t="s">
        <v>2464</v>
      </c>
      <c r="J12" s="783">
        <f ca="1">ROUND(IF(M12="押一",M8*M10*M9/12*M13,IF(M12="押二",M8*M10*M9/12*2*M13,IF(M12="押三",M8*M10*M9/12*3*M13,J13*M13)))/10000,0)</f>
        <v>0</v>
      </c>
      <c r="K12" s="2527" t="s">
        <v>2471</v>
      </c>
      <c r="L12" s="2524" t="s">
        <v>2469</v>
      </c>
      <c r="M12" s="2647"/>
    </row>
    <row r="13" spans="1:25" ht="18" customHeight="1">
      <c r="A13" s="790"/>
      <c r="B13" s="2521" t="s">
        <v>2579</v>
      </c>
      <c r="C13" s="2525"/>
      <c r="D13" s="789"/>
      <c r="E13" s="2524" t="s">
        <v>2461</v>
      </c>
      <c r="F13" s="796">
        <f ca="1">'数据-取费表'!B39</f>
        <v>1.4999999999999999E-2</v>
      </c>
      <c r="G13" s="1593"/>
      <c r="H13" s="2588"/>
      <c r="I13" s="2521" t="s">
        <v>2579</v>
      </c>
      <c r="J13" s="2525"/>
      <c r="K13" s="2589"/>
      <c r="L13" s="2524" t="s">
        <v>2461</v>
      </c>
      <c r="M13" s="2518">
        <f ca="1">'数据-取费表'!B39</f>
        <v>1.4999999999999999E-2</v>
      </c>
    </row>
    <row r="14" spans="1:25" ht="18" customHeight="1" thickBot="1">
      <c r="A14" s="2563" t="s">
        <v>2473</v>
      </c>
      <c r="B14" s="2564" t="s">
        <v>2465</v>
      </c>
      <c r="C14" s="2565"/>
      <c r="D14" s="2566"/>
      <c r="E14" s="2567"/>
      <c r="F14" s="2568"/>
      <c r="G14" s="1593"/>
      <c r="H14" s="2577" t="s">
        <v>2473</v>
      </c>
      <c r="I14" s="2590" t="s">
        <v>2465</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2072</v>
      </c>
      <c r="I16" s="2233" t="s">
        <v>2833</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2073</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150</v>
      </c>
      <c r="G19" s="1594"/>
      <c r="H19" s="803" t="s">
        <v>2072</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8</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2073</v>
      </c>
      <c r="I24" s="784" t="s">
        <v>677</v>
      </c>
      <c r="J24" s="53">
        <f ca="1">ROUND(J16*M24,0)</f>
        <v>0</v>
      </c>
      <c r="K24" s="1979" t="s">
        <v>678</v>
      </c>
      <c r="L24" s="784" t="s">
        <v>650</v>
      </c>
      <c r="M24" s="817">
        <f ca="1">INDIRECT("'数据-取费表'!Ak"&amp;$G$1)</f>
        <v>0</v>
      </c>
    </row>
    <row r="25" spans="1:25" s="2066" customFormat="1" ht="18" customHeight="1">
      <c r="A25" s="803" t="s">
        <v>1877</v>
      </c>
      <c r="B25" s="784" t="s">
        <v>2441</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1.4E-3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8" t="s">
        <v>2830</v>
      </c>
      <c r="J27" s="799">
        <f ca="1">J7-J18</f>
        <v>0</v>
      </c>
      <c r="K27" s="1981" t="s">
        <v>701</v>
      </c>
      <c r="L27" s="1983"/>
      <c r="M27" s="820"/>
    </row>
    <row r="28" spans="1:25" ht="18" customHeight="1">
      <c r="A28" s="803" t="s">
        <v>1877</v>
      </c>
      <c r="B28" s="784" t="s">
        <v>2442</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2831</v>
      </c>
      <c r="C31" s="2570">
        <f ca="1">ROUND((C21+C22+C25+C28)/(1-F23-C26-C29-C30),0)</f>
        <v>0</v>
      </c>
      <c r="D31" s="2571"/>
      <c r="E31" s="2572"/>
      <c r="F31" s="2573"/>
      <c r="G31" s="1594"/>
      <c r="H31" s="823" t="s">
        <v>1874</v>
      </c>
      <c r="I31" s="3039" t="s">
        <v>2832</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8</v>
      </c>
      <c r="G36" s="2064"/>
      <c r="H36" s="2067"/>
      <c r="I36" s="4258"/>
      <c r="J36" s="2081"/>
      <c r="K36" s="2082"/>
      <c r="L36" s="2081"/>
      <c r="M36" s="2081"/>
    </row>
    <row r="37" spans="1:18" ht="18" customHeight="1">
      <c r="A37" s="815"/>
      <c r="B37" s="793"/>
      <c r="C37" s="69"/>
      <c r="D37" s="816"/>
      <c r="E37" s="784" t="s">
        <v>675</v>
      </c>
      <c r="F37" s="785">
        <f ca="1">INDIRECT("'数据-取费表'!r"&amp;$G$1)</f>
        <v>0</v>
      </c>
      <c r="G37" s="2064"/>
      <c r="H37" s="2067"/>
      <c r="I37" s="4258"/>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5" t="s">
        <v>2970</v>
      </c>
      <c r="F43" s="3156">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7" t="s">
        <v>2973</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2383" t="str">
        <f ca="1">IF(M48="住宅",0,IF(L49&gt;J52,L61,J61))</f>
        <v>0</v>
      </c>
      <c r="O47" s="2420" t="s">
        <v>2414</v>
      </c>
      <c r="P47" s="1593"/>
      <c r="Q47" s="1605"/>
      <c r="R47" s="1593"/>
    </row>
    <row r="48" spans="1:18" s="2061" customFormat="1" ht="18" customHeight="1" thickBot="1">
      <c r="A48" s="2086"/>
      <c r="C48" s="2089"/>
      <c r="D48" s="2090"/>
      <c r="E48" s="2090"/>
      <c r="F48" s="2091"/>
      <c r="G48" s="2092"/>
      <c r="I48" s="2384" t="s">
        <v>2347</v>
      </c>
      <c r="J48" s="2389"/>
      <c r="K48" s="2390" t="s">
        <v>2353</v>
      </c>
      <c r="L48" s="2391">
        <f ca="1">INDIRECT("'数据-取费表'!d"&amp;$G$1)</f>
        <v>0</v>
      </c>
      <c r="M48" s="3152" t="str">
        <f>IF(ISNUMBER(FIND("住宅",C1)),"住宅","非住宅")</f>
        <v>非住宅</v>
      </c>
      <c r="O48" s="2421" t="s">
        <v>2379</v>
      </c>
      <c r="P48" s="2422" t="s">
        <v>2380</v>
      </c>
      <c r="Q48" s="2423" t="s">
        <v>2381</v>
      </c>
      <c r="R48" s="2422" t="s">
        <v>2382</v>
      </c>
    </row>
    <row r="49" spans="1:18" s="2061" customFormat="1" ht="18" customHeight="1" thickBot="1">
      <c r="A49" s="2086"/>
      <c r="D49" s="2093"/>
      <c r="E49" s="2094"/>
      <c r="F49" s="2091"/>
      <c r="G49" s="2092"/>
      <c r="H49" s="2095"/>
      <c r="I49" s="2385" t="s">
        <v>2348</v>
      </c>
      <c r="J49" s="2392"/>
      <c r="K49" s="2393" t="s">
        <v>2355</v>
      </c>
      <c r="L49" s="2394">
        <f ca="1">INDIRECT("'数据-取费表'!f"&amp;$G$1)</f>
        <v>0</v>
      </c>
      <c r="O49" s="2424" t="s">
        <v>2383</v>
      </c>
      <c r="P49" s="2425" t="s">
        <v>2409</v>
      </c>
      <c r="Q49" s="2426">
        <f ca="1">C41+J31</f>
        <v>0</v>
      </c>
      <c r="R49" s="2425" t="s">
        <v>2384</v>
      </c>
    </row>
    <row r="50" spans="1:18" s="2061" customFormat="1" ht="18" customHeight="1" thickBot="1">
      <c r="A50" s="2086"/>
      <c r="D50" s="2096"/>
      <c r="E50" s="2096"/>
      <c r="F50" s="2090"/>
      <c r="G50" s="2097"/>
      <c r="H50" s="2095"/>
      <c r="I50" s="2385" t="s">
        <v>2349</v>
      </c>
      <c r="J50" s="2395"/>
      <c r="K50" s="2396" t="s">
        <v>2356</v>
      </c>
      <c r="L50" s="2397"/>
      <c r="O50" s="2424" t="s">
        <v>2385</v>
      </c>
      <c r="P50" s="2425" t="s">
        <v>2410</v>
      </c>
      <c r="Q50" s="2426" t="str">
        <f ca="1">J61</f>
        <v>0</v>
      </c>
      <c r="R50" s="2425" t="s">
        <v>2386</v>
      </c>
    </row>
    <row r="51" spans="1:18" s="2061" customFormat="1" ht="18" customHeight="1" thickBot="1">
      <c r="A51" s="2098"/>
      <c r="D51" s="2096"/>
      <c r="E51" s="2096"/>
      <c r="F51" s="2087"/>
      <c r="H51" s="2095"/>
      <c r="I51" s="2385" t="s">
        <v>2350</v>
      </c>
      <c r="J51" s="2398">
        <f>SUMPRODUCT((I64:I66=J48)*(J63:L63=J49)*(J64:L66))</f>
        <v>0</v>
      </c>
      <c r="K51" s="2396" t="s">
        <v>2357</v>
      </c>
      <c r="L51" s="2397"/>
      <c r="O51" s="2427" t="s">
        <v>2387</v>
      </c>
      <c r="P51" s="2425" t="s">
        <v>2411</v>
      </c>
      <c r="Q51" s="2426">
        <f ca="1">C31</f>
        <v>0</v>
      </c>
      <c r="R51" s="2425" t="s">
        <v>2384</v>
      </c>
    </row>
    <row r="52" spans="1:18" s="2061" customFormat="1" ht="18" customHeight="1" thickBot="1">
      <c r="A52" s="2098"/>
      <c r="F52" s="2087"/>
      <c r="I52" s="2386" t="s">
        <v>2351</v>
      </c>
      <c r="J52" s="2399">
        <f>IF(J50="",J51,J50+J51-YEAR('数据-取费表'!B3))</f>
        <v>0</v>
      </c>
      <c r="K52" s="2385" t="s">
        <v>2358</v>
      </c>
      <c r="L52" s="2400">
        <f ca="1">ROUND(-PV(INDIRECT("'数据-取费表'!h"&amp;$G$1),L49,(C40-C14*J36),0),0)</f>
        <v>0</v>
      </c>
      <c r="O52" s="2427" t="s">
        <v>2388</v>
      </c>
      <c r="P52" s="2425" t="s">
        <v>2389</v>
      </c>
      <c r="Q52" s="2428" t="e">
        <f ca="1">J59</f>
        <v>#VALUE!</v>
      </c>
      <c r="R52" s="2429"/>
    </row>
    <row r="53" spans="1:18" s="2061" customFormat="1" ht="18" customHeight="1" thickBot="1">
      <c r="A53" s="2098"/>
      <c r="F53" s="2087"/>
      <c r="I53" s="2387" t="s">
        <v>2425</v>
      </c>
      <c r="J53" s="2401"/>
      <c r="K53" s="2387" t="s">
        <v>2424</v>
      </c>
      <c r="L53" s="2401"/>
      <c r="O53" s="2427" t="s">
        <v>2390</v>
      </c>
      <c r="P53" s="2425" t="s">
        <v>2391</v>
      </c>
      <c r="Q53" s="2428">
        <f>J53</f>
        <v>0</v>
      </c>
      <c r="R53" s="2429"/>
    </row>
    <row r="54" spans="1:18" s="2061" customFormat="1" ht="43.5" thickBot="1">
      <c r="A54" s="2098"/>
      <c r="I54" s="2388" t="s">
        <v>2352</v>
      </c>
      <c r="J54" s="2402">
        <f ca="1">IF(M48="住宅",J52,IF(J52&gt;L49,L49-'数据-取费表'!B25,J52))</f>
        <v>0</v>
      </c>
      <c r="K54" s="4263"/>
      <c r="L54" s="4264"/>
      <c r="O54" s="2427" t="s">
        <v>2392</v>
      </c>
      <c r="P54" s="2425" t="s">
        <v>2393</v>
      </c>
      <c r="Q54" s="2426">
        <f ca="1">J54</f>
        <v>0</v>
      </c>
      <c r="R54" s="2425" t="s">
        <v>2394</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2395</v>
      </c>
      <c r="P55" s="2425" t="s">
        <v>2412</v>
      </c>
      <c r="Q55" s="2426">
        <f ca="1">Q49+Q50</f>
        <v>0</v>
      </c>
      <c r="R55" s="2429" t="s">
        <v>2396</v>
      </c>
    </row>
    <row r="56" spans="1:18" s="2061" customFormat="1" ht="16.5" thickBot="1">
      <c r="A56" s="2098"/>
      <c r="B56" s="2099"/>
      <c r="C56" s="2099"/>
      <c r="I56" s="3129" t="s">
        <v>2359</v>
      </c>
      <c r="J56" s="3153" t="e">
        <f ca="1">ROUND(IF(J48="钢混",J58/J51,1-(1-2%)*(J51-J58)/J51),3)</f>
        <v>#VALUE!</v>
      </c>
      <c r="K56" s="2403" t="s">
        <v>2360</v>
      </c>
      <c r="L56" s="2404"/>
      <c r="O56" s="2430" t="s">
        <v>2415</v>
      </c>
      <c r="P56" s="1593"/>
      <c r="Q56" s="1605"/>
      <c r="R56" s="1593"/>
    </row>
    <row r="57" spans="1:18" s="2061" customFormat="1" ht="43.5" thickBot="1">
      <c r="A57" s="2098"/>
      <c r="B57" s="2099"/>
      <c r="C57" s="2099"/>
      <c r="I57" s="2405" t="s">
        <v>2361</v>
      </c>
      <c r="J57" s="3152" t="s">
        <v>1680</v>
      </c>
      <c r="K57" s="2385" t="s">
        <v>2366</v>
      </c>
      <c r="L57" s="2394">
        <f ca="1">IF(L49&lt;J52,"——",L49-J52)</f>
        <v>0</v>
      </c>
      <c r="O57" s="2421" t="s">
        <v>2379</v>
      </c>
      <c r="P57" s="2422" t="s">
        <v>2380</v>
      </c>
      <c r="Q57" s="2423" t="s">
        <v>2381</v>
      </c>
      <c r="R57" s="2422" t="s">
        <v>2382</v>
      </c>
    </row>
    <row r="58" spans="1:18" s="2061" customFormat="1" ht="29.25" thickBot="1">
      <c r="A58" s="2098"/>
      <c r="B58" s="2099"/>
      <c r="C58" s="2099"/>
      <c r="I58" s="2406" t="s">
        <v>2362</v>
      </c>
      <c r="J58" s="2408" t="str">
        <f ca="1">IF(OR(M48="住宅",J52&lt;L49,J57="是"),"——",J52-L49)</f>
        <v>——</v>
      </c>
      <c r="K58" s="2385" t="s">
        <v>2367</v>
      </c>
      <c r="L58" s="2394">
        <f ca="1">IF(L49&lt;J52,"——",IF(L56="比较法",L50,IF(L56="基准地价",L51,L52)))</f>
        <v>0</v>
      </c>
      <c r="O58" s="2424" t="s">
        <v>2383</v>
      </c>
      <c r="P58" s="2425" t="s">
        <v>2409</v>
      </c>
      <c r="Q58" s="2426">
        <f ca="1">C41+J31</f>
        <v>0</v>
      </c>
      <c r="R58" s="2425" t="s">
        <v>2384</v>
      </c>
    </row>
    <row r="59" spans="1:18" s="2061" customFormat="1" ht="29.25" thickBot="1">
      <c r="A59" s="2098"/>
      <c r="B59" s="2099"/>
      <c r="C59" s="2099"/>
      <c r="I59" s="2406" t="s">
        <v>2363</v>
      </c>
      <c r="J59" s="3154" t="e">
        <f ca="1">IF(J56&lt;0.4,0.4,J56)</f>
        <v>#VALUE!</v>
      </c>
      <c r="K59" s="2385" t="s">
        <v>2368</v>
      </c>
      <c r="L59" s="2394">
        <f ca="1">IF(ISERROR(POWER(1+L53,L48-L49)*(POWER(1+L53,L49)-1)/(POWER(1+L53,L48)-1)),0,POWER(1+L53,L48-L49)*(POWER(1+L53,L49)-1)/(POWER(1+L53,L48)-1))</f>
        <v>0</v>
      </c>
      <c r="O59" s="2424" t="s">
        <v>2385</v>
      </c>
      <c r="P59" s="2425" t="s">
        <v>2416</v>
      </c>
      <c r="Q59" s="2426" t="e">
        <f ca="1">L61</f>
        <v>#DIV/0!</v>
      </c>
      <c r="R59" s="2429" t="s">
        <v>2418</v>
      </c>
    </row>
    <row r="60" spans="1:18" s="2061" customFormat="1" ht="29.25" thickBot="1">
      <c r="A60" s="2098"/>
      <c r="B60" s="2099"/>
      <c r="C60" s="2099"/>
      <c r="I60" s="2406" t="s">
        <v>2364</v>
      </c>
      <c r="J60" s="2408" t="str">
        <f ca="1">IF(OR(M48="住宅",J52&lt;L49,J57="是"),"——",ROUND(C30*J59,0))</f>
        <v>——</v>
      </c>
      <c r="K60" s="2385" t="s">
        <v>2369</v>
      </c>
      <c r="L60" s="2394">
        <f ca="1">IF(ISERROR(POWER(1+L53,L48-J52)*(POWER(1+L53,J52)-1)/(POWER(1+L53,L48)-1)),0,POWER(1+L53,L48-J52)*(POWER(1+L53,J52)-1)/(POWER(1+L53,L48)-1))</f>
        <v>0</v>
      </c>
      <c r="O60" s="2427" t="s">
        <v>2387</v>
      </c>
      <c r="P60" s="2425" t="s">
        <v>2417</v>
      </c>
      <c r="Q60" s="2426">
        <f>IF(L56="比较法",L50,IF(L56="基准地价",L51,0))</f>
        <v>0</v>
      </c>
      <c r="R60" s="2425" t="s">
        <v>2384</v>
      </c>
    </row>
    <row r="61" spans="1:18" s="2061" customFormat="1" ht="15.75" thickBot="1">
      <c r="A61" s="2098"/>
      <c r="B61" s="2099"/>
      <c r="C61" s="2099"/>
      <c r="I61" s="2407" t="s">
        <v>2365</v>
      </c>
      <c r="J61" s="2409" t="str">
        <f ca="1">IF(OR(M48="住宅",J52&lt;L49,J57="是"),"0",ROUND(J60/(1+J53)^J54,0))</f>
        <v>0</v>
      </c>
      <c r="K61" s="2410" t="s">
        <v>2370</v>
      </c>
      <c r="L61" s="2409" t="e">
        <f ca="1">IF(OR(M48="住宅",L49&lt;J52),0,ROUND(L58*(L59/L60-1),0))</f>
        <v>#DIV/0!</v>
      </c>
      <c r="O61" s="2427" t="s">
        <v>2388</v>
      </c>
      <c r="P61" s="2425" t="s">
        <v>2397</v>
      </c>
      <c r="Q61" s="2428">
        <f>L53</f>
        <v>0</v>
      </c>
      <c r="R61" s="2429"/>
    </row>
    <row r="62" spans="1:18" s="2061" customFormat="1" ht="20.25" thickBot="1">
      <c r="A62" s="2098"/>
      <c r="B62" s="2099"/>
      <c r="C62" s="2099"/>
      <c r="K62" s="2088"/>
      <c r="O62" s="2427" t="s">
        <v>2390</v>
      </c>
      <c r="P62" s="2425" t="s">
        <v>2398</v>
      </c>
      <c r="Q62" s="2426">
        <f ca="1">L59</f>
        <v>0</v>
      </c>
      <c r="R62" s="2429" t="s">
        <v>2399</v>
      </c>
    </row>
    <row r="63" spans="1:18" s="2061" customFormat="1" ht="20.25" thickBot="1">
      <c r="A63" s="2098"/>
      <c r="B63" s="2099"/>
      <c r="C63" s="2099"/>
      <c r="I63" s="2411" t="s">
        <v>2371</v>
      </c>
      <c r="J63" s="2412" t="s">
        <v>2372</v>
      </c>
      <c r="K63" s="2412" t="s">
        <v>2373</v>
      </c>
      <c r="L63" s="2412" t="s">
        <v>2354</v>
      </c>
      <c r="M63" s="3131" t="s">
        <v>2949</v>
      </c>
      <c r="O63" s="2427" t="s">
        <v>2392</v>
      </c>
      <c r="P63" s="2425" t="s">
        <v>2400</v>
      </c>
      <c r="Q63" s="2426">
        <f ca="1">L60</f>
        <v>0</v>
      </c>
      <c r="R63" s="2429" t="s">
        <v>2401</v>
      </c>
    </row>
    <row r="64" spans="1:18" s="2061" customFormat="1" ht="15.75" thickBot="1">
      <c r="A64" s="2098"/>
      <c r="B64" s="2099"/>
      <c r="C64" s="2099"/>
      <c r="I64" s="2411" t="s">
        <v>2374</v>
      </c>
      <c r="J64" s="2412">
        <v>70</v>
      </c>
      <c r="K64" s="2412">
        <v>50</v>
      </c>
      <c r="L64" s="2412">
        <v>80</v>
      </c>
      <c r="M64" s="3132">
        <v>0.02</v>
      </c>
      <c r="O64" s="2424" t="s">
        <v>2395</v>
      </c>
      <c r="P64" s="2425" t="s">
        <v>2412</v>
      </c>
      <c r="Q64" s="2426" t="e">
        <f ca="1">Q58+Q59</f>
        <v>#DIV/0!</v>
      </c>
      <c r="R64" s="2429" t="s">
        <v>2396</v>
      </c>
    </row>
    <row r="65" spans="1:18" s="2061" customFormat="1" ht="16.5" thickBot="1">
      <c r="A65" s="2098"/>
      <c r="B65" s="2099"/>
      <c r="C65" s="2099"/>
      <c r="I65" s="2411" t="s">
        <v>2375</v>
      </c>
      <c r="J65" s="2412">
        <v>50</v>
      </c>
      <c r="K65" s="2412">
        <v>35</v>
      </c>
      <c r="L65" s="2412">
        <v>60</v>
      </c>
      <c r="M65" s="3133">
        <v>0</v>
      </c>
      <c r="O65" s="2430" t="s">
        <v>2419</v>
      </c>
      <c r="P65" s="1593"/>
      <c r="Q65" s="1605"/>
      <c r="R65" s="1593"/>
    </row>
    <row r="66" spans="1:18" s="2061" customFormat="1" ht="15.75" thickBot="1">
      <c r="A66" s="2098"/>
      <c r="B66" s="2099"/>
      <c r="C66" s="2099"/>
      <c r="I66" s="2411" t="s">
        <v>2376</v>
      </c>
      <c r="J66" s="2412">
        <v>40</v>
      </c>
      <c r="K66" s="2412">
        <v>30</v>
      </c>
      <c r="L66" s="2412">
        <v>50</v>
      </c>
      <c r="M66" s="3132">
        <v>0.02</v>
      </c>
      <c r="O66" s="2421" t="s">
        <v>2379</v>
      </c>
      <c r="P66" s="2422" t="s">
        <v>2380</v>
      </c>
      <c r="Q66" s="2423" t="s">
        <v>2381</v>
      </c>
      <c r="R66" s="2422" t="s">
        <v>2382</v>
      </c>
    </row>
    <row r="67" spans="1:18" s="2061" customFormat="1" ht="15.75" thickBot="1">
      <c r="A67" s="2098"/>
      <c r="B67" s="2099"/>
      <c r="C67" s="2099"/>
      <c r="K67" s="2088"/>
      <c r="O67" s="2424" t="s">
        <v>2383</v>
      </c>
      <c r="P67" s="2425" t="s">
        <v>2409</v>
      </c>
      <c r="Q67" s="2426">
        <f ca="1">C41+J31</f>
        <v>0</v>
      </c>
      <c r="R67" s="2425" t="s">
        <v>2384</v>
      </c>
    </row>
    <row r="68" spans="1:18" s="2061" customFormat="1" ht="20.25" thickBot="1">
      <c r="A68" s="2098"/>
      <c r="B68" s="2099"/>
      <c r="C68" s="2099"/>
      <c r="K68" s="2088"/>
      <c r="O68" s="2424" t="s">
        <v>2385</v>
      </c>
      <c r="P68" s="2425" t="s">
        <v>2416</v>
      </c>
      <c r="Q68" s="2426" t="e">
        <f ca="1">L61</f>
        <v>#DIV/0!</v>
      </c>
      <c r="R68" s="2429" t="s">
        <v>2418</v>
      </c>
    </row>
    <row r="69" spans="1:18" s="2061" customFormat="1" ht="21.75" thickBot="1">
      <c r="A69" s="2098"/>
      <c r="B69" s="2099"/>
      <c r="C69" s="2099"/>
      <c r="K69" s="2088"/>
      <c r="O69" s="2427" t="s">
        <v>2387</v>
      </c>
      <c r="P69" s="2425" t="s">
        <v>2417</v>
      </c>
      <c r="Q69" s="2431">
        <f ca="1">L52</f>
        <v>0</v>
      </c>
      <c r="R69" s="2432" t="s">
        <v>2420</v>
      </c>
    </row>
    <row r="70" spans="1:18" s="2061" customFormat="1" ht="20.25" thickBot="1">
      <c r="A70" s="2098"/>
      <c r="B70" s="2099"/>
      <c r="C70" s="2099"/>
      <c r="K70" s="2088"/>
      <c r="O70" s="2427" t="s">
        <v>2388</v>
      </c>
      <c r="P70" s="2433" t="s">
        <v>2402</v>
      </c>
      <c r="Q70" s="2426">
        <f ca="1">ROUND(Q71-Q72*Q73,0)</f>
        <v>0</v>
      </c>
      <c r="R70" s="2429"/>
    </row>
    <row r="71" spans="1:18" s="2061" customFormat="1" ht="15.75" thickBot="1">
      <c r="A71" s="2098"/>
      <c r="B71" s="2099"/>
      <c r="C71" s="2099"/>
      <c r="K71" s="2088"/>
      <c r="O71" s="2427" t="s">
        <v>2403</v>
      </c>
      <c r="P71" s="2433" t="s">
        <v>2404</v>
      </c>
      <c r="Q71" s="2426">
        <f ca="1">C42</f>
        <v>0</v>
      </c>
      <c r="R71" s="2425" t="s">
        <v>2384</v>
      </c>
    </row>
    <row r="72" spans="1:18" s="2061" customFormat="1" ht="15.75" thickBot="1">
      <c r="A72" s="2098"/>
      <c r="B72" s="2099"/>
      <c r="C72" s="2099"/>
      <c r="K72" s="2088"/>
      <c r="O72" s="2427" t="s">
        <v>2405</v>
      </c>
      <c r="P72" s="2433" t="s">
        <v>2406</v>
      </c>
      <c r="Q72" s="2426">
        <f ca="1">C15</f>
        <v>0</v>
      </c>
      <c r="R72" s="2425" t="s">
        <v>2384</v>
      </c>
    </row>
    <row r="73" spans="1:18" s="2061" customFormat="1" ht="15.75" thickBot="1">
      <c r="A73" s="2098"/>
      <c r="B73" s="2099"/>
      <c r="C73" s="2099"/>
      <c r="K73" s="2088"/>
      <c r="O73" s="2427" t="s">
        <v>2407</v>
      </c>
      <c r="P73" s="2433" t="s">
        <v>2408</v>
      </c>
      <c r="Q73" s="2428">
        <f ca="1">F43</f>
        <v>0</v>
      </c>
      <c r="R73" s="2429"/>
    </row>
    <row r="74" spans="1:18" s="2061" customFormat="1" ht="15.75" thickBot="1">
      <c r="A74" s="2098"/>
      <c r="B74" s="2099"/>
      <c r="C74" s="2099"/>
      <c r="K74" s="2088"/>
      <c r="O74" s="2427" t="s">
        <v>2390</v>
      </c>
      <c r="P74" s="2425" t="s">
        <v>2397</v>
      </c>
      <c r="Q74" s="2428">
        <f>L53</f>
        <v>0</v>
      </c>
      <c r="R74" s="2429"/>
    </row>
    <row r="75" spans="1:18" s="2061" customFormat="1" ht="20.25" thickBot="1">
      <c r="A75" s="2098"/>
      <c r="B75" s="2099"/>
      <c r="C75" s="2099"/>
      <c r="K75" s="2088"/>
      <c r="O75" s="2427" t="s">
        <v>2392</v>
      </c>
      <c r="P75" s="2425" t="s">
        <v>2398</v>
      </c>
      <c r="Q75" s="2426">
        <f ca="1">L59</f>
        <v>0</v>
      </c>
      <c r="R75" s="2429" t="s">
        <v>2399</v>
      </c>
    </row>
    <row r="76" spans="1:18" s="2061" customFormat="1" ht="20.25" thickBot="1">
      <c r="A76" s="2098"/>
      <c r="B76" s="2099"/>
      <c r="C76" s="2099"/>
      <c r="K76" s="2088"/>
      <c r="O76" s="2427" t="s">
        <v>2421</v>
      </c>
      <c r="P76" s="2425" t="s">
        <v>2400</v>
      </c>
      <c r="Q76" s="2426">
        <f ca="1">L60</f>
        <v>0</v>
      </c>
      <c r="R76" s="2429" t="s">
        <v>2401</v>
      </c>
    </row>
    <row r="77" spans="1:18" s="2061" customFormat="1" ht="15.75" thickBot="1">
      <c r="A77" s="2098"/>
      <c r="B77" s="2099"/>
      <c r="C77" s="2099"/>
      <c r="K77" s="2088"/>
      <c r="O77" s="2424" t="s">
        <v>2395</v>
      </c>
      <c r="P77" s="2425" t="s">
        <v>2412</v>
      </c>
      <c r="Q77" s="2426" t="e">
        <f ca="1">Q67+Q68</f>
        <v>#DIV/0!</v>
      </c>
      <c r="R77" s="2429" t="s">
        <v>2396</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129" sqref="C129:F134"/>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4267" t="s">
        <v>2582</v>
      </c>
      <c r="C1" s="4267"/>
      <c r="D1" s="4267"/>
      <c r="E1" s="4267"/>
      <c r="F1" s="4267"/>
      <c r="G1" s="4266" t="s">
        <v>2583</v>
      </c>
      <c r="H1" s="4266"/>
      <c r="I1" s="4266"/>
      <c r="J1" s="4266"/>
      <c r="K1" s="4266"/>
      <c r="L1" s="4266"/>
      <c r="N1" s="4266" t="s">
        <v>2584</v>
      </c>
      <c r="O1" s="4266"/>
      <c r="P1" s="4266"/>
      <c r="Q1" s="4266"/>
      <c r="R1" s="2681"/>
      <c r="S1" s="4266" t="s">
        <v>2585</v>
      </c>
      <c r="T1" s="4266"/>
      <c r="U1" s="4266"/>
      <c r="V1" s="4266"/>
      <c r="X1" s="4265" t="s">
        <v>2646</v>
      </c>
      <c r="Y1" s="4266"/>
      <c r="Z1" s="4266"/>
      <c r="AA1" s="4266"/>
      <c r="AB1" s="4266"/>
      <c r="AD1" s="4265" t="s">
        <v>2651</v>
      </c>
      <c r="AE1" s="4266"/>
      <c r="AF1" s="4266"/>
      <c r="AG1" s="4266"/>
      <c r="AH1" s="4266"/>
    </row>
    <row r="2" spans="1:34" s="2783" customFormat="1" ht="14.25" thickBot="1">
      <c r="B2" s="2792" t="s">
        <v>2586</v>
      </c>
      <c r="C2" s="2792" t="s">
        <v>2649</v>
      </c>
      <c r="D2" s="2784" t="s">
        <v>1646</v>
      </c>
      <c r="E2" s="2784" t="s">
        <v>1953</v>
      </c>
      <c r="F2" s="2792" t="s">
        <v>2650</v>
      </c>
      <c r="G2" s="2787"/>
      <c r="H2" s="2786"/>
      <c r="I2" s="2792" t="s">
        <v>2964</v>
      </c>
      <c r="J2" s="2784" t="s">
        <v>2966</v>
      </c>
      <c r="K2" s="2784" t="s">
        <v>2967</v>
      </c>
      <c r="L2" s="2792" t="s">
        <v>2968</v>
      </c>
      <c r="N2" s="2792" t="s">
        <v>2586</v>
      </c>
      <c r="O2" s="2784" t="s">
        <v>2965</v>
      </c>
      <c r="P2" s="2784" t="s">
        <v>1953</v>
      </c>
      <c r="Q2" s="2792" t="s">
        <v>2650</v>
      </c>
      <c r="R2" s="2785"/>
      <c r="S2" s="2792" t="s">
        <v>2586</v>
      </c>
      <c r="T2" s="2784" t="s">
        <v>2965</v>
      </c>
      <c r="U2" s="2784" t="s">
        <v>1953</v>
      </c>
      <c r="V2" s="2792" t="s">
        <v>2650</v>
      </c>
      <c r="X2" s="2792" t="s">
        <v>2586</v>
      </c>
      <c r="Y2" s="2792" t="s">
        <v>2649</v>
      </c>
      <c r="Z2" s="2784" t="s">
        <v>1646</v>
      </c>
      <c r="AA2" s="2784" t="s">
        <v>1953</v>
      </c>
      <c r="AB2" s="2792" t="s">
        <v>2650</v>
      </c>
      <c r="AD2" s="2792" t="s">
        <v>2586</v>
      </c>
      <c r="AE2" s="2792" t="s">
        <v>2649</v>
      </c>
      <c r="AF2" s="2784" t="s">
        <v>1646</v>
      </c>
      <c r="AG2" s="2784" t="s">
        <v>1953</v>
      </c>
      <c r="AH2" s="2792" t="s">
        <v>2650</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2976</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2975</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4274">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2647</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2587</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4269"/>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2588</v>
      </c>
      <c r="B7" s="2696">
        <f t="shared" si="18"/>
        <v>419.31181600000002</v>
      </c>
      <c r="C7" s="2696">
        <f t="shared" si="18"/>
        <v>313.95436800000004</v>
      </c>
      <c r="D7" s="2696">
        <f t="shared" si="3"/>
        <v>313.95436800000004</v>
      </c>
      <c r="E7" s="2696">
        <f t="shared" si="19"/>
        <v>596.63028431999999</v>
      </c>
      <c r="F7" s="2696">
        <f t="shared" si="19"/>
        <v>274.74220703999998</v>
      </c>
      <c r="G7" s="4269"/>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2589</v>
      </c>
      <c r="B8" s="2696">
        <f t="shared" si="18"/>
        <v>405.524</v>
      </c>
      <c r="C8" s="2696">
        <f t="shared" si="18"/>
        <v>307.79840000000002</v>
      </c>
      <c r="D8" s="2696">
        <f t="shared" si="3"/>
        <v>307.79840000000002</v>
      </c>
      <c r="E8" s="2696">
        <f t="shared" si="19"/>
        <v>574.67759999999998</v>
      </c>
      <c r="F8" s="2696">
        <f t="shared" si="19"/>
        <v>270.20280000000002</v>
      </c>
      <c r="G8" s="4270"/>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4274">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4269"/>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4269"/>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4270"/>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4268">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4269"/>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4269"/>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4270"/>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4268">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4269"/>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4269"/>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4270"/>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2648</v>
      </c>
      <c r="X20" s="2793">
        <v>1</v>
      </c>
      <c r="Y20" s="2793">
        <v>1</v>
      </c>
      <c r="Z20" s="2793">
        <v>1</v>
      </c>
      <c r="AA20" s="2793">
        <v>1</v>
      </c>
      <c r="AB20" s="2793">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2" t="s">
        <v>2590</v>
      </c>
      <c r="B21" s="2688">
        <v>299</v>
      </c>
      <c r="C21" s="2688">
        <v>252</v>
      </c>
      <c r="D21" s="2688">
        <f t="shared" si="28"/>
        <v>252</v>
      </c>
      <c r="E21" s="2688">
        <v>409</v>
      </c>
      <c r="F21" s="2689">
        <v>227</v>
      </c>
      <c r="G21" s="4271">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2591</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4272"/>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2592</v>
      </c>
      <c r="B23" s="2696">
        <f t="shared" si="37"/>
        <v>288.2649053828776</v>
      </c>
      <c r="C23" s="2696">
        <f t="shared" si="37"/>
        <v>243.64564425013293</v>
      </c>
      <c r="D23" s="2696">
        <f t="shared" si="28"/>
        <v>243.64564425013293</v>
      </c>
      <c r="E23" s="2696">
        <f t="shared" si="38"/>
        <v>393.31080825986544</v>
      </c>
      <c r="F23" s="2696">
        <f t="shared" si="38"/>
        <v>223.07903790551154</v>
      </c>
      <c r="G23" s="4272"/>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2593</v>
      </c>
      <c r="B24" s="2696">
        <f t="shared" si="37"/>
        <v>282.50186729015837</v>
      </c>
      <c r="C24" s="2696">
        <f t="shared" si="37"/>
        <v>238.09796174155468</v>
      </c>
      <c r="D24" s="2696">
        <f t="shared" si="28"/>
        <v>238.09796174155468</v>
      </c>
      <c r="E24" s="2696">
        <f t="shared" si="38"/>
        <v>385.33438646014054</v>
      </c>
      <c r="F24" s="2696">
        <f t="shared" si="38"/>
        <v>221.55034055567739</v>
      </c>
      <c r="G24" s="4273"/>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2594</v>
      </c>
      <c r="B25" s="2726">
        <v>278</v>
      </c>
      <c r="C25" s="2726">
        <v>234</v>
      </c>
      <c r="D25" s="2726">
        <f t="shared" si="28"/>
        <v>234</v>
      </c>
      <c r="E25" s="2726">
        <v>379</v>
      </c>
      <c r="F25" s="2727">
        <v>220</v>
      </c>
      <c r="G25" s="4268">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2595</v>
      </c>
      <c r="B26" s="2696">
        <f>B25/(1+N25)</f>
        <v>275.49301357645425</v>
      </c>
      <c r="C26" s="2696">
        <f>C25/(1+O25)</f>
        <v>232.41954707985698</v>
      </c>
      <c r="D26" s="2696">
        <f t="shared" si="28"/>
        <v>232.41954707985698</v>
      </c>
      <c r="E26" s="2696">
        <f t="shared" ref="E26:F28" si="39">E25/(1+P25)</f>
        <v>375.32184591008121</v>
      </c>
      <c r="F26" s="2696">
        <f t="shared" si="39"/>
        <v>218.03766105054513</v>
      </c>
      <c r="G26" s="4269"/>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2596</v>
      </c>
      <c r="B27" s="2696">
        <f>B26/(1+N26)</f>
        <v>275.24529281292263</v>
      </c>
      <c r="C27" s="2696">
        <f>C26/(1+O26)</f>
        <v>231.74747938962707</v>
      </c>
      <c r="D27" s="2696">
        <f t="shared" si="28"/>
        <v>231.74747938962707</v>
      </c>
      <c r="E27" s="2696">
        <f t="shared" si="39"/>
        <v>375.35938184826603</v>
      </c>
      <c r="F27" s="2696">
        <f t="shared" si="39"/>
        <v>216.78033510692495</v>
      </c>
      <c r="G27" s="4269"/>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2597</v>
      </c>
      <c r="B28" s="2696">
        <f>B27/(1+N27)</f>
        <v>275.19025476197027</v>
      </c>
      <c r="C28" s="2728">
        <v>232</v>
      </c>
      <c r="D28" s="2728">
        <f t="shared" si="28"/>
        <v>232</v>
      </c>
      <c r="E28" s="2696">
        <f t="shared" si="39"/>
        <v>375.65990977608692</v>
      </c>
      <c r="F28" s="2696">
        <f t="shared" si="39"/>
        <v>214.12518283971252</v>
      </c>
      <c r="G28" s="4270"/>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2598</v>
      </c>
      <c r="B29" s="2688">
        <v>275</v>
      </c>
      <c r="C29" s="2688">
        <v>232</v>
      </c>
      <c r="D29" s="2688">
        <f t="shared" si="28"/>
        <v>232</v>
      </c>
      <c r="E29" s="2688">
        <v>376</v>
      </c>
      <c r="F29" s="2689">
        <v>213</v>
      </c>
      <c r="G29" s="4268">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2599</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4269">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2600</v>
      </c>
      <c r="B31" s="2696">
        <f t="shared" si="40"/>
        <v>275.19335084830601</v>
      </c>
      <c r="C31" s="2696">
        <f t="shared" si="40"/>
        <v>230.18088050139744</v>
      </c>
      <c r="D31" s="2696">
        <f t="shared" si="28"/>
        <v>230.18088050139744</v>
      </c>
      <c r="E31" s="2696">
        <f t="shared" si="41"/>
        <v>377.58482925212331</v>
      </c>
      <c r="F31" s="2696">
        <f t="shared" si="41"/>
        <v>210.90687997847917</v>
      </c>
      <c r="G31" s="4269">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2601</v>
      </c>
      <c r="B32" s="2696">
        <f t="shared" si="40"/>
        <v>276.29854502841971</v>
      </c>
      <c r="C32" s="2696">
        <f t="shared" si="40"/>
        <v>229.79023709833027</v>
      </c>
      <c r="D32" s="2696">
        <f t="shared" si="28"/>
        <v>229.79023709833027</v>
      </c>
      <c r="E32" s="2696">
        <f t="shared" si="41"/>
        <v>379.78759731655936</v>
      </c>
      <c r="F32" s="2696">
        <f t="shared" si="41"/>
        <v>211.32953905659235</v>
      </c>
      <c r="G32" s="4270">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2602</v>
      </c>
      <c r="B33" s="2688">
        <v>269</v>
      </c>
      <c r="C33" s="2688">
        <v>221</v>
      </c>
      <c r="D33" s="2688">
        <f t="shared" si="28"/>
        <v>221</v>
      </c>
      <c r="E33" s="2688">
        <v>373</v>
      </c>
      <c r="F33" s="2689">
        <v>196</v>
      </c>
      <c r="G33" s="4268">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2603</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4269">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2604</v>
      </c>
      <c r="B35" s="2696">
        <f t="shared" si="42"/>
        <v>242.95398227588385</v>
      </c>
      <c r="C35" s="2696">
        <f t="shared" si="42"/>
        <v>199.59137053614126</v>
      </c>
      <c r="D35" s="2696">
        <f t="shared" si="28"/>
        <v>199.59137053614126</v>
      </c>
      <c r="E35" s="2696">
        <f t="shared" si="43"/>
        <v>335.92189522342125</v>
      </c>
      <c r="F35" s="2696">
        <f t="shared" si="43"/>
        <v>183.10139991109489</v>
      </c>
      <c r="G35" s="4269">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2605</v>
      </c>
      <c r="B36" s="2696">
        <f t="shared" si="42"/>
        <v>232.06990378821649</v>
      </c>
      <c r="C36" s="2696">
        <f t="shared" si="42"/>
        <v>192.74878854286936</v>
      </c>
      <c r="D36" s="2696">
        <f t="shared" si="28"/>
        <v>192.74878854286936</v>
      </c>
      <c r="E36" s="2696">
        <f t="shared" si="43"/>
        <v>319.71247284992984</v>
      </c>
      <c r="F36" s="2696">
        <f t="shared" si="43"/>
        <v>175.67053622862409</v>
      </c>
      <c r="G36" s="4270">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2606</v>
      </c>
      <c r="B37" s="2688">
        <v>220</v>
      </c>
      <c r="C37" s="2688">
        <v>187</v>
      </c>
      <c r="D37" s="2688">
        <f t="shared" si="28"/>
        <v>187</v>
      </c>
      <c r="E37" s="2688">
        <v>301</v>
      </c>
      <c r="F37" s="2689">
        <v>168</v>
      </c>
      <c r="G37" s="4268">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2607</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4269">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2608</v>
      </c>
      <c r="B39" s="2696">
        <f t="shared" si="44"/>
        <v>210.630522469011</v>
      </c>
      <c r="C39" s="2696">
        <f t="shared" si="44"/>
        <v>181.69567812247232</v>
      </c>
      <c r="D39" s="2696">
        <f t="shared" si="28"/>
        <v>181.69567812247232</v>
      </c>
      <c r="E39" s="2696">
        <f t="shared" si="45"/>
        <v>286.13517466736738</v>
      </c>
      <c r="F39" s="2696">
        <f t="shared" si="45"/>
        <v>165.47535084591149</v>
      </c>
      <c r="G39" s="4269">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2609</v>
      </c>
      <c r="B40" s="2696">
        <f t="shared" si="44"/>
        <v>208.83454537875372</v>
      </c>
      <c r="C40" s="2696">
        <f t="shared" si="44"/>
        <v>183.77230517090351</v>
      </c>
      <c r="D40" s="2696">
        <f t="shared" si="28"/>
        <v>183.77230517090351</v>
      </c>
      <c r="E40" s="2696">
        <f t="shared" si="45"/>
        <v>281.10342338870947</v>
      </c>
      <c r="F40" s="2696">
        <f t="shared" si="45"/>
        <v>168.97309388942256</v>
      </c>
      <c r="G40" s="4270">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2610</v>
      </c>
      <c r="B41" s="2726">
        <v>214</v>
      </c>
      <c r="C41" s="2726">
        <v>188</v>
      </c>
      <c r="D41" s="2726">
        <f t="shared" si="28"/>
        <v>188</v>
      </c>
      <c r="E41" s="2726">
        <v>289</v>
      </c>
      <c r="F41" s="2727">
        <v>166</v>
      </c>
      <c r="G41" s="4268">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2611</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4269">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2612</v>
      </c>
      <c r="B43" s="2696">
        <f t="shared" si="46"/>
        <v>206.31694671589116</v>
      </c>
      <c r="C43" s="2696">
        <f t="shared" si="46"/>
        <v>183.61041121036101</v>
      </c>
      <c r="D43" s="2696">
        <f t="shared" si="28"/>
        <v>183.61041121036101</v>
      </c>
      <c r="E43" s="2696">
        <f t="shared" si="47"/>
        <v>276.66850301795557</v>
      </c>
      <c r="F43" s="2696">
        <f t="shared" si="47"/>
        <v>165.1360938278614</v>
      </c>
      <c r="G43" s="4269">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2613</v>
      </c>
      <c r="B44" s="2729">
        <f t="shared" si="46"/>
        <v>196.62341248059772</v>
      </c>
      <c r="C44" s="2729">
        <f t="shared" si="46"/>
        <v>170.99125648199012</v>
      </c>
      <c r="D44" s="2729">
        <f t="shared" si="28"/>
        <v>170.99125648199012</v>
      </c>
      <c r="E44" s="2729">
        <f t="shared" si="47"/>
        <v>266.07857570490052</v>
      </c>
      <c r="F44" s="2729">
        <f t="shared" si="47"/>
        <v>154.53499328828505</v>
      </c>
      <c r="G44" s="4270">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2614</v>
      </c>
      <c r="B45" s="2688">
        <v>188</v>
      </c>
      <c r="C45" s="2688">
        <v>165</v>
      </c>
      <c r="D45" s="2688">
        <f t="shared" si="28"/>
        <v>165</v>
      </c>
      <c r="E45" s="2688">
        <v>254</v>
      </c>
      <c r="F45" s="2689">
        <v>148</v>
      </c>
      <c r="G45" s="4268">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2615</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4269">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2616</v>
      </c>
      <c r="B47" s="2696">
        <f t="shared" si="50"/>
        <v>168.82017748715555</v>
      </c>
      <c r="C47" s="2696">
        <f t="shared" si="50"/>
        <v>148.06267029972753</v>
      </c>
      <c r="D47" s="2696">
        <f t="shared" si="28"/>
        <v>148.06267029972753</v>
      </c>
      <c r="E47" s="2696">
        <f t="shared" si="51"/>
        <v>216.46288379323747</v>
      </c>
      <c r="F47" s="2696">
        <f t="shared" si="51"/>
        <v>134.23529411764704</v>
      </c>
      <c r="G47" s="4269">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2617</v>
      </c>
      <c r="B48" s="2696">
        <f t="shared" si="50"/>
        <v>163.84913591779542</v>
      </c>
      <c r="C48" s="2696">
        <f t="shared" si="50"/>
        <v>145.0283378746594</v>
      </c>
      <c r="D48" s="2696">
        <f t="shared" si="28"/>
        <v>145.0283378746594</v>
      </c>
      <c r="E48" s="2696">
        <f t="shared" si="51"/>
        <v>204.95180722891567</v>
      </c>
      <c r="F48" s="2696">
        <f t="shared" si="51"/>
        <v>125.95920303605313</v>
      </c>
      <c r="G48" s="4270">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2618</v>
      </c>
      <c r="B49" s="2710">
        <v>159</v>
      </c>
      <c r="C49" s="2710">
        <v>141</v>
      </c>
      <c r="D49" s="2710">
        <f t="shared" si="28"/>
        <v>141</v>
      </c>
      <c r="E49" s="2710">
        <v>195</v>
      </c>
      <c r="F49" s="2711">
        <v>122</v>
      </c>
      <c r="G49" s="4268">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2619</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4269">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2620</v>
      </c>
      <c r="B51" s="2696">
        <f t="shared" si="54"/>
        <v>146.57412060301507</v>
      </c>
      <c r="C51" s="2696">
        <f t="shared" si="54"/>
        <v>136.46831955922866</v>
      </c>
      <c r="D51" s="2696">
        <f t="shared" si="28"/>
        <v>136.46831955922866</v>
      </c>
      <c r="E51" s="2696">
        <f t="shared" si="55"/>
        <v>166.73864894795128</v>
      </c>
      <c r="F51" s="2696">
        <f t="shared" si="55"/>
        <v>115.05882352941177</v>
      </c>
      <c r="G51" s="4269">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2621</v>
      </c>
      <c r="B52" s="2696">
        <f t="shared" si="54"/>
        <v>144.04145728643215</v>
      </c>
      <c r="C52" s="2696">
        <f t="shared" si="54"/>
        <v>136.12396694214877</v>
      </c>
      <c r="D52" s="2696">
        <f t="shared" si="28"/>
        <v>136.12396694214877</v>
      </c>
      <c r="E52" s="2696">
        <f t="shared" si="55"/>
        <v>158.32225913621264</v>
      </c>
      <c r="F52" s="2696">
        <f t="shared" si="55"/>
        <v>114.04278074866311</v>
      </c>
      <c r="G52" s="4270">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2622</v>
      </c>
      <c r="B53" s="2710">
        <v>138</v>
      </c>
      <c r="C53" s="2710">
        <v>131</v>
      </c>
      <c r="D53" s="2710">
        <f t="shared" si="28"/>
        <v>131</v>
      </c>
      <c r="E53" s="2710">
        <v>155</v>
      </c>
      <c r="F53" s="2711">
        <v>114</v>
      </c>
      <c r="G53" s="4268">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2623</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4269">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2624</v>
      </c>
      <c r="B55" s="2696">
        <f t="shared" si="58"/>
        <v>124.29032258064517</v>
      </c>
      <c r="C55" s="2696">
        <f t="shared" si="58"/>
        <v>123.8968609865471</v>
      </c>
      <c r="D55" s="2696">
        <f t="shared" si="28"/>
        <v>123.8968609865471</v>
      </c>
      <c r="E55" s="2696">
        <f t="shared" si="59"/>
        <v>138.00507614213197</v>
      </c>
      <c r="F55" s="2696">
        <f t="shared" si="59"/>
        <v>107.96106557377048</v>
      </c>
      <c r="G55" s="4269">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2625</v>
      </c>
      <c r="B56" s="2696">
        <f t="shared" si="58"/>
        <v>122.57204301075269</v>
      </c>
      <c r="C56" s="2696">
        <f t="shared" si="58"/>
        <v>123.4932735426009</v>
      </c>
      <c r="D56" s="2696">
        <f t="shared" si="28"/>
        <v>123.4932735426009</v>
      </c>
      <c r="E56" s="2696">
        <f t="shared" si="59"/>
        <v>129.82233502538071</v>
      </c>
      <c r="F56" s="2696">
        <f t="shared" si="59"/>
        <v>107.39446721311475</v>
      </c>
      <c r="G56" s="4270">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2626</v>
      </c>
      <c r="B57" s="2726">
        <v>121</v>
      </c>
      <c r="C57" s="2726">
        <v>122</v>
      </c>
      <c r="D57" s="2726">
        <f t="shared" si="28"/>
        <v>122</v>
      </c>
      <c r="E57" s="2726">
        <v>124</v>
      </c>
      <c r="F57" s="2727">
        <v>107</v>
      </c>
      <c r="G57" s="4268">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2627</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4269">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2628</v>
      </c>
      <c r="B59" s="2696">
        <f t="shared" si="62"/>
        <v>116.99099099099099</v>
      </c>
      <c r="C59" s="2696">
        <f t="shared" si="62"/>
        <v>118.84848484848486</v>
      </c>
      <c r="D59" s="2696">
        <f t="shared" si="28"/>
        <v>118.84848484848486</v>
      </c>
      <c r="E59" s="2696">
        <f t="shared" si="63"/>
        <v>117.60960960960961</v>
      </c>
      <c r="F59" s="2696">
        <f t="shared" si="63"/>
        <v>104</v>
      </c>
      <c r="G59" s="4269">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2629</v>
      </c>
      <c r="B60" s="2729">
        <f t="shared" si="62"/>
        <v>112.48648648648648</v>
      </c>
      <c r="C60" s="2729">
        <f t="shared" si="62"/>
        <v>115.21212121212122</v>
      </c>
      <c r="D60" s="2729">
        <f t="shared" si="28"/>
        <v>115.21212121212122</v>
      </c>
      <c r="E60" s="2729">
        <f t="shared" si="63"/>
        <v>110.4024024024024</v>
      </c>
      <c r="F60" s="2729">
        <f t="shared" si="63"/>
        <v>104</v>
      </c>
      <c r="G60" s="4270">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2630</v>
      </c>
      <c r="B61" s="2747">
        <v>111</v>
      </c>
      <c r="C61" s="2747">
        <v>114</v>
      </c>
      <c r="D61" s="2747">
        <f t="shared" si="28"/>
        <v>114</v>
      </c>
      <c r="E61" s="2747">
        <v>108</v>
      </c>
      <c r="F61" s="2748">
        <v>104</v>
      </c>
      <c r="G61" s="4268">
        <v>2003</v>
      </c>
      <c r="H61" s="2737">
        <v>4</v>
      </c>
      <c r="I61" s="2749"/>
      <c r="J61" s="2749"/>
      <c r="K61" s="2749"/>
      <c r="L61" s="2749"/>
      <c r="N61" s="2750"/>
      <c r="O61" s="2749"/>
      <c r="P61" s="2749"/>
      <c r="Q61" s="2749"/>
      <c r="S61" s="2750"/>
      <c r="T61" s="2749"/>
      <c r="U61" s="2749"/>
      <c r="V61" s="2749"/>
      <c r="X61" s="2741"/>
      <c r="Y61" s="2741"/>
      <c r="Z61" s="2741"/>
    </row>
    <row r="62" spans="1:26">
      <c r="A62" s="2682" t="s">
        <v>2631</v>
      </c>
      <c r="B62" s="2751">
        <f t="shared" ref="B62:C64" si="64">B63+(B$61-B$65)/4</f>
        <v>109.75</v>
      </c>
      <c r="C62" s="2751">
        <f t="shared" si="64"/>
        <v>112.25</v>
      </c>
      <c r="D62" s="2751">
        <f t="shared" si="28"/>
        <v>112.25</v>
      </c>
      <c r="E62" s="2751">
        <f t="shared" ref="E62:F64" si="65">E63+(E$61-E$65)/4</f>
        <v>107.25</v>
      </c>
      <c r="F62" s="2751">
        <f t="shared" si="65"/>
        <v>103.5</v>
      </c>
      <c r="G62" s="4269">
        <v>2003</v>
      </c>
      <c r="H62" s="2707">
        <v>3</v>
      </c>
      <c r="I62" s="2749"/>
      <c r="J62" s="2749"/>
      <c r="K62" s="2749"/>
      <c r="L62" s="2749"/>
      <c r="X62" s="2741"/>
      <c r="Y62" s="2741"/>
      <c r="Z62" s="2741"/>
    </row>
    <row r="63" spans="1:26">
      <c r="A63" s="2682" t="s">
        <v>2632</v>
      </c>
      <c r="B63" s="2751">
        <f t="shared" si="64"/>
        <v>108.5</v>
      </c>
      <c r="C63" s="2751">
        <f t="shared" si="64"/>
        <v>110.5</v>
      </c>
      <c r="D63" s="2751">
        <f t="shared" si="28"/>
        <v>110.5</v>
      </c>
      <c r="E63" s="2751">
        <f t="shared" si="65"/>
        <v>106.5</v>
      </c>
      <c r="F63" s="2751">
        <f t="shared" si="65"/>
        <v>103</v>
      </c>
      <c r="G63" s="4269">
        <v>2003</v>
      </c>
      <c r="H63" s="2687">
        <v>2</v>
      </c>
      <c r="I63" s="2749"/>
      <c r="J63" s="2749"/>
      <c r="K63" s="2749"/>
      <c r="L63" s="2749"/>
      <c r="X63" s="2741"/>
      <c r="Y63" s="2741"/>
      <c r="Z63" s="2741"/>
    </row>
    <row r="64" spans="1:26" ht="13.5" thickBot="1">
      <c r="A64" s="2682" t="s">
        <v>2633</v>
      </c>
      <c r="B64" s="2751">
        <f t="shared" si="64"/>
        <v>107.25</v>
      </c>
      <c r="C64" s="2751">
        <f t="shared" si="64"/>
        <v>108.75</v>
      </c>
      <c r="D64" s="2751">
        <f t="shared" si="28"/>
        <v>108.75</v>
      </c>
      <c r="E64" s="2751">
        <f t="shared" si="65"/>
        <v>105.75</v>
      </c>
      <c r="F64" s="2751">
        <f t="shared" si="65"/>
        <v>102.5</v>
      </c>
      <c r="G64" s="4270">
        <v>2003</v>
      </c>
      <c r="H64" s="2752">
        <v>1</v>
      </c>
      <c r="I64" s="2749"/>
      <c r="J64" s="2749"/>
      <c r="K64" s="2749"/>
      <c r="L64" s="2749"/>
      <c r="S64" s="2691"/>
      <c r="T64" s="2692"/>
      <c r="U64" s="2692"/>
      <c r="X64" s="2741"/>
      <c r="Y64" s="2741"/>
      <c r="Z64" s="2741"/>
    </row>
    <row r="65" spans="1:26" ht="13.5" thickBot="1">
      <c r="A65" s="2682" t="s">
        <v>2634</v>
      </c>
      <c r="B65" s="2753">
        <v>106</v>
      </c>
      <c r="C65" s="2753">
        <v>107</v>
      </c>
      <c r="D65" s="2753">
        <f t="shared" si="28"/>
        <v>107</v>
      </c>
      <c r="E65" s="2753">
        <v>105</v>
      </c>
      <c r="F65" s="2754">
        <v>102</v>
      </c>
      <c r="G65" s="4268">
        <v>2002</v>
      </c>
      <c r="H65" s="2702">
        <v>4</v>
      </c>
      <c r="I65" s="2749"/>
      <c r="J65" s="2749"/>
      <c r="K65" s="2749"/>
      <c r="L65" s="2749"/>
      <c r="N65" s="2750"/>
      <c r="O65" s="2749"/>
      <c r="P65" s="2749"/>
      <c r="Q65" s="2749"/>
      <c r="S65" s="2750"/>
      <c r="T65" s="2749"/>
      <c r="U65" s="2749"/>
      <c r="V65" s="2749"/>
      <c r="X65" s="2741"/>
      <c r="Y65" s="2741"/>
      <c r="Z65" s="2741"/>
    </row>
    <row r="66" spans="1:26">
      <c r="A66" s="2682" t="s">
        <v>2635</v>
      </c>
      <c r="B66" s="2751">
        <f t="shared" ref="B66:C68" si="66">B67+(B$65-B$69)/4</f>
        <v>105</v>
      </c>
      <c r="C66" s="2751">
        <f t="shared" si="66"/>
        <v>106</v>
      </c>
      <c r="D66" s="2751">
        <f t="shared" si="28"/>
        <v>106</v>
      </c>
      <c r="E66" s="2751">
        <f t="shared" ref="E66:F68" si="67">E67+(E$65-E$69)/4</f>
        <v>104.5</v>
      </c>
      <c r="F66" s="2751">
        <f t="shared" si="67"/>
        <v>101.5</v>
      </c>
      <c r="G66" s="4269">
        <v>2002</v>
      </c>
      <c r="H66" s="2707">
        <v>3</v>
      </c>
      <c r="I66" s="2749"/>
      <c r="J66" s="2749"/>
      <c r="K66" s="2749"/>
      <c r="L66" s="2749"/>
      <c r="X66" s="2741"/>
      <c r="Y66" s="2741"/>
      <c r="Z66" s="2741"/>
    </row>
    <row r="67" spans="1:26">
      <c r="A67" s="2682" t="s">
        <v>2636</v>
      </c>
      <c r="B67" s="2751">
        <f t="shared" si="66"/>
        <v>104</v>
      </c>
      <c r="C67" s="2751">
        <f t="shared" si="66"/>
        <v>105</v>
      </c>
      <c r="D67" s="2751">
        <f t="shared" si="28"/>
        <v>105</v>
      </c>
      <c r="E67" s="2751">
        <f t="shared" si="67"/>
        <v>104</v>
      </c>
      <c r="F67" s="2751">
        <f t="shared" si="67"/>
        <v>101</v>
      </c>
      <c r="G67" s="4269">
        <v>2002</v>
      </c>
      <c r="H67" s="2687">
        <v>2</v>
      </c>
      <c r="I67" s="2749"/>
      <c r="J67" s="2749"/>
      <c r="K67" s="2749"/>
      <c r="L67" s="2749"/>
      <c r="X67" s="2741"/>
      <c r="Y67" s="2741"/>
      <c r="Z67" s="2741"/>
    </row>
    <row r="68" spans="1:26" s="2718" customFormat="1" ht="13.5" thickBot="1">
      <c r="A68" s="2714" t="s">
        <v>2637</v>
      </c>
      <c r="B68" s="2755">
        <f t="shared" si="66"/>
        <v>103</v>
      </c>
      <c r="C68" s="2755">
        <f t="shared" si="66"/>
        <v>104</v>
      </c>
      <c r="D68" s="2755">
        <f t="shared" si="28"/>
        <v>104</v>
      </c>
      <c r="E68" s="2755">
        <f t="shared" si="67"/>
        <v>103.5</v>
      </c>
      <c r="F68" s="2755">
        <f t="shared" si="67"/>
        <v>100.5</v>
      </c>
      <c r="G68" s="4270">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2638</v>
      </c>
      <c r="G71" s="2765"/>
      <c r="N71" s="2765"/>
      <c r="S71" s="2765"/>
    </row>
    <row r="72" spans="1:26" s="2764" customFormat="1">
      <c r="A72" s="2764" t="s">
        <v>2639</v>
      </c>
      <c r="G72" s="2765"/>
      <c r="N72" s="2765"/>
      <c r="S72" s="2765"/>
    </row>
    <row r="73" spans="1:26" s="2764" customFormat="1">
      <c r="A73" s="2764" t="s">
        <v>2640</v>
      </c>
      <c r="G73" s="2765"/>
      <c r="I73" s="2766"/>
      <c r="J73" s="2766"/>
      <c r="K73" s="2766"/>
      <c r="L73" s="2766"/>
      <c r="N73" s="2767"/>
      <c r="O73" s="2766"/>
      <c r="P73" s="2766"/>
      <c r="Q73" s="2766"/>
      <c r="S73" s="2767"/>
      <c r="T73" s="2766"/>
      <c r="U73" s="2766"/>
      <c r="V73" s="2766"/>
    </row>
    <row r="74" spans="1:26" s="2764" customFormat="1">
      <c r="A74" s="2764" t="s">
        <v>2641</v>
      </c>
      <c r="G74" s="2765"/>
      <c r="N74" s="2765"/>
      <c r="S74" s="2765"/>
    </row>
    <row r="81" spans="7:22" ht="13.5" thickBot="1"/>
    <row r="82" spans="7:22">
      <c r="G82" s="2690"/>
      <c r="S82" s="2768" t="s">
        <v>2642</v>
      </c>
      <c r="T82" s="2769" t="s">
        <v>2643</v>
      </c>
      <c r="U82" s="2769" t="s">
        <v>2644</v>
      </c>
      <c r="V82" s="2769" t="s">
        <v>2645</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29" sqref="C129:F13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8"/>
      <c r="E1" s="2413" t="s">
        <v>2378</v>
      </c>
      <c r="F1" s="2414" t="b">
        <f>J53</f>
        <v>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2463</v>
      </c>
      <c r="C5" s="55">
        <f ca="1">C6+C10+C12</f>
        <v>0</v>
      </c>
      <c r="D5" s="2522" t="s">
        <v>2466</v>
      </c>
      <c r="E5" s="2516"/>
      <c r="F5" s="2517"/>
      <c r="G5" s="1593"/>
      <c r="H5" s="781">
        <v>1</v>
      </c>
      <c r="I5" s="782" t="s">
        <v>2463</v>
      </c>
      <c r="J5" s="55">
        <f ca="1">J6+J10+J12</f>
        <v>0</v>
      </c>
      <c r="K5" s="2522" t="s">
        <v>2466</v>
      </c>
      <c r="L5" s="2516"/>
      <c r="M5" s="2517"/>
    </row>
    <row r="6" spans="1:33" ht="18" customHeight="1">
      <c r="A6" s="1832" t="s">
        <v>1826</v>
      </c>
      <c r="B6" s="4259" t="s">
        <v>2468</v>
      </c>
      <c r="C6" s="783">
        <f ca="1">ROUND(F6*F8*F7*(1-F9)/10000,0)</f>
        <v>0</v>
      </c>
      <c r="D6" s="2523" t="s">
        <v>2467</v>
      </c>
      <c r="E6" s="784" t="s">
        <v>1740</v>
      </c>
      <c r="F6" s="785">
        <f ca="1">INDIRECT("'数据-取费表'!u"&amp;$G$1)</f>
        <v>0</v>
      </c>
      <c r="G6" s="1593"/>
      <c r="H6" s="2530" t="s">
        <v>2474</v>
      </c>
      <c r="I6" s="4259" t="s">
        <v>2468</v>
      </c>
      <c r="J6" s="783">
        <f ca="1">ROUND(M6*M8*M7*(1-M9)/10000,0)</f>
        <v>0</v>
      </c>
      <c r="K6" s="341" t="s">
        <v>1739</v>
      </c>
      <c r="L6" s="784" t="s">
        <v>1740</v>
      </c>
      <c r="M6" s="785">
        <f ca="1">INDIRECT("'数据-取费表'!z"&amp;$G$1)</f>
        <v>0</v>
      </c>
    </row>
    <row r="7" spans="1:33" ht="18" customHeight="1">
      <c r="A7" s="2526"/>
      <c r="B7" s="4260"/>
      <c r="C7" s="788"/>
      <c r="D7" s="789"/>
      <c r="E7" s="784" t="s">
        <v>1741</v>
      </c>
      <c r="F7" s="785">
        <f ca="1">IF(INDIRECT("'数据-取费表'!ah"&amp;$G$1)="",INDIRECT("'数据-取费表'!k"&amp;$G$1),INDIRECT("'数据-取费表'!ah"&amp;$G$1))</f>
        <v>0</v>
      </c>
      <c r="G7" s="1593"/>
      <c r="H7" s="2515"/>
      <c r="I7" s="4260"/>
      <c r="J7" s="788"/>
      <c r="K7" s="789"/>
      <c r="L7" s="784" t="s">
        <v>1741</v>
      </c>
      <c r="M7" s="785">
        <f ca="1">F7</f>
        <v>0</v>
      </c>
    </row>
    <row r="8" spans="1:33" ht="18" customHeight="1">
      <c r="A8" s="2519"/>
      <c r="B8" s="4261"/>
      <c r="C8" s="788"/>
      <c r="D8" s="789"/>
      <c r="E8" s="784" t="s">
        <v>1742</v>
      </c>
      <c r="F8" s="785">
        <f ca="1">INDIRECT("'数据-取费表'!ai"&amp;$G$1)</f>
        <v>0</v>
      </c>
      <c r="G8" s="1593"/>
      <c r="H8" s="2515"/>
      <c r="I8" s="4261"/>
      <c r="J8" s="788"/>
      <c r="K8" s="789"/>
      <c r="L8" s="784" t="s">
        <v>1742</v>
      </c>
      <c r="M8" s="785">
        <f ca="1">INDIRECT("'数据-取费表'!ai"&amp;$G$1)</f>
        <v>0</v>
      </c>
    </row>
    <row r="9" spans="1:33" ht="18" customHeight="1">
      <c r="A9" s="786"/>
      <c r="B9" s="4262"/>
      <c r="C9" s="788"/>
      <c r="D9" s="789"/>
      <c r="E9" s="784" t="s">
        <v>1743</v>
      </c>
      <c r="F9" s="794">
        <f ca="1">INDIRECT("'数据-取费表'!w"&amp;$G$1)</f>
        <v>0</v>
      </c>
      <c r="G9" s="1593"/>
      <c r="H9" s="2531"/>
      <c r="I9" s="4261"/>
      <c r="J9" s="788"/>
      <c r="K9" s="789"/>
      <c r="L9" s="795" t="s">
        <v>1743</v>
      </c>
      <c r="M9" s="796">
        <f ca="1">INDIRECT("'数据-取费表'!ab"&amp;$G$1)</f>
        <v>0</v>
      </c>
    </row>
    <row r="10" spans="1:33" ht="18" customHeight="1">
      <c r="A10" s="1832" t="s">
        <v>2472</v>
      </c>
      <c r="B10" s="2520" t="s">
        <v>2464</v>
      </c>
      <c r="C10" s="799">
        <f ca="1">ROUND(IF(F10="押一",F6*F8*F7/12*F11,IF(F10="押二",F6*F8*F7/12*2*F11,IF(F10="押三",F6*F8*F7/12*3*F11,C11*F11)))/10000,0)</f>
        <v>0</v>
      </c>
      <c r="D10" s="2527" t="s">
        <v>2471</v>
      </c>
      <c r="E10" s="2524" t="s">
        <v>2469</v>
      </c>
      <c r="F10" s="2647"/>
      <c r="G10" s="1593"/>
      <c r="H10" s="2587" t="s">
        <v>2475</v>
      </c>
      <c r="I10" s="2592" t="s">
        <v>2464</v>
      </c>
      <c r="J10" s="783">
        <f ca="1">ROUND(IF(M10="押一",M6*M8*M7/12*M11,IF(M10="押二",M6*M8*M7/12*2*M11,IF(M10="押三",M6*M8*M7/12*3*M11,J11*M11)))/10000,0)</f>
        <v>0</v>
      </c>
      <c r="K10" s="2527" t="s">
        <v>2471</v>
      </c>
      <c r="L10" s="2524" t="s">
        <v>2469</v>
      </c>
      <c r="M10" s="2647"/>
    </row>
    <row r="11" spans="1:33" ht="18" customHeight="1">
      <c r="A11" s="790"/>
      <c r="B11" s="2521" t="s">
        <v>2579</v>
      </c>
      <c r="C11" s="2525"/>
      <c r="D11" s="789"/>
      <c r="E11" s="2524" t="s">
        <v>2470</v>
      </c>
      <c r="F11" s="796">
        <f ca="1">'数据-取费表'!B39</f>
        <v>1.4999999999999999E-2</v>
      </c>
      <c r="G11" s="1593"/>
      <c r="H11" s="2588"/>
      <c r="I11" s="2521" t="s">
        <v>2579</v>
      </c>
      <c r="J11" s="2525"/>
      <c r="K11" s="2589"/>
      <c r="L11" s="2524" t="s">
        <v>2470</v>
      </c>
      <c r="M11" s="2518">
        <f ca="1">'数据-取费表'!B39</f>
        <v>1.4999999999999999E-2</v>
      </c>
    </row>
    <row r="12" spans="1:33" ht="18" customHeight="1" thickBot="1">
      <c r="A12" s="2563" t="s">
        <v>2473</v>
      </c>
      <c r="B12" s="2564" t="s">
        <v>2465</v>
      </c>
      <c r="C12" s="2565"/>
      <c r="D12" s="2566"/>
      <c r="E12" s="2567"/>
      <c r="F12" s="2568"/>
      <c r="G12" s="1593"/>
      <c r="H12" s="2577" t="s">
        <v>2476</v>
      </c>
      <c r="I12" s="2590" t="s">
        <v>2465</v>
      </c>
      <c r="J12" s="2591"/>
      <c r="K12" s="2566"/>
      <c r="L12" s="2567"/>
      <c r="M12" s="2580"/>
    </row>
    <row r="13" spans="1:33" ht="18" customHeight="1" thickTop="1">
      <c r="A13" s="1831">
        <v>2</v>
      </c>
      <c r="B13" s="1829" t="s">
        <v>1744</v>
      </c>
      <c r="C13" s="792">
        <f ca="1">ROUND(C29*F13,0)</f>
        <v>0</v>
      </c>
      <c r="D13" s="1836" t="s">
        <v>2300</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2834</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150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2301</v>
      </c>
      <c r="E21" s="784" t="s">
        <v>1767</v>
      </c>
      <c r="F21" s="809">
        <f>'数据-取费表'!B38</f>
        <v>0.02</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2541</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1.4E-3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7" t="s">
        <v>2830</v>
      </c>
      <c r="J25" s="792">
        <f ca="1">J5-J16</f>
        <v>0</v>
      </c>
      <c r="K25" s="2574" t="s">
        <v>1779</v>
      </c>
      <c r="L25" s="2575"/>
      <c r="M25" s="2576"/>
    </row>
    <row r="26" spans="1:33" ht="18" customHeight="1">
      <c r="A26" s="1649" t="s">
        <v>1833</v>
      </c>
      <c r="B26" s="784" t="s">
        <v>2442</v>
      </c>
      <c r="C26" s="53">
        <f ca="1">ROUND((C19+C20)*F26,0)</f>
        <v>0</v>
      </c>
      <c r="D26" s="812" t="s">
        <v>1780</v>
      </c>
      <c r="E26" s="795" t="s">
        <v>1781</v>
      </c>
      <c r="F26" s="794">
        <f ca="1">INDIRECT("'数据-取费表'!q"&amp;$G$1)</f>
        <v>0</v>
      </c>
      <c r="G26" s="1593"/>
      <c r="H26" s="2528" t="s">
        <v>1782</v>
      </c>
      <c r="I26" s="2234" t="s">
        <v>2835</v>
      </c>
      <c r="J26" s="783">
        <f ca="1">IF(J5&lt;&gt;0,ROUND(J25*(1-((1+M28)/(1+M26))^M27)/(M26-M28),0),0)</f>
        <v>0</v>
      </c>
      <c r="K26" s="814" t="s">
        <v>1783</v>
      </c>
      <c r="L26" s="784" t="s">
        <v>2423</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2302</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8</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7" t="s">
        <v>2830</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2304</v>
      </c>
      <c r="C40" s="783" t="e">
        <f ca="1">ROUND(C39*(1-((1+F42)/(1+F40))^F41)/(F40-F42),0)</f>
        <v>#DIV/0!</v>
      </c>
      <c r="D40" s="814" t="s">
        <v>1809</v>
      </c>
      <c r="E40" s="784" t="s">
        <v>2423</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2972</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2346</v>
      </c>
      <c r="J46" s="2381"/>
      <c r="K46" s="2382"/>
      <c r="L46" s="2383" t="str">
        <f ca="1">IF(M47="住宅",0,IF(L48&gt;J51,L60,J60))</f>
        <v>0</v>
      </c>
      <c r="O46" s="2420" t="s">
        <v>2414</v>
      </c>
      <c r="P46" s="1593"/>
      <c r="Q46" s="1605"/>
      <c r="R46" s="1593"/>
    </row>
    <row r="47" spans="1:18" s="2061" customFormat="1" ht="18" customHeight="1" thickBot="1">
      <c r="A47" s="2374">
        <v>1</v>
      </c>
      <c r="B47" s="2375" t="s">
        <v>636</v>
      </c>
      <c r="C47" s="2600">
        <f ca="1">C48+C52+C54</f>
        <v>0</v>
      </c>
      <c r="D47" s="2087"/>
      <c r="E47" s="2087"/>
      <c r="F47" s="2087"/>
      <c r="I47" s="2384" t="s">
        <v>2347</v>
      </c>
      <c r="J47" s="2389"/>
      <c r="K47" s="2390" t="s">
        <v>2353</v>
      </c>
      <c r="L47" s="2391">
        <f ca="1">INDIRECT("'数据-取费表'!d"&amp;$G$1)</f>
        <v>0</v>
      </c>
      <c r="M47" s="1605" t="str">
        <f>IF(ISNUMBER(FIND("住宅",C1)),"住宅","非住宅")</f>
        <v>非住宅</v>
      </c>
      <c r="O47" s="2421" t="s">
        <v>2379</v>
      </c>
      <c r="P47" s="2422" t="s">
        <v>2380</v>
      </c>
      <c r="Q47" s="2423" t="s">
        <v>2381</v>
      </c>
      <c r="R47" s="2422" t="s">
        <v>2382</v>
      </c>
    </row>
    <row r="48" spans="1:18" s="2061" customFormat="1" ht="18" customHeight="1" thickBot="1">
      <c r="A48" s="2669" t="s">
        <v>2543</v>
      </c>
      <c r="B48" s="2670" t="s">
        <v>2544</v>
      </c>
      <c r="C48" s="2376">
        <f ca="1">ROUND(F48*F50*F49*(1-F51)/10000,0)</f>
        <v>0</v>
      </c>
      <c r="D48" s="2377" t="s">
        <v>637</v>
      </c>
      <c r="E48" s="2378" t="s">
        <v>2299</v>
      </c>
      <c r="F48" s="2379"/>
      <c r="G48" s="2092"/>
      <c r="I48" s="2385" t="s">
        <v>2348</v>
      </c>
      <c r="J48" s="2392"/>
      <c r="K48" s="2393" t="s">
        <v>2355</v>
      </c>
      <c r="L48" s="2394">
        <f ca="1">INDIRECT("'数据-取费表'!f"&amp;$G$1)</f>
        <v>0</v>
      </c>
      <c r="O48" s="2424" t="s">
        <v>2383</v>
      </c>
      <c r="P48" s="2425" t="s">
        <v>2409</v>
      </c>
      <c r="Q48" s="2426" t="e">
        <f ca="1">C40+J29</f>
        <v>#DIV/0!</v>
      </c>
      <c r="R48" s="2425" t="s">
        <v>2384</v>
      </c>
    </row>
    <row r="49" spans="1:18" s="2061" customFormat="1" ht="18" customHeight="1" thickBot="1">
      <c r="A49" s="786"/>
      <c r="B49" s="787"/>
      <c r="C49" s="788"/>
      <c r="D49" s="789"/>
      <c r="E49" s="784" t="s">
        <v>1741</v>
      </c>
      <c r="F49" s="785">
        <f ca="1">F7</f>
        <v>0</v>
      </c>
      <c r="G49" s="2092"/>
      <c r="H49" s="2095"/>
      <c r="I49" s="2385" t="s">
        <v>2349</v>
      </c>
      <c r="J49" s="2395"/>
      <c r="K49" s="2396" t="s">
        <v>2356</v>
      </c>
      <c r="L49" s="2397"/>
      <c r="O49" s="2424" t="s">
        <v>2385</v>
      </c>
      <c r="P49" s="2425" t="s">
        <v>2410</v>
      </c>
      <c r="Q49" s="2426" t="str">
        <f ca="1">J60</f>
        <v>0</v>
      </c>
      <c r="R49" s="2425" t="s">
        <v>2386</v>
      </c>
    </row>
    <row r="50" spans="1:18" s="2061" customFormat="1" ht="18" customHeight="1" thickBot="1">
      <c r="A50" s="786"/>
      <c r="B50" s="787"/>
      <c r="C50" s="788"/>
      <c r="D50" s="789"/>
      <c r="E50" s="784" t="s">
        <v>1742</v>
      </c>
      <c r="F50" s="785">
        <f ca="1">F8</f>
        <v>0</v>
      </c>
      <c r="G50" s="2097"/>
      <c r="H50" s="2095"/>
      <c r="I50" s="2385" t="s">
        <v>2350</v>
      </c>
      <c r="J50" s="2398">
        <f>SUMPRODUCT((I63:I65=J47)*(J62:L62=J48)*(J63:L65))</f>
        <v>0</v>
      </c>
      <c r="K50" s="2396" t="s">
        <v>2357</v>
      </c>
      <c r="L50" s="2397"/>
      <c r="O50" s="2427" t="s">
        <v>2387</v>
      </c>
      <c r="P50" s="2425" t="s">
        <v>2411</v>
      </c>
      <c r="Q50" s="2426">
        <f ca="1">C29</f>
        <v>0</v>
      </c>
      <c r="R50" s="2425" t="s">
        <v>2384</v>
      </c>
    </row>
    <row r="51" spans="1:18" s="2061" customFormat="1" ht="18" customHeight="1" thickBot="1">
      <c r="A51" s="786"/>
      <c r="B51" s="787"/>
      <c r="C51" s="788"/>
      <c r="D51" s="789"/>
      <c r="E51" s="784" t="s">
        <v>641</v>
      </c>
      <c r="F51" s="2373"/>
      <c r="H51" s="2095"/>
      <c r="I51" s="2386" t="s">
        <v>2351</v>
      </c>
      <c r="J51" s="2399">
        <f>IF(J49="",J50,J49+J50-YEAR('数据-取费表'!B2))</f>
        <v>0</v>
      </c>
      <c r="K51" s="2385" t="s">
        <v>2358</v>
      </c>
      <c r="L51" s="2400">
        <f ca="1">ROUND(-PV(INDIRECT("'数据-取费表'!h"&amp;$G$1),L48,(C39-C13*J36),0),0)</f>
        <v>0</v>
      </c>
      <c r="O51" s="2427" t="s">
        <v>2388</v>
      </c>
      <c r="P51" s="2425" t="s">
        <v>2389</v>
      </c>
      <c r="Q51" s="2428" t="e">
        <f ca="1">J58</f>
        <v>#VALUE!</v>
      </c>
      <c r="R51" s="2429"/>
    </row>
    <row r="52" spans="1:18" s="2061" customFormat="1" ht="18" customHeight="1" thickBot="1">
      <c r="A52" s="781" t="s">
        <v>2542</v>
      </c>
      <c r="B52" s="2520" t="s">
        <v>2464</v>
      </c>
      <c r="C52" s="799">
        <f ca="1">ROUND(IF(F52="押一",F48*F50*F49/12*F11,IF(F52="押二",F48*F50*F49/12*2*F11,IF(F52="押三",F48*F50*F49/12*3*F11,C53*F11)))/10000,0)</f>
        <v>0</v>
      </c>
      <c r="D52" s="2527" t="s">
        <v>2471</v>
      </c>
      <c r="E52" s="2524" t="s">
        <v>2469</v>
      </c>
      <c r="F52" s="2647"/>
      <c r="I52" s="2387" t="s">
        <v>2425</v>
      </c>
      <c r="J52" s="2401"/>
      <c r="K52" s="2387" t="s">
        <v>2424</v>
      </c>
      <c r="L52" s="2401"/>
      <c r="O52" s="2427" t="s">
        <v>2390</v>
      </c>
      <c r="P52" s="2425" t="s">
        <v>2391</v>
      </c>
      <c r="Q52" s="2428">
        <f>J52</f>
        <v>0</v>
      </c>
      <c r="R52" s="2429"/>
    </row>
    <row r="53" spans="1:18" s="2061" customFormat="1" ht="39.75" customHeight="1" thickBot="1">
      <c r="A53" s="786"/>
      <c r="B53" s="2521" t="s">
        <v>2579</v>
      </c>
      <c r="C53" s="2525"/>
      <c r="D53" s="2527"/>
      <c r="E53" s="2524"/>
      <c r="F53" s="800"/>
      <c r="I53" s="2388" t="s">
        <v>2352</v>
      </c>
      <c r="J53" s="2402" t="b">
        <f>IF(M47="住宅",J51,IF(D1="——",MIN(J51,L48),IF(D1="土地（套用方法）",MIN(J51,L48-'数据-取费表'!B20))))</f>
        <v>0</v>
      </c>
      <c r="K53" s="4275" t="s">
        <v>2974</v>
      </c>
      <c r="L53" s="4276"/>
      <c r="O53" s="2427" t="s">
        <v>2392</v>
      </c>
      <c r="P53" s="2425" t="s">
        <v>2393</v>
      </c>
      <c r="Q53" s="2426" t="b">
        <f>J53</f>
        <v>0</v>
      </c>
      <c r="R53" s="2425" t="s">
        <v>2394</v>
      </c>
    </row>
    <row r="54" spans="1:18" s="2061" customFormat="1" ht="18" customHeight="1" thickBot="1">
      <c r="A54" s="2563" t="s">
        <v>2473</v>
      </c>
      <c r="B54" s="2564" t="s">
        <v>2465</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2395</v>
      </c>
      <c r="P54" s="2425" t="s">
        <v>2412</v>
      </c>
      <c r="Q54" s="2426" t="e">
        <f ca="1">Q48+Q49</f>
        <v>#DIV/0!</v>
      </c>
      <c r="R54" s="2429" t="s">
        <v>2396</v>
      </c>
    </row>
    <row r="55" spans="1:18" s="2061" customFormat="1" ht="18" customHeight="1" thickTop="1" thickBot="1">
      <c r="A55" s="797">
        <v>2</v>
      </c>
      <c r="B55" s="798" t="s">
        <v>645</v>
      </c>
      <c r="C55" s="799">
        <f ca="1">C13</f>
        <v>0</v>
      </c>
      <c r="D55" s="795"/>
      <c r="E55" s="795"/>
      <c r="F55" s="800"/>
      <c r="I55" s="3129" t="s">
        <v>2359</v>
      </c>
      <c r="J55" s="3128" t="e">
        <f ca="1">ROUND(IF(J47="钢混",J57/J50,1-(1-2%)*(J50-J57)/J50),3)</f>
        <v>#VALUE!</v>
      </c>
      <c r="K55" s="2403" t="s">
        <v>2360</v>
      </c>
      <c r="L55" s="2404"/>
      <c r="O55" s="2430" t="s">
        <v>2415</v>
      </c>
      <c r="P55" s="1593"/>
      <c r="Q55" s="1605"/>
      <c r="R55" s="1593"/>
    </row>
    <row r="56" spans="1:18" s="2061" customFormat="1" ht="42.75" customHeight="1" thickBot="1">
      <c r="A56" s="1651"/>
      <c r="B56" s="2233" t="s">
        <v>2305</v>
      </c>
      <c r="C56" s="53">
        <f ca="1">C29</f>
        <v>0</v>
      </c>
      <c r="D56" s="2666"/>
      <c r="E56" s="784"/>
      <c r="F56" s="809"/>
      <c r="I56" s="2405" t="s">
        <v>2361</v>
      </c>
      <c r="J56" s="3152" t="s">
        <v>1680</v>
      </c>
      <c r="K56" s="2385" t="s">
        <v>2366</v>
      </c>
      <c r="L56" s="2394">
        <f ca="1">IF(L48&lt;J51,"——",L48-J51)</f>
        <v>0</v>
      </c>
      <c r="O56" s="2421" t="s">
        <v>2379</v>
      </c>
      <c r="P56" s="2422" t="s">
        <v>2380</v>
      </c>
      <c r="Q56" s="2423" t="s">
        <v>2381</v>
      </c>
      <c r="R56" s="2422" t="s">
        <v>2382</v>
      </c>
    </row>
    <row r="57" spans="1:18" s="2061" customFormat="1" ht="28.5" customHeight="1" thickBot="1">
      <c r="A57" s="797" t="s">
        <v>1750</v>
      </c>
      <c r="B57" s="798" t="s">
        <v>652</v>
      </c>
      <c r="C57" s="799">
        <f ca="1">ROUND(C58+C63+C64+C65,0)</f>
        <v>0</v>
      </c>
      <c r="D57" s="26" t="s">
        <v>1752</v>
      </c>
      <c r="E57" s="2667"/>
      <c r="F57" s="56"/>
      <c r="I57" s="2406" t="s">
        <v>2362</v>
      </c>
      <c r="J57" s="2408" t="str">
        <f ca="1">IF(OR(M47="住宅",J51&lt;L48,J56="是"),"——",J51-L48)</f>
        <v>——</v>
      </c>
      <c r="K57" s="2385" t="s">
        <v>2367</v>
      </c>
      <c r="L57" s="2394">
        <f ca="1">IF(L48&lt;J51,"——",IF(L55="比较法",L49,IF(L55="基准地价",L50,L51)))</f>
        <v>0</v>
      </c>
      <c r="O57" s="2424" t="s">
        <v>2383</v>
      </c>
      <c r="P57" s="2425" t="s">
        <v>2413</v>
      </c>
      <c r="Q57" s="2426" t="e">
        <f ca="1">C40+J29</f>
        <v>#DIV/0!</v>
      </c>
      <c r="R57" s="2425" t="s">
        <v>2384</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2363</v>
      </c>
      <c r="J58" s="3130" t="e">
        <f ca="1">IF(J55&lt;0.4,0.4,J55)</f>
        <v>#VALUE!</v>
      </c>
      <c r="K58" s="2385" t="s">
        <v>2368</v>
      </c>
      <c r="L58" s="2394" t="e">
        <f ca="1">ROUND(POWER(1+L52,L47-L48)*(POWER(1+L52,L48)-1)/(POWER(1+L52,L47)-1),4)</f>
        <v>#DIV/0!</v>
      </c>
      <c r="O58" s="2424" t="s">
        <v>2385</v>
      </c>
      <c r="P58" s="2425" t="s">
        <v>2416</v>
      </c>
      <c r="Q58" s="2426" t="e">
        <f ca="1">L60</f>
        <v>#DIV/0!</v>
      </c>
      <c r="R58" s="2429" t="s">
        <v>2418</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2364</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2387</v>
      </c>
      <c r="P59" s="2425" t="s">
        <v>2417</v>
      </c>
      <c r="Q59" s="2426">
        <f>IF(L55="比较法",L49,IF(L55="基准地价",L50,0))</f>
        <v>0</v>
      </c>
      <c r="R59" s="2425" t="s">
        <v>2384</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2365</v>
      </c>
      <c r="J60" s="2409" t="str">
        <f ca="1">IF(OR(M47="住宅",J51&lt;L48,J56="是"),"0",ROUND(J59/(1+J52)^J53,0))</f>
        <v>0</v>
      </c>
      <c r="K60" s="2410" t="s">
        <v>2370</v>
      </c>
      <c r="L60" s="2409" t="e">
        <f ca="1">IF(OR(M47="住宅",L48&lt;J51),0,ROUND(L57*(L58/L59-1),0))</f>
        <v>#DIV/0!</v>
      </c>
      <c r="O60" s="2427" t="s">
        <v>2388</v>
      </c>
      <c r="P60" s="2425" t="s">
        <v>2397</v>
      </c>
      <c r="Q60" s="2428">
        <f>L52</f>
        <v>0</v>
      </c>
      <c r="R60" s="2429"/>
    </row>
    <row r="61" spans="1:18" s="2061" customFormat="1" ht="18" customHeight="1" thickBot="1">
      <c r="A61" s="1652" t="s">
        <v>1835</v>
      </c>
      <c r="B61" s="341" t="s">
        <v>669</v>
      </c>
      <c r="C61" s="54">
        <f ca="1">ROUND(F61*F62/10000,1)</f>
        <v>0</v>
      </c>
      <c r="D61" s="814" t="s">
        <v>670</v>
      </c>
      <c r="E61" s="784" t="s">
        <v>671</v>
      </c>
      <c r="F61" s="640">
        <f t="shared" si="0"/>
        <v>8</v>
      </c>
      <c r="K61" s="2088"/>
      <c r="O61" s="2427" t="s">
        <v>2390</v>
      </c>
      <c r="P61" s="2425" t="s">
        <v>2398</v>
      </c>
      <c r="Q61" s="2426" t="e">
        <f ca="1">L58</f>
        <v>#DIV/0!</v>
      </c>
      <c r="R61" s="2429" t="s">
        <v>2399</v>
      </c>
    </row>
    <row r="62" spans="1:18" s="2061" customFormat="1" ht="15.75" thickBot="1">
      <c r="A62" s="815"/>
      <c r="B62" s="793"/>
      <c r="C62" s="69"/>
      <c r="D62" s="816"/>
      <c r="E62" s="784" t="s">
        <v>675</v>
      </c>
      <c r="F62" s="785">
        <f t="shared" ca="1" si="0"/>
        <v>0</v>
      </c>
      <c r="I62" s="2411" t="s">
        <v>2371</v>
      </c>
      <c r="J62" s="2412" t="s">
        <v>2372</v>
      </c>
      <c r="K62" s="2412" t="s">
        <v>2373</v>
      </c>
      <c r="L62" s="2412" t="s">
        <v>2354</v>
      </c>
      <c r="M62" s="3131" t="s">
        <v>2949</v>
      </c>
      <c r="O62" s="2427" t="s">
        <v>2392</v>
      </c>
      <c r="P62" s="2425" t="str">
        <f>K59</f>
        <v>建设期及建筑物耐用年限下的土地年期修正系数Kn</v>
      </c>
      <c r="Q62" s="2426" t="e">
        <f ca="1">L59</f>
        <v>#DIV/0!</v>
      </c>
      <c r="R62" s="2429" t="s">
        <v>2401</v>
      </c>
    </row>
    <row r="63" spans="1:18" s="2061" customFormat="1" ht="15.75" thickBot="1">
      <c r="A63" s="1650" t="s">
        <v>1891</v>
      </c>
      <c r="B63" s="784" t="s">
        <v>677</v>
      </c>
      <c r="C63" s="53">
        <f ca="1">ROUND(C56*F63,1)</f>
        <v>0</v>
      </c>
      <c r="D63" s="2666" t="s">
        <v>1805</v>
      </c>
      <c r="E63" s="784" t="s">
        <v>1749</v>
      </c>
      <c r="F63" s="817">
        <f t="shared" ca="1" si="0"/>
        <v>0</v>
      </c>
      <c r="I63" s="2411" t="s">
        <v>2374</v>
      </c>
      <c r="J63" s="2412">
        <v>70</v>
      </c>
      <c r="K63" s="2412">
        <v>50</v>
      </c>
      <c r="L63" s="2412">
        <v>80</v>
      </c>
      <c r="M63" s="3132">
        <v>0.02</v>
      </c>
      <c r="O63" s="2424" t="s">
        <v>2395</v>
      </c>
      <c r="P63" s="2425" t="s">
        <v>2412</v>
      </c>
      <c r="Q63" s="2426" t="e">
        <f ca="1">Q57+Q58</f>
        <v>#DIV/0!</v>
      </c>
      <c r="R63" s="2429" t="s">
        <v>2396</v>
      </c>
    </row>
    <row r="64" spans="1:18" s="2061" customFormat="1" ht="16.5" thickBot="1">
      <c r="A64" s="1650" t="s">
        <v>1892</v>
      </c>
      <c r="B64" s="784" t="s">
        <v>680</v>
      </c>
      <c r="C64" s="53">
        <f ca="1">ROUND(C55*F64,1)</f>
        <v>0</v>
      </c>
      <c r="D64" s="2666" t="s">
        <v>681</v>
      </c>
      <c r="E64" s="784" t="s">
        <v>1749</v>
      </c>
      <c r="F64" s="818">
        <f t="shared" ca="1" si="0"/>
        <v>0</v>
      </c>
      <c r="I64" s="2411" t="s">
        <v>2375</v>
      </c>
      <c r="J64" s="2412">
        <v>50</v>
      </c>
      <c r="K64" s="2412">
        <v>35</v>
      </c>
      <c r="L64" s="2412">
        <v>60</v>
      </c>
      <c r="M64" s="3133">
        <v>0</v>
      </c>
      <c r="O64" s="2430" t="s">
        <v>2419</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2376</v>
      </c>
      <c r="J65" s="2412">
        <v>40</v>
      </c>
      <c r="K65" s="2412">
        <v>30</v>
      </c>
      <c r="L65" s="2412">
        <v>50</v>
      </c>
      <c r="M65" s="3132">
        <v>0.02</v>
      </c>
      <c r="O65" s="2421" t="s">
        <v>2379</v>
      </c>
      <c r="P65" s="2422" t="s">
        <v>2380</v>
      </c>
      <c r="Q65" s="2423" t="s">
        <v>2381</v>
      </c>
      <c r="R65" s="2422" t="s">
        <v>2382</v>
      </c>
    </row>
    <row r="66" spans="1:18" s="2061" customFormat="1" ht="24.75" thickBot="1">
      <c r="A66" s="797" t="s">
        <v>1778</v>
      </c>
      <c r="B66" s="3038" t="s">
        <v>2830</v>
      </c>
      <c r="C66" s="799">
        <f ca="1">C47-C57</f>
        <v>0</v>
      </c>
      <c r="D66" s="2665" t="s">
        <v>701</v>
      </c>
      <c r="E66" s="2664"/>
      <c r="F66" s="820"/>
      <c r="K66" s="2088"/>
      <c r="O66" s="2424" t="s">
        <v>2383</v>
      </c>
      <c r="P66" s="2425" t="s">
        <v>2413</v>
      </c>
      <c r="Q66" s="2426" t="e">
        <f ca="1">C40+J29</f>
        <v>#DIV/0!</v>
      </c>
      <c r="R66" s="2425" t="s">
        <v>2384</v>
      </c>
    </row>
    <row r="67" spans="1:18" s="2061" customFormat="1" ht="20.25" thickBot="1">
      <c r="A67" s="781" t="s">
        <v>1782</v>
      </c>
      <c r="B67" s="2234" t="s">
        <v>2304</v>
      </c>
      <c r="C67" s="783" t="e">
        <f ca="1">ROUND(C66*(1-((1+F69)/(1+F67))^F68)/(F67-F69),0)</f>
        <v>#DIV/0!</v>
      </c>
      <c r="D67" s="814" t="s">
        <v>705</v>
      </c>
      <c r="E67" s="784" t="s">
        <v>706</v>
      </c>
      <c r="F67" s="794">
        <f ca="1">F40</f>
        <v>0</v>
      </c>
      <c r="K67" s="2088"/>
      <c r="O67" s="2424" t="s">
        <v>2385</v>
      </c>
      <c r="P67" s="2425" t="s">
        <v>2416</v>
      </c>
      <c r="Q67" s="2426" t="e">
        <f ca="1">L60</f>
        <v>#DIV/0!</v>
      </c>
      <c r="R67" s="2429" t="s">
        <v>2418</v>
      </c>
    </row>
    <row r="68" spans="1:18" ht="21.75" thickBot="1">
      <c r="A68" s="786"/>
      <c r="B68" s="787"/>
      <c r="C68" s="788"/>
      <c r="D68" s="821" t="s">
        <v>1810</v>
      </c>
      <c r="E68" s="784" t="s">
        <v>1786</v>
      </c>
      <c r="F68" s="822">
        <f ca="1">F41</f>
        <v>0</v>
      </c>
      <c r="O68" s="2427" t="s">
        <v>2387</v>
      </c>
      <c r="P68" s="2425" t="s">
        <v>2417</v>
      </c>
      <c r="Q68" s="2431">
        <f ca="1">L51</f>
        <v>0</v>
      </c>
      <c r="R68" s="2432" t="s">
        <v>2420</v>
      </c>
    </row>
    <row r="69" spans="1:18" ht="20.25" thickBot="1">
      <c r="A69" s="790"/>
      <c r="B69" s="791"/>
      <c r="C69" s="792"/>
      <c r="D69" s="816"/>
      <c r="E69" s="784" t="s">
        <v>711</v>
      </c>
      <c r="F69" s="2373"/>
      <c r="O69" s="2427" t="s">
        <v>2388</v>
      </c>
      <c r="P69" s="2433" t="s">
        <v>2402</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2403</v>
      </c>
      <c r="P70" s="2433" t="s">
        <v>2404</v>
      </c>
      <c r="Q70" s="2426">
        <f ca="1">C39</f>
        <v>0</v>
      </c>
      <c r="R70" s="2425" t="s">
        <v>2384</v>
      </c>
    </row>
    <row r="71" spans="1:18" ht="15.75" thickBot="1">
      <c r="O71" s="2427" t="s">
        <v>2405</v>
      </c>
      <c r="P71" s="2433" t="s">
        <v>2406</v>
      </c>
      <c r="Q71" s="2426">
        <f ca="1">C13</f>
        <v>0</v>
      </c>
      <c r="R71" s="2425" t="s">
        <v>2384</v>
      </c>
    </row>
    <row r="72" spans="1:18" ht="15.75" thickBot="1">
      <c r="O72" s="2427" t="s">
        <v>2407</v>
      </c>
      <c r="P72" s="2433" t="s">
        <v>2408</v>
      </c>
      <c r="Q72" s="2428">
        <f ca="1">J36</f>
        <v>0</v>
      </c>
      <c r="R72" s="2429"/>
    </row>
    <row r="73" spans="1:18" ht="15.75" thickBot="1">
      <c r="O73" s="2427" t="s">
        <v>2390</v>
      </c>
      <c r="P73" s="2425" t="s">
        <v>2397</v>
      </c>
      <c r="Q73" s="2428">
        <f>L52</f>
        <v>0</v>
      </c>
      <c r="R73" s="2429"/>
    </row>
    <row r="74" spans="1:18" ht="20.25" thickBot="1">
      <c r="O74" s="2427" t="s">
        <v>2392</v>
      </c>
      <c r="P74" s="2425" t="s">
        <v>2398</v>
      </c>
      <c r="Q74" s="2426" t="e">
        <f ca="1">L58</f>
        <v>#DIV/0!</v>
      </c>
      <c r="R74" s="2429" t="s">
        <v>2399</v>
      </c>
    </row>
    <row r="75" spans="1:18" ht="15.75" thickBot="1">
      <c r="O75" s="2427" t="s">
        <v>2421</v>
      </c>
      <c r="P75" s="2425" t="str">
        <f>K59</f>
        <v>建设期及建筑物耐用年限下的土地年期修正系数Kn</v>
      </c>
      <c r="Q75" s="2426" t="e">
        <f ca="1">L59</f>
        <v>#DIV/0!</v>
      </c>
      <c r="R75" s="2429" t="s">
        <v>2401</v>
      </c>
    </row>
    <row r="76" spans="1:18" ht="15.75" thickBot="1">
      <c r="O76" s="2424" t="s">
        <v>2395</v>
      </c>
      <c r="P76" s="2425" t="s">
        <v>2412</v>
      </c>
      <c r="Q76" s="2426" t="e">
        <f ca="1">Q66+Q67</f>
        <v>#DIV/0!</v>
      </c>
      <c r="R76" s="2429"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9" sqref="C129:F134"/>
    </sheetView>
  </sheetViews>
  <sheetFormatPr defaultRowHeight="13.5"/>
  <cols>
    <col min="1" max="1" width="10.5" customWidth="1"/>
    <col min="2" max="2" width="12.875" customWidth="1"/>
    <col min="3" max="3" width="8.75" customWidth="1"/>
  </cols>
  <sheetData>
    <row r="1" spans="1:9" ht="14.25">
      <c r="A1" s="4293" t="s">
        <v>2477</v>
      </c>
      <c r="B1" s="4294"/>
      <c r="C1" s="4295"/>
      <c r="D1" s="4296">
        <f>SUM(I10,I15,I20,I21,I23)</f>
        <v>0</v>
      </c>
      <c r="E1" s="4296"/>
      <c r="F1" s="4296"/>
      <c r="G1" s="4296"/>
      <c r="H1" s="4296"/>
      <c r="I1" s="4297"/>
    </row>
    <row r="2" spans="1:9">
      <c r="A2" s="4283" t="s">
        <v>2478</v>
      </c>
      <c r="B2" s="4284" t="s">
        <v>2479</v>
      </c>
      <c r="C2" s="4284"/>
      <c r="D2" s="2533" t="s">
        <v>2480</v>
      </c>
      <c r="E2" s="2533" t="s">
        <v>2481</v>
      </c>
      <c r="F2" s="2533" t="s">
        <v>2482</v>
      </c>
      <c r="G2" s="2533" t="s">
        <v>2483</v>
      </c>
      <c r="H2" s="2533" t="s">
        <v>2484</v>
      </c>
      <c r="I2" s="2534" t="s">
        <v>2485</v>
      </c>
    </row>
    <row r="3" spans="1:9">
      <c r="A3" s="4283"/>
      <c r="B3" s="4284" t="s">
        <v>2486</v>
      </c>
      <c r="C3" s="4284"/>
      <c r="D3" s="2535"/>
      <c r="E3" s="2533"/>
      <c r="F3" s="2536"/>
      <c r="G3" s="2536"/>
      <c r="H3" s="2537"/>
      <c r="I3" s="2538">
        <f>ROUND(D3*E3*F3*G3*H3/10000,0)</f>
        <v>0</v>
      </c>
    </row>
    <row r="4" spans="1:9">
      <c r="A4" s="4283"/>
      <c r="B4" s="4284" t="s">
        <v>2487</v>
      </c>
      <c r="C4" s="4284"/>
      <c r="D4" s="2535"/>
      <c r="E4" s="2533"/>
      <c r="F4" s="2536"/>
      <c r="G4" s="2536"/>
      <c r="H4" s="2537"/>
      <c r="I4" s="2538">
        <f t="shared" ref="I4:I9" si="0">ROUND(D4*E4*F4*G4*H4/10000,0)</f>
        <v>0</v>
      </c>
    </row>
    <row r="5" spans="1:9">
      <c r="A5" s="4283"/>
      <c r="B5" s="4284" t="s">
        <v>2488</v>
      </c>
      <c r="C5" s="4284"/>
      <c r="D5" s="2535"/>
      <c r="E5" s="2533"/>
      <c r="F5" s="2536"/>
      <c r="G5" s="2536"/>
      <c r="H5" s="2537"/>
      <c r="I5" s="2538">
        <f t="shared" si="0"/>
        <v>0</v>
      </c>
    </row>
    <row r="6" spans="1:9">
      <c r="A6" s="4283"/>
      <c r="B6" s="4284" t="s">
        <v>2489</v>
      </c>
      <c r="C6" s="4284"/>
      <c r="D6" s="2535"/>
      <c r="E6" s="2533"/>
      <c r="F6" s="2536"/>
      <c r="G6" s="2536"/>
      <c r="H6" s="2537"/>
      <c r="I6" s="2538">
        <f t="shared" si="0"/>
        <v>0</v>
      </c>
    </row>
    <row r="7" spans="1:9">
      <c r="A7" s="4283"/>
      <c r="B7" s="4284" t="s">
        <v>2490</v>
      </c>
      <c r="C7" s="4284"/>
      <c r="D7" s="2535"/>
      <c r="E7" s="2533"/>
      <c r="F7" s="2536"/>
      <c r="G7" s="2536"/>
      <c r="H7" s="2537"/>
      <c r="I7" s="2538">
        <f t="shared" si="0"/>
        <v>0</v>
      </c>
    </row>
    <row r="8" spans="1:9">
      <c r="A8" s="4283"/>
      <c r="B8" s="4284" t="s">
        <v>2491</v>
      </c>
      <c r="C8" s="4284"/>
      <c r="D8" s="2535"/>
      <c r="E8" s="2533"/>
      <c r="F8" s="2536"/>
      <c r="G8" s="2536"/>
      <c r="H8" s="2537"/>
      <c r="I8" s="2538">
        <f t="shared" si="0"/>
        <v>0</v>
      </c>
    </row>
    <row r="9" spans="1:9">
      <c r="A9" s="4283"/>
      <c r="B9" s="4284" t="s">
        <v>2492</v>
      </c>
      <c r="C9" s="4284"/>
      <c r="D9" s="2535"/>
      <c r="E9" s="2533"/>
      <c r="F9" s="2536"/>
      <c r="G9" s="2536"/>
      <c r="H9" s="2537"/>
      <c r="I9" s="2538">
        <f t="shared" si="0"/>
        <v>0</v>
      </c>
    </row>
    <row r="10" spans="1:9">
      <c r="A10" s="4283"/>
      <c r="B10" s="4285" t="s">
        <v>2493</v>
      </c>
      <c r="C10" s="4285"/>
      <c r="D10" s="2539">
        <v>527</v>
      </c>
      <c r="E10" s="2539" t="e">
        <f>ROUND(D1*10000/D10/H9,0)</f>
        <v>#DIV/0!</v>
      </c>
      <c r="F10" s="2540"/>
      <c r="G10" s="2540"/>
      <c r="H10" s="2541"/>
      <c r="I10" s="2542">
        <f>SUM(I3:I9)</f>
        <v>0</v>
      </c>
    </row>
    <row r="11" spans="1:9" ht="14.25">
      <c r="A11" s="4283" t="s">
        <v>2494</v>
      </c>
      <c r="B11" s="4284" t="s">
        <v>2495</v>
      </c>
      <c r="C11" s="4284"/>
      <c r="D11" s="2535" t="s">
        <v>2496</v>
      </c>
      <c r="E11" s="2535" t="s">
        <v>2497</v>
      </c>
      <c r="F11" s="2536" t="s">
        <v>2498</v>
      </c>
      <c r="G11" s="2536" t="s">
        <v>2499</v>
      </c>
      <c r="H11" s="2543" t="s">
        <v>2500</v>
      </c>
      <c r="I11" s="2534" t="s">
        <v>2501</v>
      </c>
    </row>
    <row r="12" spans="1:9">
      <c r="A12" s="4283"/>
      <c r="B12" s="4284" t="s">
        <v>2502</v>
      </c>
      <c r="C12" s="4284"/>
      <c r="D12" s="2535"/>
      <c r="E12" s="2535"/>
      <c r="F12" s="2536"/>
      <c r="G12" s="2537"/>
      <c r="H12" s="2544"/>
      <c r="I12" s="2534">
        <f>ROUND(D12*E12*F12*G12/10000,0)</f>
        <v>0</v>
      </c>
    </row>
    <row r="13" spans="1:9">
      <c r="A13" s="4283"/>
      <c r="B13" s="4284" t="s">
        <v>2503</v>
      </c>
      <c r="C13" s="4284"/>
      <c r="D13" s="2535"/>
      <c r="E13" s="2535"/>
      <c r="F13" s="2536"/>
      <c r="G13" s="2537"/>
      <c r="H13" s="2544"/>
      <c r="I13" s="2534">
        <f>ROUND(D13*E13*F13*G13/10000,0)</f>
        <v>0</v>
      </c>
    </row>
    <row r="14" spans="1:9">
      <c r="A14" s="4283"/>
      <c r="B14" s="4284" t="s">
        <v>2504</v>
      </c>
      <c r="C14" s="4284"/>
      <c r="D14" s="2535"/>
      <c r="E14" s="2535"/>
      <c r="F14" s="2536"/>
      <c r="G14" s="2537"/>
      <c r="H14" s="2544"/>
      <c r="I14" s="2534">
        <f>ROUND(D14*E14*F14*G14/10000,0)</f>
        <v>0</v>
      </c>
    </row>
    <row r="15" spans="1:9">
      <c r="A15" s="4283"/>
      <c r="B15" s="4285" t="s">
        <v>2493</v>
      </c>
      <c r="C15" s="4285"/>
      <c r="D15" s="2539"/>
      <c r="E15" s="2539">
        <f>SUM(E12:E14)</f>
        <v>0</v>
      </c>
      <c r="F15" s="2540"/>
      <c r="G15" s="2537"/>
      <c r="H15" s="2544"/>
      <c r="I15" s="2545">
        <f>SUM(I12:I14)</f>
        <v>0</v>
      </c>
    </row>
    <row r="16" spans="1:9" ht="24">
      <c r="A16" s="4283" t="s">
        <v>2505</v>
      </c>
      <c r="B16" s="4284" t="s">
        <v>2506</v>
      </c>
      <c r="C16" s="4284"/>
      <c r="D16" s="2535" t="s">
        <v>2507</v>
      </c>
      <c r="E16" s="2546" t="s">
        <v>2508</v>
      </c>
      <c r="F16" s="2536" t="s">
        <v>2509</v>
      </c>
      <c r="G16" s="2537" t="s">
        <v>2499</v>
      </c>
      <c r="H16" s="2543" t="s">
        <v>2500</v>
      </c>
      <c r="I16" s="2534" t="s">
        <v>2501</v>
      </c>
    </row>
    <row r="17" spans="1:9" ht="14.25">
      <c r="A17" s="4283"/>
      <c r="B17" s="4284" t="s">
        <v>2510</v>
      </c>
      <c r="C17" s="4284"/>
      <c r="D17" s="2535"/>
      <c r="E17" s="2535"/>
      <c r="F17" s="2536"/>
      <c r="G17" s="2537"/>
      <c r="H17" s="2547"/>
      <c r="I17" s="2548">
        <f>ROUND(D17*E17*F17*G17/10000,0)</f>
        <v>0</v>
      </c>
    </row>
    <row r="18" spans="1:9" ht="14.25">
      <c r="A18" s="4283"/>
      <c r="B18" s="4284" t="s">
        <v>2511</v>
      </c>
      <c r="C18" s="4284"/>
      <c r="D18" s="2535"/>
      <c r="E18" s="2535"/>
      <c r="F18" s="2536"/>
      <c r="G18" s="2537"/>
      <c r="H18" s="2547"/>
      <c r="I18" s="2548">
        <f>ROUND(D18*E18*F18*G18/10000,0)</f>
        <v>0</v>
      </c>
    </row>
    <row r="19" spans="1:9" ht="14.25">
      <c r="A19" s="4283"/>
      <c r="B19" s="4284" t="s">
        <v>2512</v>
      </c>
      <c r="C19" s="4284"/>
      <c r="D19" s="2535"/>
      <c r="E19" s="2535"/>
      <c r="F19" s="2536"/>
      <c r="G19" s="2537"/>
      <c r="H19" s="2547"/>
      <c r="I19" s="2548">
        <f>ROUND(D19*E19*F19*G19/10000,0)</f>
        <v>0</v>
      </c>
    </row>
    <row r="20" spans="1:9">
      <c r="A20" s="4283"/>
      <c r="B20" s="4285" t="s">
        <v>2493</v>
      </c>
      <c r="C20" s="4285"/>
      <c r="D20" s="2539">
        <f>SUM(D17:D19)</f>
        <v>0</v>
      </c>
      <c r="E20" s="2539"/>
      <c r="F20" s="2540"/>
      <c r="G20" s="2537"/>
      <c r="H20" s="2544"/>
      <c r="I20" s="2545">
        <f>SUM(I17:I19)</f>
        <v>0</v>
      </c>
    </row>
    <row r="21" spans="1:9">
      <c r="A21" s="4283" t="s">
        <v>2513</v>
      </c>
      <c r="B21" s="4286"/>
      <c r="C21" s="4286"/>
      <c r="D21" s="4286"/>
      <c r="E21" s="4286"/>
      <c r="F21" s="4286"/>
      <c r="G21" s="4286"/>
      <c r="H21" s="2549">
        <v>0.1</v>
      </c>
      <c r="I21" s="2542">
        <f>ROUND(I10*H21,0)</f>
        <v>0</v>
      </c>
    </row>
    <row r="22" spans="1:9" ht="14.25">
      <c r="A22" s="4287" t="s">
        <v>2514</v>
      </c>
      <c r="B22" s="4288"/>
      <c r="C22" s="4289"/>
      <c r="D22" s="2550" t="s">
        <v>2515</v>
      </c>
      <c r="E22" s="2550" t="s">
        <v>2516</v>
      </c>
      <c r="F22" s="2551" t="s">
        <v>2517</v>
      </c>
      <c r="G22" s="2551" t="s">
        <v>2518</v>
      </c>
      <c r="H22" s="2543" t="s">
        <v>2519</v>
      </c>
      <c r="I22" s="2534" t="s">
        <v>2520</v>
      </c>
    </row>
    <row r="23" spans="1:9" ht="14.25" thickBot="1">
      <c r="A23" s="4290"/>
      <c r="B23" s="4291"/>
      <c r="C23" s="4292"/>
      <c r="D23" s="2552"/>
      <c r="E23" s="2552"/>
      <c r="F23" s="2552"/>
      <c r="G23" s="2553"/>
      <c r="H23" s="2554"/>
      <c r="I23" s="2555">
        <f>ROUND(E23*D23*F23*(1-G23)/10000,0)</f>
        <v>0</v>
      </c>
    </row>
    <row r="26" spans="1:9">
      <c r="A26" s="2556" t="s">
        <v>2521</v>
      </c>
      <c r="B26" s="2556"/>
      <c r="C26" s="2556"/>
      <c r="D26" s="2556"/>
      <c r="E26" s="4280">
        <f>C27-C30-C31-C32</f>
        <v>0</v>
      </c>
      <c r="F26" s="4280"/>
      <c r="G26" s="4280"/>
      <c r="H26" s="3071" t="s">
        <v>2851</v>
      </c>
    </row>
    <row r="27" spans="1:9">
      <c r="A27" s="2557">
        <v>1</v>
      </c>
      <c r="B27" s="2558" t="s">
        <v>2522</v>
      </c>
      <c r="C27" s="2558"/>
      <c r="D27" s="2558"/>
      <c r="E27" s="4281"/>
      <c r="F27" s="4281"/>
      <c r="G27" s="4281"/>
    </row>
    <row r="28" spans="1:9">
      <c r="A28" s="2559" t="s">
        <v>2523</v>
      </c>
      <c r="B28" s="2558" t="s">
        <v>2524</v>
      </c>
      <c r="C28" s="2558"/>
      <c r="D28" s="2558"/>
      <c r="E28" s="4281"/>
      <c r="F28" s="4281"/>
      <c r="G28" s="4281"/>
    </row>
    <row r="29" spans="1:9">
      <c r="A29" s="2559" t="s">
        <v>2525</v>
      </c>
      <c r="B29" s="2558" t="s">
        <v>2465</v>
      </c>
      <c r="C29" s="2558"/>
      <c r="D29" s="2558"/>
      <c r="E29" s="2558" t="s">
        <v>2526</v>
      </c>
      <c r="F29" s="2558"/>
      <c r="G29" s="2558"/>
    </row>
    <row r="30" spans="1:9">
      <c r="A30" s="2557">
        <v>2</v>
      </c>
      <c r="B30" s="2558" t="s">
        <v>2527</v>
      </c>
      <c r="C30" s="2558">
        <f>C27*D30</f>
        <v>0</v>
      </c>
      <c r="D30" s="2560">
        <v>0.2</v>
      </c>
      <c r="E30" s="2558" t="s">
        <v>2528</v>
      </c>
      <c r="F30" s="2558"/>
      <c r="G30" s="2558"/>
    </row>
    <row r="31" spans="1:9">
      <c r="A31" s="2557">
        <v>3</v>
      </c>
      <c r="B31" s="2558" t="s">
        <v>2529</v>
      </c>
      <c r="C31" s="2558">
        <f>C25*D31</f>
        <v>0</v>
      </c>
      <c r="D31" s="2560">
        <v>0.15</v>
      </c>
      <c r="E31" s="2558" t="s">
        <v>2530</v>
      </c>
      <c r="F31" s="2558"/>
      <c r="G31" s="2558"/>
    </row>
    <row r="32" spans="1:9">
      <c r="A32" s="2557">
        <v>4</v>
      </c>
      <c r="B32" s="2558" t="s">
        <v>2531</v>
      </c>
      <c r="C32" s="2558">
        <f>C27*D32</f>
        <v>0</v>
      </c>
      <c r="D32" s="2560">
        <v>0.05</v>
      </c>
      <c r="E32" s="4282"/>
      <c r="F32" s="4282"/>
      <c r="G32" s="4282"/>
    </row>
    <row r="33" spans="1:7" hidden="1">
      <c r="A33" s="4277" t="s">
        <v>2532</v>
      </c>
      <c r="B33" s="4278"/>
      <c r="C33" s="4278"/>
      <c r="D33" s="4279"/>
      <c r="E33" s="4280"/>
      <c r="F33" s="4280"/>
      <c r="G33" s="4280"/>
    </row>
    <row r="34" spans="1:7" hidden="1">
      <c r="A34" s="2561">
        <v>1</v>
      </c>
      <c r="B34" s="2558" t="s">
        <v>2533</v>
      </c>
      <c r="C34" s="2558"/>
      <c r="D34" s="2558"/>
      <c r="E34" s="4281"/>
      <c r="F34" s="4281"/>
      <c r="G34" s="4281"/>
    </row>
    <row r="35" spans="1:7" hidden="1">
      <c r="A35" s="2561">
        <v>2</v>
      </c>
      <c r="B35" s="2558" t="s">
        <v>2534</v>
      </c>
      <c r="C35" s="2558"/>
      <c r="D35" s="2558"/>
      <c r="E35" s="4281"/>
      <c r="F35" s="4281"/>
      <c r="G35" s="4281"/>
    </row>
    <row r="36" spans="1:7" hidden="1">
      <c r="A36" s="2561">
        <v>3</v>
      </c>
      <c r="B36" s="2558" t="s">
        <v>2535</v>
      </c>
      <c r="C36" s="2558"/>
      <c r="D36" s="2558"/>
      <c r="E36" s="4281"/>
      <c r="F36" s="4281"/>
      <c r="G36" s="4281"/>
    </row>
    <row r="37" spans="1:7" hidden="1">
      <c r="A37" s="2561">
        <v>4</v>
      </c>
      <c r="B37" s="2558" t="s">
        <v>2536</v>
      </c>
      <c r="C37" s="2558"/>
      <c r="D37" s="2558"/>
      <c r="E37" s="4281"/>
      <c r="F37" s="4281"/>
      <c r="G37" s="4281"/>
    </row>
    <row r="38" spans="1:7" hidden="1">
      <c r="A38" s="4277" t="s">
        <v>2537</v>
      </c>
      <c r="B38" s="4278"/>
      <c r="C38" s="4278"/>
      <c r="D38" s="4279"/>
      <c r="E38" s="4280"/>
      <c r="F38" s="4280"/>
      <c r="G38" s="42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2444</v>
      </c>
      <c r="B8" s="2498" t="s">
        <v>2446</v>
      </c>
      <c r="C8" s="2499"/>
      <c r="D8" s="749"/>
      <c r="E8" s="750"/>
      <c r="F8" s="750"/>
      <c r="G8" s="751"/>
    </row>
    <row r="9" spans="1:25" s="2185" customFormat="1" ht="13.5" customHeight="1">
      <c r="A9" s="2495" t="s">
        <v>2445</v>
      </c>
      <c r="B9" s="2498" t="s">
        <v>2447</v>
      </c>
      <c r="C9" s="2499"/>
      <c r="D9" s="749"/>
      <c r="E9" s="750"/>
      <c r="F9" s="750"/>
      <c r="G9" s="751"/>
    </row>
    <row r="10" spans="1:25" s="2185" customFormat="1" ht="36">
      <c r="A10" s="2495">
        <v>2</v>
      </c>
      <c r="B10" s="748" t="s">
        <v>614</v>
      </c>
      <c r="C10" s="749">
        <f>C11+C14+C15</f>
        <v>0</v>
      </c>
      <c r="D10" s="760">
        <f>'数据-汇总表'!E3</f>
        <v>183978.59999999998</v>
      </c>
      <c r="E10" s="749">
        <f>'数据-取费表'!B31</f>
        <v>100</v>
      </c>
      <c r="F10" s="761"/>
      <c r="G10" s="759" t="s">
        <v>615</v>
      </c>
    </row>
    <row r="11" spans="1:25" s="2185" customFormat="1" ht="13.5" customHeight="1">
      <c r="A11" s="2495" t="s">
        <v>2444</v>
      </c>
      <c r="B11" s="752" t="s">
        <v>611</v>
      </c>
      <c r="C11" s="753">
        <f>'数据-取费表'!B29</f>
        <v>0</v>
      </c>
      <c r="D11" s="754"/>
      <c r="E11" s="753"/>
      <c r="F11" s="755"/>
      <c r="G11" s="2504" t="s">
        <v>2455</v>
      </c>
    </row>
    <row r="12" spans="1:25" s="2185" customFormat="1" ht="13.5" customHeight="1">
      <c r="A12" s="2502" t="s">
        <v>2452</v>
      </c>
      <c r="B12" s="756" t="s">
        <v>612</v>
      </c>
      <c r="C12" s="757">
        <f>ROUND(D12*E12/10000,0)</f>
        <v>2153</v>
      </c>
      <c r="D12" s="758">
        <f>'数据-汇总表'!E5</f>
        <v>165580.74</v>
      </c>
      <c r="E12" s="757">
        <f>'数据-取费表'!B27</f>
        <v>130</v>
      </c>
      <c r="F12" s="755"/>
      <c r="G12" s="759"/>
    </row>
    <row r="13" spans="1:25" s="2185" customFormat="1" ht="13.5" customHeight="1">
      <c r="A13" s="2502" t="s">
        <v>2451</v>
      </c>
      <c r="B13" s="756" t="s">
        <v>613</v>
      </c>
      <c r="C13" s="757">
        <f>ROUND(D13*E13/10000,0)</f>
        <v>239</v>
      </c>
      <c r="D13" s="758">
        <f>'数据-汇总表'!E6</f>
        <v>18397.859999999986</v>
      </c>
      <c r="E13" s="757">
        <f>'数据-取费表'!B28</f>
        <v>130</v>
      </c>
      <c r="F13" s="755"/>
      <c r="G13" s="759"/>
    </row>
    <row r="14" spans="1:25" s="2185" customFormat="1" ht="13.5" customHeight="1">
      <c r="A14" s="2495" t="s">
        <v>2445</v>
      </c>
      <c r="B14" s="2501" t="s">
        <v>2448</v>
      </c>
      <c r="C14" s="2499"/>
      <c r="D14" s="758"/>
      <c r="E14" s="757"/>
      <c r="F14" s="2500"/>
      <c r="G14" s="2503" t="s">
        <v>2453</v>
      </c>
    </row>
    <row r="15" spans="1:25" s="2185" customFormat="1" ht="13.5" customHeight="1">
      <c r="A15" s="2495" t="s">
        <v>2450</v>
      </c>
      <c r="B15" s="2501" t="s">
        <v>2449</v>
      </c>
      <c r="C15" s="2499"/>
      <c r="D15" s="758"/>
      <c r="E15" s="757"/>
      <c r="F15" s="2500"/>
      <c r="G15" s="2503" t="s">
        <v>2454</v>
      </c>
    </row>
    <row r="16" spans="1:25" s="2186" customFormat="1" ht="48">
      <c r="A16" s="2495">
        <v>3</v>
      </c>
      <c r="B16" s="748" t="s">
        <v>616</v>
      </c>
      <c r="C16" s="2499"/>
      <c r="D16" s="760"/>
      <c r="E16" s="749"/>
      <c r="F16" s="761"/>
      <c r="G16" s="759" t="s">
        <v>2456</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0.16</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0.94399999999999995</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c r="E1" s="2652"/>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t="e">
        <f>C49</f>
        <v>#DIV/0!</v>
      </c>
      <c r="C3" s="852" t="s">
        <v>723</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4123" t="s">
        <v>523</v>
      </c>
      <c r="D4" s="4124"/>
      <c r="E4" s="4225" t="s">
        <v>524</v>
      </c>
      <c r="F4" s="4226"/>
      <c r="G4" s="4123" t="s">
        <v>525</v>
      </c>
      <c r="H4" s="4124"/>
      <c r="I4" s="4123" t="s">
        <v>526</v>
      </c>
      <c r="J4" s="4124"/>
      <c r="K4" s="853" t="s">
        <v>527</v>
      </c>
      <c r="L4" s="2135"/>
      <c r="M4" s="2136"/>
      <c r="N4" s="2136"/>
      <c r="O4" s="2136"/>
      <c r="P4" s="4125" t="s">
        <v>528</v>
      </c>
      <c r="Q4" s="4126"/>
      <c r="R4" s="4111" t="s">
        <v>524</v>
      </c>
      <c r="S4" s="4112"/>
      <c r="T4" s="4111" t="s">
        <v>525</v>
      </c>
      <c r="U4" s="4112"/>
      <c r="V4" s="4131" t="s">
        <v>526</v>
      </c>
      <c r="W4" s="4131"/>
      <c r="X4" s="1568"/>
      <c r="Y4" s="4111" t="s">
        <v>528</v>
      </c>
      <c r="Z4" s="4112"/>
      <c r="AA4" s="4106" t="s">
        <v>524</v>
      </c>
      <c r="AB4" s="4106" t="s">
        <v>525</v>
      </c>
      <c r="AC4" s="4106" t="s">
        <v>526</v>
      </c>
    </row>
    <row r="5" spans="1:29" ht="15">
      <c r="A5" s="515"/>
      <c r="B5" s="516"/>
      <c r="C5" s="4229" t="s">
        <v>2934</v>
      </c>
      <c r="D5" s="4230"/>
      <c r="E5" s="4227" t="s">
        <v>2935</v>
      </c>
      <c r="F5" s="4228"/>
      <c r="G5" s="4229" t="s">
        <v>2936</v>
      </c>
      <c r="H5" s="4230"/>
      <c r="I5" s="4229" t="s">
        <v>2937</v>
      </c>
      <c r="J5" s="4230"/>
      <c r="K5" s="854"/>
      <c r="L5" s="2135"/>
      <c r="M5" s="2136"/>
      <c r="N5" s="2136"/>
      <c r="O5" s="2136"/>
      <c r="P5" s="4127"/>
      <c r="Q5" s="4128"/>
      <c r="R5" s="4113"/>
      <c r="S5" s="4114"/>
      <c r="T5" s="4113"/>
      <c r="U5" s="4114"/>
      <c r="V5" s="4131"/>
      <c r="W5" s="4131"/>
      <c r="X5" s="1568"/>
      <c r="Y5" s="4113"/>
      <c r="Z5" s="4114"/>
      <c r="AA5" s="4107"/>
      <c r="AB5" s="4107"/>
      <c r="AC5" s="4107"/>
    </row>
    <row r="6" spans="1:29" ht="15.75" thickBot="1">
      <c r="A6" s="517"/>
      <c r="B6" s="518"/>
      <c r="C6" s="4231" t="s">
        <v>2938</v>
      </c>
      <c r="D6" s="4232"/>
      <c r="E6" s="4233" t="s">
        <v>2938</v>
      </c>
      <c r="F6" s="4234"/>
      <c r="G6" s="4231" t="s">
        <v>2938</v>
      </c>
      <c r="H6" s="4232"/>
      <c r="I6" s="4231" t="s">
        <v>2938</v>
      </c>
      <c r="J6" s="4232"/>
      <c r="K6" s="854" t="s">
        <v>529</v>
      </c>
      <c r="L6" s="2135"/>
      <c r="M6" s="2136"/>
      <c r="N6" s="2136"/>
      <c r="O6" s="2136"/>
      <c r="P6" s="4129"/>
      <c r="Q6" s="4130"/>
      <c r="R6" s="4113"/>
      <c r="S6" s="4114"/>
      <c r="T6" s="4115"/>
      <c r="U6" s="4116"/>
      <c r="V6" s="4131"/>
      <c r="W6" s="4131"/>
      <c r="X6" s="1568"/>
      <c r="Y6" s="4115"/>
      <c r="Z6" s="4116"/>
      <c r="AA6" s="4108"/>
      <c r="AB6" s="4108"/>
      <c r="AC6" s="4108"/>
    </row>
    <row r="7" spans="1:29" s="1220" customFormat="1" ht="15.75" thickBot="1">
      <c r="A7" s="2939"/>
      <c r="B7" s="2946" t="s">
        <v>530</v>
      </c>
      <c r="C7" s="519">
        <f>'数据-取费表'!B2</f>
        <v>42940</v>
      </c>
      <c r="D7" s="520">
        <v>100</v>
      </c>
      <c r="E7" s="521"/>
      <c r="F7" s="522">
        <f>SUMIF(58:58,YEAR(E7)&amp;"-"&amp;MONTH(E7),59:59)</f>
        <v>0</v>
      </c>
      <c r="G7" s="523"/>
      <c r="H7" s="520">
        <f>SUMIF(58:58,YEAR(G7)&amp;"-"&amp;MONTH(G7),59:59)</f>
        <v>0</v>
      </c>
      <c r="I7" s="523"/>
      <c r="J7" s="520">
        <f>SUMIF(58:58,YEAR(I7)&amp;"-"&amp;MONTH(I7),59:59)</f>
        <v>0</v>
      </c>
      <c r="K7" s="855"/>
      <c r="L7" s="2137"/>
      <c r="M7" s="2138"/>
      <c r="N7" s="2138"/>
      <c r="O7" s="2138"/>
      <c r="P7" s="4109" t="s">
        <v>531</v>
      </c>
      <c r="Q7" s="4118"/>
      <c r="R7" s="1569" t="s">
        <v>13</v>
      </c>
      <c r="S7" s="1570">
        <f t="shared" ref="S7:S15" si="0">F7</f>
        <v>0</v>
      </c>
      <c r="T7" s="1569" t="s">
        <v>13</v>
      </c>
      <c r="U7" s="1570">
        <f t="shared" ref="U7:U15" si="1">H7</f>
        <v>0</v>
      </c>
      <c r="V7" s="1569" t="s">
        <v>13</v>
      </c>
      <c r="W7" s="1570">
        <f t="shared" ref="W7:W15" si="2">J7</f>
        <v>0</v>
      </c>
      <c r="X7" s="1571"/>
      <c r="Y7" s="4109" t="s">
        <v>531</v>
      </c>
      <c r="Z7" s="4110"/>
      <c r="AA7" s="1572" t="e">
        <f>D7/F7</f>
        <v>#DIV/0!</v>
      </c>
      <c r="AB7" s="1572" t="e">
        <f>D7/H7</f>
        <v>#DIV/0!</v>
      </c>
      <c r="AC7" s="1572" t="e">
        <f>D7/J7</f>
        <v>#DIV/0!</v>
      </c>
    </row>
    <row r="8" spans="1:29" s="1220" customFormat="1" ht="15.75" thickBot="1">
      <c r="A8" s="2940"/>
      <c r="B8" s="2947" t="s">
        <v>532</v>
      </c>
      <c r="C8" s="525" t="s">
        <v>577</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4109" t="s">
        <v>534</v>
      </c>
      <c r="Q8" s="4110"/>
      <c r="R8" s="1569" t="s">
        <v>13</v>
      </c>
      <c r="S8" s="1570">
        <f t="shared" si="0"/>
        <v>0</v>
      </c>
      <c r="T8" s="1569" t="s">
        <v>13</v>
      </c>
      <c r="U8" s="1570">
        <f t="shared" si="1"/>
        <v>0</v>
      </c>
      <c r="V8" s="1569" t="s">
        <v>13</v>
      </c>
      <c r="W8" s="1570">
        <f t="shared" si="2"/>
        <v>0</v>
      </c>
      <c r="X8" s="1571"/>
      <c r="Y8" s="4109" t="s">
        <v>534</v>
      </c>
      <c r="Z8" s="4110"/>
      <c r="AA8" s="1572" t="e">
        <f t="shared" ref="AA8:AA46" si="3">D8/F8</f>
        <v>#DIV/0!</v>
      </c>
      <c r="AB8" s="1572" t="e">
        <f t="shared" ref="AB8:AB46" si="4">D8/H8</f>
        <v>#DIV/0!</v>
      </c>
      <c r="AC8" s="1572" t="e">
        <f t="shared" ref="AC8:AC46" si="5">D8/J8</f>
        <v>#DIV/0!</v>
      </c>
    </row>
    <row r="9" spans="1:29" s="1220" customFormat="1" ht="15">
      <c r="A9" s="2941"/>
      <c r="B9" s="2948" t="s">
        <v>2764</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4117" t="s">
        <v>536</v>
      </c>
      <c r="Q9" s="1151" t="str">
        <f t="shared" ref="Q9:Q15" si="6">B9</f>
        <v>用途</v>
      </c>
      <c r="R9" s="1569" t="s">
        <v>8</v>
      </c>
      <c r="S9" s="1570">
        <f t="shared" si="0"/>
        <v>100</v>
      </c>
      <c r="T9" s="1569" t="s">
        <v>8</v>
      </c>
      <c r="U9" s="1570">
        <f t="shared" si="1"/>
        <v>100</v>
      </c>
      <c r="V9" s="1569" t="s">
        <v>8</v>
      </c>
      <c r="W9" s="1570">
        <f t="shared" si="2"/>
        <v>100</v>
      </c>
      <c r="X9" s="1571"/>
      <c r="Y9" s="4074" t="s">
        <v>537</v>
      </c>
      <c r="Z9" s="1150" t="str">
        <f t="shared" ref="Z9:Z15" si="7">Q9</f>
        <v>用途</v>
      </c>
      <c r="AA9" s="1572">
        <f t="shared" si="3"/>
        <v>1</v>
      </c>
      <c r="AB9" s="1572">
        <f t="shared" si="4"/>
        <v>1</v>
      </c>
      <c r="AC9" s="1572">
        <f t="shared" si="5"/>
        <v>1</v>
      </c>
    </row>
    <row r="10" spans="1:29" s="1338" customFormat="1" ht="27">
      <c r="A10" s="2942"/>
      <c r="B10" s="2947" t="s">
        <v>2765</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4117"/>
      <c r="Q10" s="1151" t="str">
        <f t="shared" si="6"/>
        <v>土地使用年限（年）</v>
      </c>
      <c r="R10" s="1569" t="s">
        <v>8</v>
      </c>
      <c r="S10" s="1570">
        <f t="shared" si="0"/>
        <v>100</v>
      </c>
      <c r="T10" s="1569" t="s">
        <v>8</v>
      </c>
      <c r="U10" s="1570">
        <f t="shared" si="1"/>
        <v>100</v>
      </c>
      <c r="V10" s="1569" t="s">
        <v>8</v>
      </c>
      <c r="W10" s="1570">
        <f t="shared" si="2"/>
        <v>100</v>
      </c>
      <c r="X10" s="1571"/>
      <c r="Y10" s="4074"/>
      <c r="Z10" s="1150" t="str">
        <f t="shared" si="7"/>
        <v>土地使用年限（年）</v>
      </c>
      <c r="AA10" s="1572">
        <f t="shared" si="3"/>
        <v>1</v>
      </c>
      <c r="AB10" s="1572">
        <f t="shared" si="4"/>
        <v>1</v>
      </c>
      <c r="AC10" s="1572">
        <f t="shared" si="5"/>
        <v>1</v>
      </c>
    </row>
    <row r="11" spans="1:29" ht="15">
      <c r="A11" s="2943"/>
      <c r="B11" s="2947" t="s">
        <v>2766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4117"/>
      <c r="Q11" s="1151" t="str">
        <f t="shared" si="6"/>
        <v>容积率</v>
      </c>
      <c r="R11" s="1569" t="s">
        <v>11</v>
      </c>
      <c r="S11" s="1570" t="e">
        <f t="shared" si="0"/>
        <v>#N/A</v>
      </c>
      <c r="T11" s="1569" t="s">
        <v>11</v>
      </c>
      <c r="U11" s="1570" t="e">
        <f t="shared" si="1"/>
        <v>#N/A</v>
      </c>
      <c r="V11" s="1569" t="s">
        <v>11</v>
      </c>
      <c r="W11" s="1570" t="e">
        <f t="shared" si="2"/>
        <v>#N/A</v>
      </c>
      <c r="X11" s="1571"/>
      <c r="Y11" s="4074"/>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4117"/>
      <c r="Q12" s="1151">
        <f t="shared" si="6"/>
        <v>111</v>
      </c>
      <c r="R12" s="1569" t="s">
        <v>11</v>
      </c>
      <c r="S12" s="1570">
        <f t="shared" si="0"/>
        <v>100</v>
      </c>
      <c r="T12" s="1569" t="s">
        <v>11</v>
      </c>
      <c r="U12" s="1570">
        <f t="shared" si="1"/>
        <v>100</v>
      </c>
      <c r="V12" s="1569" t="s">
        <v>11</v>
      </c>
      <c r="W12" s="1570">
        <f t="shared" si="2"/>
        <v>100</v>
      </c>
      <c r="X12" s="1571"/>
      <c r="Y12" s="4074"/>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4117"/>
      <c r="Q13" s="1151">
        <f t="shared" si="6"/>
        <v>111</v>
      </c>
      <c r="R13" s="1569" t="s">
        <v>11</v>
      </c>
      <c r="S13" s="1570">
        <f t="shared" si="0"/>
        <v>100</v>
      </c>
      <c r="T13" s="1569" t="s">
        <v>11</v>
      </c>
      <c r="U13" s="1570">
        <f t="shared" si="1"/>
        <v>100</v>
      </c>
      <c r="V13" s="1569" t="s">
        <v>11</v>
      </c>
      <c r="W13" s="1570">
        <f t="shared" si="2"/>
        <v>100</v>
      </c>
      <c r="X13" s="1571"/>
      <c r="Y13" s="4074"/>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4117"/>
      <c r="Q14" s="1151">
        <f t="shared" si="6"/>
        <v>111</v>
      </c>
      <c r="R14" s="1569" t="s">
        <v>11</v>
      </c>
      <c r="S14" s="1570">
        <f t="shared" si="0"/>
        <v>100</v>
      </c>
      <c r="T14" s="1569" t="s">
        <v>11</v>
      </c>
      <c r="U14" s="1570">
        <f t="shared" si="1"/>
        <v>100</v>
      </c>
      <c r="V14" s="1569" t="s">
        <v>11</v>
      </c>
      <c r="W14" s="1570">
        <f t="shared" si="2"/>
        <v>100</v>
      </c>
      <c r="X14" s="1571"/>
      <c r="Y14" s="4074"/>
      <c r="Z14" s="1150">
        <f t="shared" si="7"/>
        <v>111</v>
      </c>
      <c r="AA14" s="1572">
        <f t="shared" si="3"/>
        <v>1</v>
      </c>
      <c r="AB14" s="1572">
        <f t="shared" si="4"/>
        <v>1</v>
      </c>
      <c r="AC14" s="1572">
        <f t="shared" si="5"/>
        <v>1</v>
      </c>
    </row>
    <row r="15" spans="1:29" ht="99.75">
      <c r="A15" s="2937" t="s">
        <v>2762</v>
      </c>
      <c r="B15" s="166" t="s">
        <v>295</v>
      </c>
      <c r="C15" s="867" t="str">
        <f>估价对象房地状况!C3</f>
        <v>估价对象周边居住用地比例一般、有一定数量居住小区、入住率一般，综合评价居住社区成熟度一般。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4119" t="s">
        <v>541</v>
      </c>
      <c r="Q15" s="1573" t="str">
        <f t="shared" si="6"/>
        <v>居住社区成熟度</v>
      </c>
      <c r="R15" s="1574" t="s">
        <v>11</v>
      </c>
      <c r="S15" s="1575">
        <f t="shared" si="0"/>
        <v>100</v>
      </c>
      <c r="T15" s="1574" t="s">
        <v>11</v>
      </c>
      <c r="U15" s="1575">
        <f t="shared" si="1"/>
        <v>100</v>
      </c>
      <c r="V15" s="1574" t="s">
        <v>11</v>
      </c>
      <c r="W15" s="1575">
        <f t="shared" si="2"/>
        <v>100</v>
      </c>
      <c r="X15" s="1568"/>
      <c r="Y15" s="4119"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4120"/>
      <c r="Q16" s="1573"/>
      <c r="R16" s="1574"/>
      <c r="S16" s="1575"/>
      <c r="T16" s="1574"/>
      <c r="U16" s="1575"/>
      <c r="V16" s="1574"/>
      <c r="W16" s="1575"/>
      <c r="X16" s="1568"/>
      <c r="Y16" s="4120"/>
      <c r="Z16" s="1576"/>
      <c r="AA16" s="1577">
        <v>1</v>
      </c>
      <c r="AB16" s="1577">
        <v>1</v>
      </c>
      <c r="AC16" s="1577">
        <v>1</v>
      </c>
    </row>
    <row r="17" spans="1:29" ht="85.5">
      <c r="A17" s="532"/>
      <c r="B17" s="871" t="s">
        <v>296</v>
      </c>
      <c r="C17" s="872" t="str">
        <f>估价对象房地状况!C6</f>
        <v>估价对象周边路网密集程度一般、有一定数量公交车、停车较便捷，综合评价交通便捷度一般。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4120"/>
      <c r="Q17" s="1573" t="str">
        <f>B17</f>
        <v>交通便捷度</v>
      </c>
      <c r="R17" s="1574" t="s">
        <v>11</v>
      </c>
      <c r="S17" s="1575">
        <f>F17</f>
        <v>100</v>
      </c>
      <c r="T17" s="1574" t="s">
        <v>11</v>
      </c>
      <c r="U17" s="1575">
        <f>H17</f>
        <v>100</v>
      </c>
      <c r="V17" s="1574" t="s">
        <v>11</v>
      </c>
      <c r="W17" s="1575">
        <f>J17</f>
        <v>100</v>
      </c>
      <c r="X17" s="1568"/>
      <c r="Y17" s="412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4120"/>
      <c r="Q18" s="1573"/>
      <c r="R18" s="1574"/>
      <c r="S18" s="1575"/>
      <c r="T18" s="1574"/>
      <c r="U18" s="1575"/>
      <c r="V18" s="1574"/>
      <c r="W18" s="1575"/>
      <c r="X18" s="1568"/>
      <c r="Y18" s="4120"/>
      <c r="Z18" s="1576"/>
      <c r="AA18" s="1577">
        <v>1</v>
      </c>
      <c r="AB18" s="1577">
        <v>1</v>
      </c>
      <c r="AC18" s="1577">
        <v>1</v>
      </c>
    </row>
    <row r="19" spans="1:29" ht="42.75">
      <c r="A19" s="532"/>
      <c r="B19" s="2626" t="s">
        <v>2552</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4120"/>
      <c r="Q19" s="1573" t="str">
        <f>B19</f>
        <v>公共配套设施</v>
      </c>
      <c r="R19" s="1574" t="s">
        <v>11</v>
      </c>
      <c r="S19" s="1575">
        <f>F19</f>
        <v>100</v>
      </c>
      <c r="T19" s="1574" t="s">
        <v>11</v>
      </c>
      <c r="U19" s="1575">
        <f>H19</f>
        <v>100</v>
      </c>
      <c r="V19" s="1574" t="s">
        <v>11</v>
      </c>
      <c r="W19" s="1575">
        <f>J19</f>
        <v>100</v>
      </c>
      <c r="X19" s="1568"/>
      <c r="Y19" s="412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4120"/>
      <c r="Q20" s="1573"/>
      <c r="R20" s="1574"/>
      <c r="S20" s="1575"/>
      <c r="T20" s="1574"/>
      <c r="U20" s="1575"/>
      <c r="V20" s="1574"/>
      <c r="W20" s="1575"/>
      <c r="X20" s="1568"/>
      <c r="Y20" s="4120"/>
      <c r="Z20" s="1576"/>
      <c r="AA20" s="1577">
        <v>1</v>
      </c>
      <c r="AB20" s="1577">
        <v>1</v>
      </c>
      <c r="AC20" s="1577">
        <v>1</v>
      </c>
    </row>
    <row r="21" spans="1:29" ht="42.75">
      <c r="A21" s="532"/>
      <c r="B21" s="2619" t="s">
        <v>2564</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4120"/>
      <c r="Q21" s="2605" t="str">
        <f>B21</f>
        <v>基础设施水平</v>
      </c>
      <c r="R21" s="1574" t="s">
        <v>11</v>
      </c>
      <c r="S21" s="1575">
        <f>F21</f>
        <v>100</v>
      </c>
      <c r="T21" s="1574" t="s">
        <v>11</v>
      </c>
      <c r="U21" s="1575">
        <f>H21</f>
        <v>100</v>
      </c>
      <c r="V21" s="1574" t="s">
        <v>11</v>
      </c>
      <c r="W21" s="1575">
        <f>J21</f>
        <v>100</v>
      </c>
      <c r="X21" s="2607"/>
      <c r="Y21" s="4120"/>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4120"/>
      <c r="Q22" s="2605"/>
      <c r="R22" s="1574"/>
      <c r="S22" s="1575"/>
      <c r="T22" s="1574"/>
      <c r="U22" s="1575"/>
      <c r="V22" s="1574"/>
      <c r="W22" s="1575"/>
      <c r="X22" s="2607"/>
      <c r="Y22" s="4120"/>
      <c r="Z22" s="2606"/>
      <c r="AA22" s="1577">
        <v>1</v>
      </c>
      <c r="AB22" s="1577">
        <v>1</v>
      </c>
      <c r="AC22" s="1577">
        <v>1</v>
      </c>
    </row>
    <row r="23" spans="1:29" ht="128.25">
      <c r="A23" s="532"/>
      <c r="B23" s="871" t="s">
        <v>297</v>
      </c>
      <c r="C23" s="872" t="str">
        <f>估价对象房地状况!C9</f>
        <v>估价对象周边无大型绿化，公园等自然环境一般：周边有长沙理工大学，无其他博物馆，图书馆等人文环境一般；综合评价环境状况一般。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4120"/>
      <c r="Q23" s="1573" t="str">
        <f>B23</f>
        <v>自然及人文环境</v>
      </c>
      <c r="R23" s="1574" t="s">
        <v>11</v>
      </c>
      <c r="S23" s="1575">
        <f>F23</f>
        <v>100</v>
      </c>
      <c r="T23" s="1574" t="s">
        <v>11</v>
      </c>
      <c r="U23" s="1575">
        <f>H23</f>
        <v>100</v>
      </c>
      <c r="V23" s="1574" t="s">
        <v>11</v>
      </c>
      <c r="W23" s="1575">
        <f>J23</f>
        <v>100</v>
      </c>
      <c r="X23" s="1568"/>
      <c r="Y23" s="412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4120"/>
      <c r="Q24" s="1573"/>
      <c r="R24" s="1574"/>
      <c r="S24" s="1575"/>
      <c r="T24" s="1574"/>
      <c r="U24" s="1575"/>
      <c r="V24" s="1574"/>
      <c r="W24" s="1575"/>
      <c r="X24" s="1568"/>
      <c r="Y24" s="4120"/>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4120"/>
      <c r="Q25" s="1573" t="str">
        <f t="shared" ref="Q25:Q46" si="11">B25</f>
        <v>楼层-1</v>
      </c>
      <c r="R25" s="1574" t="s">
        <v>11</v>
      </c>
      <c r="S25" s="1575">
        <f>F25</f>
        <v>100</v>
      </c>
      <c r="T25" s="1574" t="s">
        <v>11</v>
      </c>
      <c r="U25" s="1575">
        <f>H25</f>
        <v>100</v>
      </c>
      <c r="V25" s="1574" t="s">
        <v>11</v>
      </c>
      <c r="W25" s="1575">
        <f>J25</f>
        <v>100</v>
      </c>
      <c r="X25" s="1568"/>
      <c r="Y25" s="4120"/>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4120"/>
      <c r="Q26" s="1573" t="str">
        <f t="shared" si="11"/>
        <v>朝向</v>
      </c>
      <c r="R26" s="1574" t="s">
        <v>11</v>
      </c>
      <c r="S26" s="1575">
        <f>F26</f>
        <v>100</v>
      </c>
      <c r="T26" s="1574" t="s">
        <v>11</v>
      </c>
      <c r="U26" s="1575">
        <f>H26</f>
        <v>100</v>
      </c>
      <c r="V26" s="1574" t="s">
        <v>11</v>
      </c>
      <c r="W26" s="1575">
        <f>J26</f>
        <v>100</v>
      </c>
      <c r="X26" s="1568"/>
      <c r="Y26" s="4120"/>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4120"/>
      <c r="Q27" s="1151" t="str">
        <f t="shared" si="11"/>
        <v>道路级别</v>
      </c>
      <c r="R27" s="1569" t="s">
        <v>11</v>
      </c>
      <c r="S27" s="1570">
        <f>F27</f>
        <v>100</v>
      </c>
      <c r="T27" s="1569" t="s">
        <v>11</v>
      </c>
      <c r="U27" s="1570">
        <f>H27</f>
        <v>100</v>
      </c>
      <c r="V27" s="1569" t="s">
        <v>11</v>
      </c>
      <c r="W27" s="1570">
        <f>J27</f>
        <v>100</v>
      </c>
      <c r="X27" s="1571"/>
      <c r="Y27" s="412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4120"/>
      <c r="Q28" s="1573">
        <f t="shared" si="11"/>
        <v>111</v>
      </c>
      <c r="R28" s="1574" t="s">
        <v>11</v>
      </c>
      <c r="S28" s="1575">
        <f t="shared" ref="S28:S46" si="12">F28</f>
        <v>100</v>
      </c>
      <c r="T28" s="1574" t="s">
        <v>11</v>
      </c>
      <c r="U28" s="1575">
        <f t="shared" ref="U28:U46" si="13">H28</f>
        <v>100</v>
      </c>
      <c r="V28" s="1574" t="s">
        <v>11</v>
      </c>
      <c r="W28" s="1575">
        <f t="shared" ref="W28:W46" si="14">J28</f>
        <v>100</v>
      </c>
      <c r="X28" s="1568"/>
      <c r="Y28" s="412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4120"/>
      <c r="Q29" s="1573">
        <f t="shared" si="11"/>
        <v>111</v>
      </c>
      <c r="R29" s="1574" t="s">
        <v>11</v>
      </c>
      <c r="S29" s="1575">
        <f t="shared" si="12"/>
        <v>100</v>
      </c>
      <c r="T29" s="1574" t="s">
        <v>11</v>
      </c>
      <c r="U29" s="1575">
        <f t="shared" si="13"/>
        <v>100</v>
      </c>
      <c r="V29" s="1574" t="s">
        <v>11</v>
      </c>
      <c r="W29" s="1575">
        <f t="shared" si="14"/>
        <v>100</v>
      </c>
      <c r="X29" s="1568"/>
      <c r="Y29" s="412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4120"/>
      <c r="Q30" s="1573">
        <f t="shared" si="11"/>
        <v>111</v>
      </c>
      <c r="R30" s="1574" t="s">
        <v>11</v>
      </c>
      <c r="S30" s="1575">
        <f t="shared" si="12"/>
        <v>100</v>
      </c>
      <c r="T30" s="1574" t="s">
        <v>11</v>
      </c>
      <c r="U30" s="1575">
        <f t="shared" si="13"/>
        <v>100</v>
      </c>
      <c r="V30" s="1574" t="s">
        <v>11</v>
      </c>
      <c r="W30" s="1575">
        <f t="shared" si="14"/>
        <v>100</v>
      </c>
      <c r="X30" s="1568"/>
      <c r="Y30" s="412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4120"/>
      <c r="Q31" s="1573">
        <f t="shared" si="11"/>
        <v>111</v>
      </c>
      <c r="R31" s="1574" t="s">
        <v>11</v>
      </c>
      <c r="S31" s="1575">
        <f t="shared" si="12"/>
        <v>100</v>
      </c>
      <c r="T31" s="1574" t="s">
        <v>11</v>
      </c>
      <c r="U31" s="1575">
        <f t="shared" si="13"/>
        <v>100</v>
      </c>
      <c r="V31" s="1574" t="s">
        <v>11</v>
      </c>
      <c r="W31" s="1575">
        <f t="shared" si="14"/>
        <v>100</v>
      </c>
      <c r="X31" s="1568"/>
      <c r="Y31" s="4120"/>
      <c r="Z31" s="1576">
        <f t="shared" si="15"/>
        <v>111</v>
      </c>
      <c r="AA31" s="1577">
        <f t="shared" si="3"/>
        <v>1</v>
      </c>
      <c r="AB31" s="1577">
        <f t="shared" si="4"/>
        <v>1</v>
      </c>
      <c r="AC31" s="1577">
        <f t="shared" si="5"/>
        <v>1</v>
      </c>
    </row>
    <row r="32" spans="1:29" ht="15">
      <c r="A32" s="2935" t="s">
        <v>2763</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4121" t="s">
        <v>551</v>
      </c>
      <c r="Q32" s="1573" t="str">
        <f t="shared" si="11"/>
        <v>建筑类型</v>
      </c>
      <c r="R32" s="1574" t="s">
        <v>11</v>
      </c>
      <c r="S32" s="1575">
        <f t="shared" si="12"/>
        <v>100</v>
      </c>
      <c r="T32" s="1574" t="s">
        <v>11</v>
      </c>
      <c r="U32" s="1575">
        <f t="shared" si="13"/>
        <v>100</v>
      </c>
      <c r="V32" s="1574" t="s">
        <v>11</v>
      </c>
      <c r="W32" s="1575">
        <f t="shared" si="14"/>
        <v>100</v>
      </c>
      <c r="X32" s="1568"/>
      <c r="Y32" s="4122"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4122"/>
      <c r="Q33" s="1606" t="str">
        <f t="shared" si="11"/>
        <v>项目建筑规模</v>
      </c>
      <c r="R33" s="1578" t="s">
        <v>11</v>
      </c>
      <c r="S33" s="1579" t="e">
        <f t="shared" si="12"/>
        <v>#N/A</v>
      </c>
      <c r="T33" s="1578" t="s">
        <v>11</v>
      </c>
      <c r="U33" s="1579" t="e">
        <f t="shared" si="13"/>
        <v>#N/A</v>
      </c>
      <c r="V33" s="1578" t="s">
        <v>11</v>
      </c>
      <c r="W33" s="1579" t="e">
        <f t="shared" si="14"/>
        <v>#N/A</v>
      </c>
      <c r="X33" s="1580"/>
      <c r="Y33" s="4122"/>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4122"/>
      <c r="Q34" s="1573" t="str">
        <f t="shared" si="11"/>
        <v>建筑结构</v>
      </c>
      <c r="R34" s="1574" t="s">
        <v>11</v>
      </c>
      <c r="S34" s="1575">
        <f t="shared" si="12"/>
        <v>100</v>
      </c>
      <c r="T34" s="1574" t="s">
        <v>11</v>
      </c>
      <c r="U34" s="1575">
        <f t="shared" si="13"/>
        <v>100</v>
      </c>
      <c r="V34" s="1574" t="s">
        <v>11</v>
      </c>
      <c r="W34" s="1575">
        <f t="shared" si="14"/>
        <v>100</v>
      </c>
      <c r="X34" s="1568"/>
      <c r="Y34" s="4122"/>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4122"/>
      <c r="Q35" s="1573" t="str">
        <f t="shared" si="11"/>
        <v>建筑品质</v>
      </c>
      <c r="R35" s="1574" t="s">
        <v>11</v>
      </c>
      <c r="S35" s="1575">
        <f t="shared" si="12"/>
        <v>100</v>
      </c>
      <c r="T35" s="1574" t="s">
        <v>11</v>
      </c>
      <c r="U35" s="1575">
        <f t="shared" si="13"/>
        <v>100</v>
      </c>
      <c r="V35" s="1574" t="s">
        <v>11</v>
      </c>
      <c r="W35" s="1575">
        <f t="shared" si="14"/>
        <v>100</v>
      </c>
      <c r="X35" s="1568"/>
      <c r="Y35" s="4122"/>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4122"/>
      <c r="Q36" s="1573" t="str">
        <f t="shared" si="11"/>
        <v>公共部分装修</v>
      </c>
      <c r="R36" s="1574" t="s">
        <v>11</v>
      </c>
      <c r="S36" s="1575">
        <f t="shared" si="12"/>
        <v>100</v>
      </c>
      <c r="T36" s="1574" t="s">
        <v>11</v>
      </c>
      <c r="U36" s="1575">
        <f t="shared" si="13"/>
        <v>100</v>
      </c>
      <c r="V36" s="1574" t="s">
        <v>11</v>
      </c>
      <c r="W36" s="1575">
        <f t="shared" si="14"/>
        <v>100</v>
      </c>
      <c r="X36" s="1568"/>
      <c r="Y36" s="4122"/>
      <c r="Z36" s="1576" t="str">
        <f t="shared" si="15"/>
        <v>公共部分装修</v>
      </c>
      <c r="AA36" s="1577">
        <f t="shared" si="3"/>
        <v>1</v>
      </c>
      <c r="AB36" s="1577">
        <f t="shared" si="4"/>
        <v>1</v>
      </c>
      <c r="AC36" s="1577">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4122"/>
      <c r="Q37" s="1151" t="str">
        <f t="shared" si="11"/>
        <v>成新度</v>
      </c>
      <c r="R37" s="1569" t="s">
        <v>11</v>
      </c>
      <c r="S37" s="1570" t="e">
        <f t="shared" si="12"/>
        <v>#N/A</v>
      </c>
      <c r="T37" s="1569" t="s">
        <v>11</v>
      </c>
      <c r="U37" s="1570" t="e">
        <f t="shared" si="13"/>
        <v>#N/A</v>
      </c>
      <c r="V37" s="1569" t="s">
        <v>11</v>
      </c>
      <c r="W37" s="1570" t="e">
        <f t="shared" si="14"/>
        <v>#N/A</v>
      </c>
      <c r="X37" s="1571"/>
      <c r="Y37" s="4122"/>
      <c r="Z37" s="1150" t="str">
        <f t="shared" si="15"/>
        <v>成新度</v>
      </c>
      <c r="AA37" s="1572" t="e">
        <f t="shared" si="3"/>
        <v>#N/A</v>
      </c>
      <c r="AB37" s="1572" t="e">
        <f t="shared" si="4"/>
        <v>#N/A</v>
      </c>
      <c r="AC37" s="1572"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4122" t="s">
        <v>551</v>
      </c>
      <c r="Q38" s="1573" t="str">
        <f t="shared" si="11"/>
        <v>物业管理</v>
      </c>
      <c r="R38" s="1574" t="s">
        <v>11</v>
      </c>
      <c r="S38" s="1575">
        <f t="shared" si="12"/>
        <v>100</v>
      </c>
      <c r="T38" s="1574" t="s">
        <v>11</v>
      </c>
      <c r="U38" s="1575">
        <f t="shared" si="13"/>
        <v>100</v>
      </c>
      <c r="V38" s="1574" t="s">
        <v>11</v>
      </c>
      <c r="W38" s="1575">
        <f t="shared" si="14"/>
        <v>100</v>
      </c>
      <c r="X38" s="1568"/>
      <c r="Y38" s="4122" t="s">
        <v>551</v>
      </c>
      <c r="Z38" s="1576" t="str">
        <f t="shared" si="15"/>
        <v>物业管理</v>
      </c>
      <c r="AA38" s="1577">
        <f t="shared" si="3"/>
        <v>1</v>
      </c>
      <c r="AB38" s="1577">
        <f t="shared" si="4"/>
        <v>1</v>
      </c>
      <c r="AC38" s="1577">
        <f t="shared" si="5"/>
        <v>1</v>
      </c>
    </row>
    <row r="39" spans="1:29" ht="15">
      <c r="A39" s="594"/>
      <c r="B39" s="1897" t="s">
        <v>2570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4122"/>
      <c r="Q39" s="1573" t="str">
        <f t="shared" si="11"/>
        <v>市政基础设施</v>
      </c>
      <c r="R39" s="1574" t="s">
        <v>11</v>
      </c>
      <c r="S39" s="1575">
        <f t="shared" si="12"/>
        <v>100</v>
      </c>
      <c r="T39" s="1574" t="s">
        <v>11</v>
      </c>
      <c r="U39" s="1575">
        <f t="shared" si="13"/>
        <v>100</v>
      </c>
      <c r="V39" s="1574" t="s">
        <v>11</v>
      </c>
      <c r="W39" s="1575">
        <f t="shared" si="14"/>
        <v>100</v>
      </c>
      <c r="X39" s="1568"/>
      <c r="Y39" s="4122"/>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4122"/>
      <c r="Q40" s="1573" t="str">
        <f t="shared" si="11"/>
        <v>房型</v>
      </c>
      <c r="R40" s="1574" t="s">
        <v>11</v>
      </c>
      <c r="S40" s="1575">
        <f t="shared" si="12"/>
        <v>100</v>
      </c>
      <c r="T40" s="1574" t="s">
        <v>11</v>
      </c>
      <c r="U40" s="1575">
        <f t="shared" si="13"/>
        <v>100</v>
      </c>
      <c r="V40" s="1574" t="s">
        <v>11</v>
      </c>
      <c r="W40" s="1575">
        <f t="shared" si="14"/>
        <v>100</v>
      </c>
      <c r="X40" s="1568"/>
      <c r="Y40" s="4122"/>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4122"/>
      <c r="Q41" s="1606" t="str">
        <f t="shared" si="11"/>
        <v>单套/主力户型建筑面积</v>
      </c>
      <c r="R41" s="1578" t="s">
        <v>11</v>
      </c>
      <c r="S41" s="1579">
        <f t="shared" si="12"/>
        <v>100</v>
      </c>
      <c r="T41" s="1578" t="s">
        <v>11</v>
      </c>
      <c r="U41" s="1579">
        <f t="shared" si="13"/>
        <v>100</v>
      </c>
      <c r="V41" s="1578" t="s">
        <v>11</v>
      </c>
      <c r="W41" s="1579">
        <f t="shared" si="14"/>
        <v>100</v>
      </c>
      <c r="X41" s="1580"/>
      <c r="Y41" s="4122"/>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4122"/>
      <c r="Q42" s="1573" t="str">
        <f t="shared" si="11"/>
        <v>内部装修</v>
      </c>
      <c r="R42" s="1574" t="s">
        <v>11</v>
      </c>
      <c r="S42" s="1575">
        <f t="shared" si="12"/>
        <v>100</v>
      </c>
      <c r="T42" s="1574" t="s">
        <v>11</v>
      </c>
      <c r="U42" s="1575">
        <f t="shared" si="13"/>
        <v>100</v>
      </c>
      <c r="V42" s="1574" t="s">
        <v>11</v>
      </c>
      <c r="W42" s="1575">
        <f t="shared" si="14"/>
        <v>100</v>
      </c>
      <c r="X42" s="1568"/>
      <c r="Y42" s="4122"/>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4122"/>
      <c r="Q43" s="1573" t="str">
        <f t="shared" si="11"/>
        <v>内部装修维护情况</v>
      </c>
      <c r="R43" s="1574" t="s">
        <v>11</v>
      </c>
      <c r="S43" s="1575">
        <f t="shared" si="12"/>
        <v>100</v>
      </c>
      <c r="T43" s="1574" t="s">
        <v>11</v>
      </c>
      <c r="U43" s="1575">
        <f t="shared" si="13"/>
        <v>100</v>
      </c>
      <c r="V43" s="1574" t="s">
        <v>11</v>
      </c>
      <c r="W43" s="1575">
        <f t="shared" si="14"/>
        <v>100</v>
      </c>
      <c r="X43" s="1568"/>
      <c r="Y43" s="412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4122"/>
      <c r="Q44" s="1151">
        <f t="shared" si="11"/>
        <v>111</v>
      </c>
      <c r="R44" s="1569" t="s">
        <v>11</v>
      </c>
      <c r="S44" s="1570">
        <f t="shared" si="12"/>
        <v>100</v>
      </c>
      <c r="T44" s="1569" t="s">
        <v>11</v>
      </c>
      <c r="U44" s="1570">
        <f t="shared" si="13"/>
        <v>100</v>
      </c>
      <c r="V44" s="1569" t="s">
        <v>11</v>
      </c>
      <c r="W44" s="1570">
        <f t="shared" si="14"/>
        <v>100</v>
      </c>
      <c r="X44" s="1571"/>
      <c r="Y44" s="412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4122"/>
      <c r="Q45" s="1573">
        <f t="shared" si="11"/>
        <v>111</v>
      </c>
      <c r="R45" s="1574" t="s">
        <v>11</v>
      </c>
      <c r="S45" s="1575">
        <f t="shared" si="12"/>
        <v>100</v>
      </c>
      <c r="T45" s="1574" t="s">
        <v>11</v>
      </c>
      <c r="U45" s="1575">
        <f t="shared" si="13"/>
        <v>100</v>
      </c>
      <c r="V45" s="1574" t="s">
        <v>11</v>
      </c>
      <c r="W45" s="1575">
        <f t="shared" si="14"/>
        <v>100</v>
      </c>
      <c r="X45" s="1568"/>
      <c r="Y45" s="412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4300"/>
      <c r="Q46" s="1573">
        <f t="shared" si="11"/>
        <v>111</v>
      </c>
      <c r="R46" s="1574" t="s">
        <v>10</v>
      </c>
      <c r="S46" s="1575">
        <f t="shared" si="12"/>
        <v>100</v>
      </c>
      <c r="T46" s="1574" t="s">
        <v>10</v>
      </c>
      <c r="U46" s="1575">
        <f t="shared" si="13"/>
        <v>100</v>
      </c>
      <c r="V46" s="1574" t="s">
        <v>10</v>
      </c>
      <c r="W46" s="1575">
        <f t="shared" si="14"/>
        <v>100</v>
      </c>
      <c r="X46" s="1568"/>
      <c r="Y46" s="4300"/>
      <c r="Z46" s="1576">
        <f t="shared" si="15"/>
        <v>111</v>
      </c>
      <c r="AA46" s="1577">
        <f t="shared" si="3"/>
        <v>1</v>
      </c>
      <c r="AB46" s="1577">
        <f t="shared" si="4"/>
        <v>1</v>
      </c>
      <c r="AC46" s="1577">
        <f t="shared" si="5"/>
        <v>1</v>
      </c>
    </row>
    <row r="47" spans="1:29" ht="15">
      <c r="A47" s="607" t="s">
        <v>737</v>
      </c>
      <c r="B47" s="887"/>
      <c r="C47" s="2653" t="s">
        <v>9</v>
      </c>
      <c r="D47" s="2654"/>
      <c r="E47" s="2655"/>
      <c r="F47" s="2656"/>
      <c r="G47" s="2657"/>
      <c r="H47" s="2658"/>
      <c r="I47" s="2655"/>
      <c r="J47" s="2658"/>
      <c r="K47" s="1607"/>
      <c r="L47" s="2146"/>
      <c r="M47" s="2147"/>
      <c r="N47" s="2136"/>
      <c r="O47" s="2147"/>
      <c r="P47" s="4117" t="str">
        <f>A47</f>
        <v>成交单价（元/平方米）</v>
      </c>
      <c r="Q47" s="4117"/>
      <c r="R47" s="4299">
        <f>E47</f>
        <v>0</v>
      </c>
      <c r="S47" s="4299"/>
      <c r="T47" s="4299">
        <f>G47</f>
        <v>0</v>
      </c>
      <c r="U47" s="4299"/>
      <c r="V47" s="4299">
        <f>I47</f>
        <v>0</v>
      </c>
      <c r="W47" s="4299"/>
      <c r="X47" s="1560"/>
      <c r="Y47" s="1582"/>
      <c r="Z47" s="1560"/>
      <c r="AA47" s="1560"/>
      <c r="AB47" s="1560"/>
      <c r="AC47" s="1560"/>
    </row>
    <row r="48" spans="1:29" ht="15.75" thickBot="1">
      <c r="A48" s="615" t="s">
        <v>2768</v>
      </c>
      <c r="B48" s="888"/>
      <c r="C48" s="2659" t="e">
        <f>R49</f>
        <v>#DIV/0!</v>
      </c>
      <c r="D48" s="2660"/>
      <c r="E48" s="2661" t="e">
        <f>R48</f>
        <v>#DIV/0!</v>
      </c>
      <c r="F48" s="2661"/>
      <c r="G48" s="2659" t="e">
        <f>T48</f>
        <v>#DIV/0!</v>
      </c>
      <c r="H48" s="2660"/>
      <c r="I48" s="2661" t="e">
        <f>V48</f>
        <v>#DIV/0!</v>
      </c>
      <c r="J48" s="2660"/>
      <c r="K48" s="1608"/>
      <c r="L48" s="2146"/>
      <c r="M48" s="2147"/>
      <c r="N48" s="2147"/>
      <c r="O48" s="2147"/>
      <c r="P48" s="4117" t="str">
        <f>A48</f>
        <v>比较价格（元/平方米）</v>
      </c>
      <c r="Q48" s="4117"/>
      <c r="R48" s="4299" t="e">
        <f>IF(F1="售价",ROUND(PRODUCT(R47,AA7:AA46),0),ROUND(PRODUCT(R47,AA7:AA46),1))</f>
        <v>#DIV/0!</v>
      </c>
      <c r="S48" s="4299"/>
      <c r="T48" s="4299" t="e">
        <f>IF(F1="售价",ROUND(PRODUCT(T47,AB7:AB46),0),ROUND(PRODUCT(T47,AB7:AB46),1))</f>
        <v>#DIV/0!</v>
      </c>
      <c r="U48" s="4299"/>
      <c r="V48" s="4299" t="e">
        <f>IF(F1="售价",ROUND(PRODUCT(V47,AC7:AC46),0),ROUND(PRODUCT(V47,AC7:AC46),1))</f>
        <v>#DIV/0!</v>
      </c>
      <c r="W48" s="4299"/>
      <c r="X48" s="1560"/>
      <c r="Y48" s="1560"/>
      <c r="Z48" s="1560"/>
      <c r="AA48" s="1560"/>
      <c r="AB48" s="1560"/>
      <c r="AC48" s="1560"/>
    </row>
    <row r="49" spans="1:29" ht="15.75" thickBot="1">
      <c r="A49" s="621" t="s">
        <v>2940</v>
      </c>
      <c r="B49" s="622"/>
      <c r="C49" s="2662" t="e">
        <f>R49</f>
        <v>#DIV/0!</v>
      </c>
      <c r="D49" s="2662"/>
      <c r="E49" s="2662"/>
      <c r="F49" s="2662"/>
      <c r="G49" s="2662"/>
      <c r="H49" s="2662"/>
      <c r="I49" s="2662"/>
      <c r="J49" s="2662"/>
      <c r="K49" s="1609"/>
      <c r="L49" s="2146"/>
      <c r="M49" s="2147"/>
      <c r="N49" s="2147"/>
      <c r="O49" s="2147"/>
      <c r="P49" s="4139" t="str">
        <f>A49</f>
        <v>估价对象XX用房的比较价格（楼面单价，元/平方米）</v>
      </c>
      <c r="Q49" s="4140"/>
      <c r="R49" s="4298" t="e">
        <f>IF(F1="售价",ROUND(AVERAGE(R48:V48),0),ROUND(AVERAGE(R48:V48),1))</f>
        <v>#DIV/0!</v>
      </c>
      <c r="S49" s="4298"/>
      <c r="T49" s="4298"/>
      <c r="U49" s="4298"/>
      <c r="V49" s="4298"/>
      <c r="W49" s="42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2017-7</v>
      </c>
      <c r="D58" s="2832">
        <f>EDATE(C58,-1)</f>
        <v>42887</v>
      </c>
      <c r="E58" s="2832">
        <f t="shared" ref="E58:O58" si="16">EDATE(D58,-1)</f>
        <v>42856</v>
      </c>
      <c r="F58" s="2832">
        <f t="shared" si="16"/>
        <v>42826</v>
      </c>
      <c r="G58" s="2832">
        <f t="shared" si="16"/>
        <v>42795</v>
      </c>
      <c r="H58" s="2832">
        <f t="shared" si="16"/>
        <v>42767</v>
      </c>
      <c r="I58" s="2832">
        <f t="shared" si="16"/>
        <v>42736</v>
      </c>
      <c r="J58" s="2832">
        <f t="shared" si="16"/>
        <v>42705</v>
      </c>
      <c r="K58" s="2832">
        <f t="shared" si="16"/>
        <v>42675</v>
      </c>
      <c r="L58" s="2832">
        <f t="shared" si="16"/>
        <v>42644</v>
      </c>
      <c r="M58" s="2832">
        <f t="shared" si="16"/>
        <v>42614</v>
      </c>
      <c r="N58" s="2832">
        <f t="shared" si="16"/>
        <v>42583</v>
      </c>
      <c r="O58" s="2832">
        <f t="shared" si="16"/>
        <v>42552</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2563</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2564</v>
      </c>
      <c r="C82" s="2624" t="s">
        <v>2565</v>
      </c>
      <c r="D82" s="2624" t="s">
        <v>2566</v>
      </c>
      <c r="E82" s="2624" t="s">
        <v>2567</v>
      </c>
      <c r="F82" s="2624" t="s">
        <v>2568</v>
      </c>
      <c r="G82" s="2624" t="s">
        <v>2569</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4123" t="s">
        <v>523</v>
      </c>
      <c r="D4" s="4124"/>
      <c r="E4" s="4225" t="s">
        <v>524</v>
      </c>
      <c r="F4" s="4226"/>
      <c r="G4" s="4123" t="s">
        <v>525</v>
      </c>
      <c r="H4" s="4124"/>
      <c r="I4" s="4123" t="s">
        <v>526</v>
      </c>
      <c r="J4" s="4124"/>
      <c r="K4" s="514" t="s">
        <v>527</v>
      </c>
      <c r="L4" s="2135"/>
      <c r="M4" s="2136"/>
      <c r="N4" s="2136"/>
      <c r="O4" s="2136"/>
      <c r="P4" s="4125" t="s">
        <v>528</v>
      </c>
      <c r="Q4" s="4126"/>
      <c r="R4" s="4111" t="s">
        <v>524</v>
      </c>
      <c r="S4" s="4112"/>
      <c r="T4" s="4111" t="s">
        <v>525</v>
      </c>
      <c r="U4" s="4112"/>
      <c r="V4" s="4131" t="s">
        <v>526</v>
      </c>
      <c r="W4" s="4131"/>
      <c r="X4" s="1568"/>
      <c r="Y4" s="4111" t="s">
        <v>528</v>
      </c>
      <c r="Z4" s="4112"/>
      <c r="AA4" s="4106" t="s">
        <v>524</v>
      </c>
      <c r="AB4" s="4131" t="s">
        <v>525</v>
      </c>
      <c r="AC4" s="4106" t="s">
        <v>526</v>
      </c>
    </row>
    <row r="5" spans="1:29" ht="15">
      <c r="A5" s="515"/>
      <c r="B5" s="516"/>
      <c r="C5" s="4229" t="s">
        <v>2934</v>
      </c>
      <c r="D5" s="4230"/>
      <c r="E5" s="4227" t="s">
        <v>2935</v>
      </c>
      <c r="F5" s="4228"/>
      <c r="G5" s="4229" t="s">
        <v>2936</v>
      </c>
      <c r="H5" s="4230"/>
      <c r="I5" s="4229" t="s">
        <v>2937</v>
      </c>
      <c r="J5" s="4230"/>
      <c r="K5" s="514"/>
      <c r="L5" s="2135"/>
      <c r="M5" s="2136"/>
      <c r="N5" s="2136"/>
      <c r="O5" s="2136"/>
      <c r="P5" s="4127"/>
      <c r="Q5" s="4128"/>
      <c r="R5" s="4113"/>
      <c r="S5" s="4114"/>
      <c r="T5" s="4113"/>
      <c r="U5" s="4114"/>
      <c r="V5" s="4131"/>
      <c r="W5" s="4131"/>
      <c r="X5" s="1568"/>
      <c r="Y5" s="4113"/>
      <c r="Z5" s="4114"/>
      <c r="AA5" s="4107"/>
      <c r="AB5" s="4131"/>
      <c r="AC5" s="4107"/>
    </row>
    <row r="6" spans="1:29" ht="15.75" thickBot="1">
      <c r="A6" s="517"/>
      <c r="B6" s="518"/>
      <c r="C6" s="4231" t="s">
        <v>2938</v>
      </c>
      <c r="D6" s="4232"/>
      <c r="E6" s="4233" t="s">
        <v>2938</v>
      </c>
      <c r="F6" s="4234"/>
      <c r="G6" s="4231" t="s">
        <v>2938</v>
      </c>
      <c r="H6" s="4232"/>
      <c r="I6" s="4231" t="s">
        <v>2938</v>
      </c>
      <c r="J6" s="4232"/>
      <c r="K6" s="514" t="s">
        <v>529</v>
      </c>
      <c r="L6" s="2135"/>
      <c r="M6" s="2136"/>
      <c r="N6" s="2136"/>
      <c r="O6" s="2136"/>
      <c r="P6" s="4129"/>
      <c r="Q6" s="4130"/>
      <c r="R6" s="4113"/>
      <c r="S6" s="4114"/>
      <c r="T6" s="4115"/>
      <c r="U6" s="4116"/>
      <c r="V6" s="4131"/>
      <c r="W6" s="4131"/>
      <c r="X6" s="1568"/>
      <c r="Y6" s="4115"/>
      <c r="Z6" s="4116"/>
      <c r="AA6" s="4108"/>
      <c r="AB6" s="4131"/>
      <c r="AC6" s="4108"/>
    </row>
    <row r="7" spans="1:29" s="1220" customFormat="1" ht="15.75" thickBot="1">
      <c r="A7" s="2939"/>
      <c r="B7" s="2946" t="s">
        <v>530</v>
      </c>
      <c r="C7" s="519">
        <f>'数据-取费表'!B2</f>
        <v>42940</v>
      </c>
      <c r="D7" s="520">
        <v>100</v>
      </c>
      <c r="E7" s="521"/>
      <c r="F7" s="522">
        <f>SUMIF(58:58,YEAR(E7)&amp;"-"&amp;MONTH(E7),59:59)</f>
        <v>0</v>
      </c>
      <c r="G7" s="521"/>
      <c r="H7" s="520">
        <f>SUMIF(58:58,YEAR(G7)&amp;"-"&amp;MONTH(G7),59:59)</f>
        <v>0</v>
      </c>
      <c r="I7" s="521"/>
      <c r="J7" s="520">
        <f>SUMIF(58:58,YEAR(I7)&amp;"-"&amp;MONTH(I7),59:59)</f>
        <v>0</v>
      </c>
      <c r="K7" s="524"/>
      <c r="L7" s="2137"/>
      <c r="M7" s="2138"/>
      <c r="N7" s="2138"/>
      <c r="O7" s="2138"/>
      <c r="P7" s="4109" t="s">
        <v>531</v>
      </c>
      <c r="Q7" s="4118"/>
      <c r="R7" s="1569" t="s">
        <v>8</v>
      </c>
      <c r="S7" s="1570">
        <f t="shared" ref="S7:S15" si="0">F7</f>
        <v>0</v>
      </c>
      <c r="T7" s="1569" t="s">
        <v>8</v>
      </c>
      <c r="U7" s="1570">
        <f t="shared" ref="U7:U15" si="1">H7</f>
        <v>0</v>
      </c>
      <c r="V7" s="1569" t="s">
        <v>8</v>
      </c>
      <c r="W7" s="1570">
        <f t="shared" ref="W7:W15" si="2">J7</f>
        <v>0</v>
      </c>
      <c r="X7" s="1571"/>
      <c r="Y7" s="4109" t="s">
        <v>531</v>
      </c>
      <c r="Z7" s="4110"/>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4109" t="s">
        <v>534</v>
      </c>
      <c r="Q8" s="4110"/>
      <c r="R8" s="1569" t="s">
        <v>8</v>
      </c>
      <c r="S8" s="1570">
        <f t="shared" si="0"/>
        <v>0</v>
      </c>
      <c r="T8" s="1569" t="s">
        <v>8</v>
      </c>
      <c r="U8" s="1570">
        <f t="shared" si="1"/>
        <v>0</v>
      </c>
      <c r="V8" s="1569" t="s">
        <v>8</v>
      </c>
      <c r="W8" s="1570">
        <f t="shared" si="2"/>
        <v>0</v>
      </c>
      <c r="X8" s="1571"/>
      <c r="Y8" s="4109" t="s">
        <v>534</v>
      </c>
      <c r="Z8" s="4110"/>
      <c r="AA8" s="1572" t="e">
        <f t="shared" ref="AA8:AA46" si="3">D8/F8</f>
        <v>#DIV/0!</v>
      </c>
      <c r="AB8" s="1572" t="e">
        <f t="shared" ref="AB8:AB46" si="4">D8/H8</f>
        <v>#DIV/0!</v>
      </c>
      <c r="AC8" s="1572" t="e">
        <f t="shared" ref="AC8:AC46" si="5">D8/J8</f>
        <v>#DIV/0!</v>
      </c>
    </row>
    <row r="9" spans="1:29" s="1220" customFormat="1" ht="15">
      <c r="A9" s="2941"/>
      <c r="B9" s="2948" t="s">
        <v>2764</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4117" t="s">
        <v>536</v>
      </c>
      <c r="Q9" s="1151" t="str">
        <f t="shared" ref="Q9:Q15" si="6">B9</f>
        <v>用途</v>
      </c>
      <c r="R9" s="1569" t="s">
        <v>8</v>
      </c>
      <c r="S9" s="1570">
        <f t="shared" si="0"/>
        <v>100</v>
      </c>
      <c r="T9" s="1569" t="s">
        <v>8</v>
      </c>
      <c r="U9" s="1570">
        <f t="shared" si="1"/>
        <v>100</v>
      </c>
      <c r="V9" s="1569" t="s">
        <v>8</v>
      </c>
      <c r="W9" s="1570">
        <f t="shared" si="2"/>
        <v>100</v>
      </c>
      <c r="X9" s="1571"/>
      <c r="Y9" s="4074" t="s">
        <v>537</v>
      </c>
      <c r="Z9" s="1150" t="str">
        <f t="shared" ref="Z9:Z15" si="7">Q9</f>
        <v>用途</v>
      </c>
      <c r="AA9" s="1572">
        <f t="shared" si="3"/>
        <v>1</v>
      </c>
      <c r="AB9" s="1572">
        <f t="shared" si="4"/>
        <v>1</v>
      </c>
      <c r="AC9" s="1572">
        <f t="shared" si="5"/>
        <v>1</v>
      </c>
    </row>
    <row r="10" spans="1:29" s="1338" customFormat="1" ht="27">
      <c r="A10" s="2942"/>
      <c r="B10" s="2947" t="s">
        <v>2765</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4117"/>
      <c r="Q10" s="1151" t="str">
        <f t="shared" si="6"/>
        <v>土地使用年限（年）</v>
      </c>
      <c r="R10" s="1569" t="s">
        <v>8</v>
      </c>
      <c r="S10" s="1570">
        <f t="shared" si="0"/>
        <v>100</v>
      </c>
      <c r="T10" s="1569" t="s">
        <v>8</v>
      </c>
      <c r="U10" s="1570">
        <f t="shared" si="1"/>
        <v>100</v>
      </c>
      <c r="V10" s="1569" t="s">
        <v>8</v>
      </c>
      <c r="W10" s="1570">
        <f t="shared" si="2"/>
        <v>100</v>
      </c>
      <c r="X10" s="1571"/>
      <c r="Y10" s="4074"/>
      <c r="Z10" s="1150" t="str">
        <f t="shared" si="7"/>
        <v>土地使用年限（年）</v>
      </c>
      <c r="AA10" s="1572">
        <f t="shared" si="3"/>
        <v>1</v>
      </c>
      <c r="AB10" s="1572">
        <f t="shared" si="4"/>
        <v>1</v>
      </c>
      <c r="AC10" s="1572">
        <f t="shared" si="5"/>
        <v>1</v>
      </c>
    </row>
    <row r="11" spans="1:29" ht="15">
      <c r="A11" s="2943"/>
      <c r="B11" s="2947" t="s">
        <v>2766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4117"/>
      <c r="Q11" s="1151" t="str">
        <f t="shared" si="6"/>
        <v>容积率</v>
      </c>
      <c r="R11" s="1569" t="s">
        <v>8</v>
      </c>
      <c r="S11" s="1570" t="e">
        <f t="shared" si="0"/>
        <v>#N/A</v>
      </c>
      <c r="T11" s="1569" t="s">
        <v>8</v>
      </c>
      <c r="U11" s="1570" t="e">
        <f t="shared" si="1"/>
        <v>#N/A</v>
      </c>
      <c r="V11" s="1569" t="s">
        <v>8</v>
      </c>
      <c r="W11" s="1570" t="e">
        <f t="shared" si="2"/>
        <v>#N/A</v>
      </c>
      <c r="X11" s="1571"/>
      <c r="Y11" s="4074"/>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4117"/>
      <c r="Q12" s="1151">
        <f t="shared" si="6"/>
        <v>111</v>
      </c>
      <c r="R12" s="1569" t="s">
        <v>8</v>
      </c>
      <c r="S12" s="1570">
        <f t="shared" si="0"/>
        <v>100</v>
      </c>
      <c r="T12" s="1569" t="s">
        <v>8</v>
      </c>
      <c r="U12" s="1570">
        <f t="shared" si="1"/>
        <v>100</v>
      </c>
      <c r="V12" s="1569" t="s">
        <v>8</v>
      </c>
      <c r="W12" s="1570">
        <f t="shared" si="2"/>
        <v>100</v>
      </c>
      <c r="X12" s="1571"/>
      <c r="Y12" s="4074"/>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4117"/>
      <c r="Q13" s="1151">
        <f t="shared" si="6"/>
        <v>111</v>
      </c>
      <c r="R13" s="1569" t="s">
        <v>8</v>
      </c>
      <c r="S13" s="1570">
        <f t="shared" si="0"/>
        <v>100</v>
      </c>
      <c r="T13" s="1569" t="s">
        <v>8</v>
      </c>
      <c r="U13" s="1570">
        <f t="shared" si="1"/>
        <v>100</v>
      </c>
      <c r="V13" s="1569" t="s">
        <v>8</v>
      </c>
      <c r="W13" s="1570">
        <f t="shared" si="2"/>
        <v>100</v>
      </c>
      <c r="X13" s="1571"/>
      <c r="Y13" s="4074"/>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4117"/>
      <c r="Q14" s="1151">
        <f t="shared" si="6"/>
        <v>111</v>
      </c>
      <c r="R14" s="1569" t="s">
        <v>8</v>
      </c>
      <c r="S14" s="1570">
        <f t="shared" si="0"/>
        <v>100</v>
      </c>
      <c r="T14" s="1569" t="s">
        <v>8</v>
      </c>
      <c r="U14" s="1570">
        <f t="shared" si="1"/>
        <v>100</v>
      </c>
      <c r="V14" s="1569" t="s">
        <v>8</v>
      </c>
      <c r="W14" s="1570">
        <f t="shared" si="2"/>
        <v>100</v>
      </c>
      <c r="X14" s="1571"/>
      <c r="Y14" s="4074"/>
      <c r="Z14" s="1150">
        <f t="shared" si="7"/>
        <v>111</v>
      </c>
      <c r="AA14" s="1572">
        <f t="shared" si="3"/>
        <v>1</v>
      </c>
      <c r="AB14" s="1572">
        <f t="shared" si="4"/>
        <v>1</v>
      </c>
      <c r="AC14" s="1572">
        <f t="shared" si="5"/>
        <v>1</v>
      </c>
    </row>
    <row r="15" spans="1:29" ht="71.25">
      <c r="A15" s="2937" t="s">
        <v>2762</v>
      </c>
      <c r="B15" s="166" t="s">
        <v>542</v>
      </c>
      <c r="C15" s="867" t="str">
        <f>估价对象房地状况!C4</f>
        <v>估价对象周边商业氛围一般、大型商业较少、人流量一般、商业繁华度一般。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4119" t="s">
        <v>541</v>
      </c>
      <c r="Q15" s="1573" t="str">
        <f t="shared" si="6"/>
        <v>商业繁华度</v>
      </c>
      <c r="R15" s="1574" t="s">
        <v>8</v>
      </c>
      <c r="S15" s="1575">
        <f t="shared" si="0"/>
        <v>100</v>
      </c>
      <c r="T15" s="1574" t="s">
        <v>8</v>
      </c>
      <c r="U15" s="1575">
        <f t="shared" si="1"/>
        <v>100</v>
      </c>
      <c r="V15" s="1574" t="s">
        <v>8</v>
      </c>
      <c r="W15" s="1575">
        <f t="shared" si="2"/>
        <v>100</v>
      </c>
      <c r="X15" s="1568"/>
      <c r="Y15" s="4119"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4120"/>
      <c r="Q16" s="1573"/>
      <c r="R16" s="1574"/>
      <c r="S16" s="1575"/>
      <c r="T16" s="1574"/>
      <c r="U16" s="1575"/>
      <c r="V16" s="1574"/>
      <c r="W16" s="1575"/>
      <c r="X16" s="1568"/>
      <c r="Y16" s="4120"/>
      <c r="Z16" s="1576"/>
      <c r="AA16" s="1577">
        <v>1</v>
      </c>
      <c r="AB16" s="1577">
        <v>1</v>
      </c>
      <c r="AC16" s="1577">
        <v>1</v>
      </c>
    </row>
    <row r="17" spans="1:29" ht="85.5">
      <c r="A17" s="532"/>
      <c r="B17" s="871" t="s">
        <v>296</v>
      </c>
      <c r="C17" s="872" t="str">
        <f>估价对象房地状况!C6</f>
        <v>估价对象周边路网密集程度一般、有一定数量公交车、停车较便捷，综合评价交通便捷度一般。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4120"/>
      <c r="Q17" s="1573" t="str">
        <f>B17</f>
        <v>交通便捷度</v>
      </c>
      <c r="R17" s="1574" t="s">
        <v>8</v>
      </c>
      <c r="S17" s="1575">
        <f>F17</f>
        <v>100</v>
      </c>
      <c r="T17" s="1574" t="s">
        <v>8</v>
      </c>
      <c r="U17" s="1575">
        <f>H17</f>
        <v>100</v>
      </c>
      <c r="V17" s="1574" t="s">
        <v>8</v>
      </c>
      <c r="W17" s="1575">
        <f>J17</f>
        <v>100</v>
      </c>
      <c r="X17" s="1568"/>
      <c r="Y17" s="412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4120"/>
      <c r="Q18" s="1573"/>
      <c r="R18" s="1574"/>
      <c r="S18" s="1575"/>
      <c r="T18" s="1574"/>
      <c r="U18" s="1575"/>
      <c r="V18" s="1574"/>
      <c r="W18" s="1575"/>
      <c r="X18" s="1568"/>
      <c r="Y18" s="4120"/>
      <c r="Z18" s="1576"/>
      <c r="AA18" s="1577">
        <v>1</v>
      </c>
      <c r="AB18" s="1577">
        <v>1</v>
      </c>
      <c r="AC18" s="1577">
        <v>1</v>
      </c>
    </row>
    <row r="19" spans="1:29" ht="42.75">
      <c r="A19" s="532"/>
      <c r="B19" s="2626" t="s">
        <v>2552</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4120"/>
      <c r="Q19" s="1573" t="str">
        <f>B19</f>
        <v>公共配套设施</v>
      </c>
      <c r="R19" s="1574" t="s">
        <v>8</v>
      </c>
      <c r="S19" s="1575">
        <f>F19</f>
        <v>100</v>
      </c>
      <c r="T19" s="1574" t="s">
        <v>8</v>
      </c>
      <c r="U19" s="1575">
        <f>H19</f>
        <v>100</v>
      </c>
      <c r="V19" s="1574" t="s">
        <v>8</v>
      </c>
      <c r="W19" s="1575">
        <f>J19</f>
        <v>100</v>
      </c>
      <c r="X19" s="1568"/>
      <c r="Y19" s="412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4120"/>
      <c r="Q20" s="1573"/>
      <c r="R20" s="1574"/>
      <c r="S20" s="1575"/>
      <c r="T20" s="1574"/>
      <c r="U20" s="1575"/>
      <c r="V20" s="1574"/>
      <c r="W20" s="1575"/>
      <c r="X20" s="1568"/>
      <c r="Y20" s="4120"/>
      <c r="Z20" s="1576"/>
      <c r="AA20" s="1577">
        <v>1</v>
      </c>
      <c r="AB20" s="1577">
        <v>1</v>
      </c>
      <c r="AC20" s="1577">
        <v>1</v>
      </c>
    </row>
    <row r="21" spans="1:29" ht="42.75">
      <c r="A21" s="532"/>
      <c r="B21" s="2619" t="s">
        <v>2564</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4120"/>
      <c r="Q21" s="2605" t="str">
        <f>B21</f>
        <v>基础设施水平</v>
      </c>
      <c r="R21" s="1574" t="s">
        <v>8</v>
      </c>
      <c r="S21" s="1575">
        <f>F21</f>
        <v>100</v>
      </c>
      <c r="T21" s="1574" t="s">
        <v>8</v>
      </c>
      <c r="U21" s="1575">
        <f>H21</f>
        <v>100</v>
      </c>
      <c r="V21" s="1574" t="s">
        <v>8</v>
      </c>
      <c r="W21" s="1575">
        <f>J21</f>
        <v>100</v>
      </c>
      <c r="X21" s="2607"/>
      <c r="Y21" s="4120"/>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4120"/>
      <c r="Q22" s="2605"/>
      <c r="R22" s="1574"/>
      <c r="S22" s="1575"/>
      <c r="T22" s="1574"/>
      <c r="U22" s="1575"/>
      <c r="V22" s="1574"/>
      <c r="W22" s="1575"/>
      <c r="X22" s="2607"/>
      <c r="Y22" s="4120"/>
      <c r="Z22" s="2606"/>
      <c r="AA22" s="1577">
        <v>1</v>
      </c>
      <c r="AB22" s="1577">
        <v>1</v>
      </c>
      <c r="AC22" s="1577">
        <v>1</v>
      </c>
    </row>
    <row r="23" spans="1:29" ht="128.25">
      <c r="A23" s="532"/>
      <c r="B23" s="871" t="s">
        <v>297</v>
      </c>
      <c r="C23" s="900" t="str">
        <f>估价对象房地状况!C9</f>
        <v>估价对象周边无大型绿化，公园等自然环境一般：周边有长沙理工大学，无其他博物馆，图书馆等人文环境一般；综合评价环境状况一般。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4120"/>
      <c r="Q23" s="1573" t="str">
        <f>B23</f>
        <v>自然及人文环境</v>
      </c>
      <c r="R23" s="1574" t="s">
        <v>8</v>
      </c>
      <c r="S23" s="1575">
        <f>F23</f>
        <v>100</v>
      </c>
      <c r="T23" s="1574" t="s">
        <v>8</v>
      </c>
      <c r="U23" s="1575">
        <f>H23</f>
        <v>100</v>
      </c>
      <c r="V23" s="1574" t="s">
        <v>8</v>
      </c>
      <c r="W23" s="1575">
        <f>J23</f>
        <v>100</v>
      </c>
      <c r="X23" s="1568"/>
      <c r="Y23" s="412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4120"/>
      <c r="Q24" s="1573"/>
      <c r="R24" s="1574"/>
      <c r="S24" s="1575"/>
      <c r="T24" s="1574"/>
      <c r="U24" s="1575"/>
      <c r="V24" s="1574"/>
      <c r="W24" s="1575"/>
      <c r="X24" s="1568"/>
      <c r="Y24" s="4120"/>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4120"/>
      <c r="Q25" s="1573" t="str">
        <f t="shared" ref="Q25:Q46" si="11">B25</f>
        <v>临街状况</v>
      </c>
      <c r="R25" s="1574" t="s">
        <v>8</v>
      </c>
      <c r="S25" s="1575">
        <f>F25</f>
        <v>100</v>
      </c>
      <c r="T25" s="1574" t="s">
        <v>8</v>
      </c>
      <c r="U25" s="1575">
        <f>H25</f>
        <v>100</v>
      </c>
      <c r="V25" s="1574" t="s">
        <v>8</v>
      </c>
      <c r="W25" s="1575">
        <f>J25</f>
        <v>100</v>
      </c>
      <c r="X25" s="1568"/>
      <c r="Y25" s="4120"/>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4120"/>
      <c r="Q26" s="1573" t="str">
        <f t="shared" si="11"/>
        <v>平面位置/可视性</v>
      </c>
      <c r="R26" s="1574" t="s">
        <v>8</v>
      </c>
      <c r="S26" s="1575">
        <f>F26</f>
        <v>100</v>
      </c>
      <c r="T26" s="1574" t="s">
        <v>8</v>
      </c>
      <c r="U26" s="1575">
        <f>H26</f>
        <v>100</v>
      </c>
      <c r="V26" s="1574" t="s">
        <v>8</v>
      </c>
      <c r="W26" s="1575">
        <f>J26</f>
        <v>100</v>
      </c>
      <c r="X26" s="1568"/>
      <c r="Y26" s="4120"/>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4120"/>
      <c r="Q27" s="1151" t="str">
        <f t="shared" si="11"/>
        <v>人流量</v>
      </c>
      <c r="R27" s="1569" t="s">
        <v>8</v>
      </c>
      <c r="S27" s="1570">
        <f>F27</f>
        <v>100</v>
      </c>
      <c r="T27" s="1569" t="s">
        <v>8</v>
      </c>
      <c r="U27" s="1570">
        <f>H27</f>
        <v>100</v>
      </c>
      <c r="V27" s="1569" t="s">
        <v>8</v>
      </c>
      <c r="W27" s="1570">
        <f>J27</f>
        <v>100</v>
      </c>
      <c r="X27" s="1571"/>
      <c r="Y27" s="4120"/>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412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412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4120"/>
      <c r="Q29" s="1573">
        <f t="shared" si="11"/>
        <v>111</v>
      </c>
      <c r="R29" s="1574" t="s">
        <v>8</v>
      </c>
      <c r="S29" s="1575">
        <f t="shared" si="12"/>
        <v>100</v>
      </c>
      <c r="T29" s="1574" t="s">
        <v>8</v>
      </c>
      <c r="U29" s="1575">
        <f t="shared" si="13"/>
        <v>100</v>
      </c>
      <c r="V29" s="1574" t="s">
        <v>8</v>
      </c>
      <c r="W29" s="1575">
        <f t="shared" si="14"/>
        <v>100</v>
      </c>
      <c r="X29" s="1568"/>
      <c r="Y29" s="412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4120"/>
      <c r="Q30" s="1573">
        <f t="shared" si="11"/>
        <v>111</v>
      </c>
      <c r="R30" s="1574" t="s">
        <v>8</v>
      </c>
      <c r="S30" s="1575">
        <f t="shared" si="12"/>
        <v>100</v>
      </c>
      <c r="T30" s="1574" t="s">
        <v>8</v>
      </c>
      <c r="U30" s="1575">
        <f t="shared" si="13"/>
        <v>100</v>
      </c>
      <c r="V30" s="1574" t="s">
        <v>8</v>
      </c>
      <c r="W30" s="1575">
        <f t="shared" si="14"/>
        <v>100</v>
      </c>
      <c r="X30" s="1568"/>
      <c r="Y30" s="412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4120"/>
      <c r="Q31" s="1573">
        <f t="shared" si="11"/>
        <v>111</v>
      </c>
      <c r="R31" s="1574" t="s">
        <v>8</v>
      </c>
      <c r="S31" s="1575">
        <f t="shared" si="12"/>
        <v>100</v>
      </c>
      <c r="T31" s="1574" t="s">
        <v>8</v>
      </c>
      <c r="U31" s="1575">
        <f t="shared" si="13"/>
        <v>100</v>
      </c>
      <c r="V31" s="1574" t="s">
        <v>8</v>
      </c>
      <c r="W31" s="1575">
        <f t="shared" si="14"/>
        <v>100</v>
      </c>
      <c r="X31" s="1568"/>
      <c r="Y31" s="4120"/>
      <c r="Z31" s="1576">
        <f t="shared" si="15"/>
        <v>111</v>
      </c>
      <c r="AA31" s="1577">
        <f t="shared" si="3"/>
        <v>1</v>
      </c>
      <c r="AB31" s="1577">
        <f t="shared" si="4"/>
        <v>1</v>
      </c>
      <c r="AC31" s="1577">
        <f t="shared" si="5"/>
        <v>1</v>
      </c>
    </row>
    <row r="32" spans="1:29" ht="15">
      <c r="A32" s="2935" t="s">
        <v>2763</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4121" t="s">
        <v>551</v>
      </c>
      <c r="Q32" s="1573" t="str">
        <f t="shared" si="11"/>
        <v>商业类型</v>
      </c>
      <c r="R32" s="1574" t="s">
        <v>8</v>
      </c>
      <c r="S32" s="1575">
        <f t="shared" si="12"/>
        <v>100</v>
      </c>
      <c r="T32" s="1574" t="s">
        <v>8</v>
      </c>
      <c r="U32" s="1575">
        <f t="shared" si="13"/>
        <v>100</v>
      </c>
      <c r="V32" s="1574" t="s">
        <v>8</v>
      </c>
      <c r="W32" s="1575">
        <f t="shared" si="14"/>
        <v>100</v>
      </c>
      <c r="X32" s="1568"/>
      <c r="Y32" s="4122"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4122"/>
      <c r="Q33" s="1606" t="str">
        <f t="shared" si="11"/>
        <v>项目建筑规模</v>
      </c>
      <c r="R33" s="1578" t="s">
        <v>8</v>
      </c>
      <c r="S33" s="1579" t="e">
        <f t="shared" si="12"/>
        <v>#N/A</v>
      </c>
      <c r="T33" s="1578" t="s">
        <v>8</v>
      </c>
      <c r="U33" s="1579" t="e">
        <f t="shared" si="13"/>
        <v>#N/A</v>
      </c>
      <c r="V33" s="1578" t="s">
        <v>8</v>
      </c>
      <c r="W33" s="1579" t="e">
        <f t="shared" si="14"/>
        <v>#N/A</v>
      </c>
      <c r="X33" s="1580"/>
      <c r="Y33" s="4122"/>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4122"/>
      <c r="Q34" s="1573" t="str">
        <f t="shared" si="11"/>
        <v>建筑结构</v>
      </c>
      <c r="R34" s="1574" t="s">
        <v>8</v>
      </c>
      <c r="S34" s="1575">
        <f t="shared" si="12"/>
        <v>100</v>
      </c>
      <c r="T34" s="1574" t="s">
        <v>8</v>
      </c>
      <c r="U34" s="1575">
        <f t="shared" si="13"/>
        <v>100</v>
      </c>
      <c r="V34" s="1574" t="s">
        <v>8</v>
      </c>
      <c r="W34" s="1575">
        <f t="shared" si="14"/>
        <v>100</v>
      </c>
      <c r="X34" s="1568"/>
      <c r="Y34" s="4122"/>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4122"/>
      <c r="Q35" s="1573" t="str">
        <f t="shared" si="11"/>
        <v>公共部分装修</v>
      </c>
      <c r="R35" s="1574" t="s">
        <v>8</v>
      </c>
      <c r="S35" s="1575">
        <f t="shared" si="12"/>
        <v>100</v>
      </c>
      <c r="T35" s="1574" t="s">
        <v>8</v>
      </c>
      <c r="U35" s="1575">
        <f t="shared" si="13"/>
        <v>100</v>
      </c>
      <c r="V35" s="1574" t="s">
        <v>8</v>
      </c>
      <c r="W35" s="1575">
        <f t="shared" si="14"/>
        <v>100</v>
      </c>
      <c r="X35" s="1568"/>
      <c r="Y35" s="4122"/>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4122"/>
      <c r="Q36" s="1573" t="str">
        <f t="shared" si="11"/>
        <v>成新度</v>
      </c>
      <c r="R36" s="1574" t="s">
        <v>8</v>
      </c>
      <c r="S36" s="1575" t="e">
        <f t="shared" si="12"/>
        <v>#N/A</v>
      </c>
      <c r="T36" s="1574" t="s">
        <v>8</v>
      </c>
      <c r="U36" s="1575" t="e">
        <f t="shared" si="13"/>
        <v>#N/A</v>
      </c>
      <c r="V36" s="1574" t="s">
        <v>8</v>
      </c>
      <c r="W36" s="1575" t="e">
        <f t="shared" si="14"/>
        <v>#N/A</v>
      </c>
      <c r="X36" s="1568"/>
      <c r="Y36" s="4122"/>
      <c r="Z36" s="1576" t="str">
        <f t="shared" si="15"/>
        <v>成新度</v>
      </c>
      <c r="AA36" s="1577" t="e">
        <f t="shared" si="3"/>
        <v>#N/A</v>
      </c>
      <c r="AB36" s="1577" t="e">
        <f t="shared" si="4"/>
        <v>#N/A</v>
      </c>
      <c r="AC36" s="1577" t="e">
        <f t="shared" si="5"/>
        <v>#N/A</v>
      </c>
    </row>
    <row r="37" spans="1:29" s="1220" customFormat="1" ht="15">
      <c r="A37" s="600"/>
      <c r="B37" s="1897" t="s">
        <v>2571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4122"/>
      <c r="Q37" s="1151" t="str">
        <f t="shared" si="11"/>
        <v>市政基础设施</v>
      </c>
      <c r="R37" s="1569" t="s">
        <v>8</v>
      </c>
      <c r="S37" s="1570">
        <f t="shared" si="12"/>
        <v>100</v>
      </c>
      <c r="T37" s="1569" t="s">
        <v>8</v>
      </c>
      <c r="U37" s="1570">
        <f t="shared" si="13"/>
        <v>100</v>
      </c>
      <c r="V37" s="1569" t="s">
        <v>8</v>
      </c>
      <c r="W37" s="1570">
        <f t="shared" si="14"/>
        <v>100</v>
      </c>
      <c r="X37" s="1571"/>
      <c r="Y37" s="4122"/>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4122" t="s">
        <v>767</v>
      </c>
      <c r="Q38" s="1573" t="str">
        <f t="shared" si="11"/>
        <v>业态</v>
      </c>
      <c r="R38" s="1574" t="s">
        <v>8</v>
      </c>
      <c r="S38" s="1575">
        <f t="shared" si="12"/>
        <v>100</v>
      </c>
      <c r="T38" s="1574" t="s">
        <v>8</v>
      </c>
      <c r="U38" s="1575">
        <f t="shared" si="13"/>
        <v>100</v>
      </c>
      <c r="V38" s="1574" t="s">
        <v>8</v>
      </c>
      <c r="W38" s="1575">
        <f t="shared" si="14"/>
        <v>100</v>
      </c>
      <c r="X38" s="1568"/>
      <c r="Y38" s="4122"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4122"/>
      <c r="Q39" s="1573" t="str">
        <f t="shared" si="11"/>
        <v>层高</v>
      </c>
      <c r="R39" s="1574" t="s">
        <v>8</v>
      </c>
      <c r="S39" s="1575">
        <f t="shared" si="12"/>
        <v>100</v>
      </c>
      <c r="T39" s="1574" t="s">
        <v>8</v>
      </c>
      <c r="U39" s="1575">
        <f t="shared" si="13"/>
        <v>100</v>
      </c>
      <c r="V39" s="1574" t="s">
        <v>8</v>
      </c>
      <c r="W39" s="1575">
        <f t="shared" si="14"/>
        <v>100</v>
      </c>
      <c r="X39" s="1568"/>
      <c r="Y39" s="4122"/>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4122"/>
      <c r="Q40" s="1573" t="str">
        <f t="shared" si="11"/>
        <v>单套建筑面积</v>
      </c>
      <c r="R40" s="1574" t="s">
        <v>8</v>
      </c>
      <c r="S40" s="1575">
        <f t="shared" si="12"/>
        <v>100</v>
      </c>
      <c r="T40" s="1574" t="s">
        <v>8</v>
      </c>
      <c r="U40" s="1575">
        <f t="shared" si="13"/>
        <v>100</v>
      </c>
      <c r="V40" s="1574" t="s">
        <v>8</v>
      </c>
      <c r="W40" s="1575">
        <f t="shared" si="14"/>
        <v>100</v>
      </c>
      <c r="X40" s="1568"/>
      <c r="Y40" s="4122"/>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4122"/>
      <c r="Q41" s="1606" t="str">
        <f t="shared" si="11"/>
        <v>进深比</v>
      </c>
      <c r="R41" s="1578" t="s">
        <v>8</v>
      </c>
      <c r="S41" s="1579">
        <f t="shared" si="12"/>
        <v>100</v>
      </c>
      <c r="T41" s="1578" t="s">
        <v>8</v>
      </c>
      <c r="U41" s="1579">
        <f t="shared" si="13"/>
        <v>100</v>
      </c>
      <c r="V41" s="1578" t="s">
        <v>8</v>
      </c>
      <c r="W41" s="1579">
        <f t="shared" si="14"/>
        <v>100</v>
      </c>
      <c r="X41" s="1580"/>
      <c r="Y41" s="4122"/>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4122"/>
      <c r="Q42" s="1573" t="str">
        <f t="shared" si="11"/>
        <v>内部装修</v>
      </c>
      <c r="R42" s="1574" t="s">
        <v>8</v>
      </c>
      <c r="S42" s="1575">
        <f t="shared" si="12"/>
        <v>100</v>
      </c>
      <c r="T42" s="1574" t="s">
        <v>8</v>
      </c>
      <c r="U42" s="1575">
        <f t="shared" si="13"/>
        <v>100</v>
      </c>
      <c r="V42" s="1574" t="s">
        <v>8</v>
      </c>
      <c r="W42" s="1575">
        <f t="shared" si="14"/>
        <v>100</v>
      </c>
      <c r="X42" s="1568"/>
      <c r="Y42" s="4122"/>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4122"/>
      <c r="Q43" s="1573" t="str">
        <f t="shared" si="11"/>
        <v>内部装修维护情况</v>
      </c>
      <c r="R43" s="1574" t="s">
        <v>8</v>
      </c>
      <c r="S43" s="1575">
        <f t="shared" si="12"/>
        <v>100</v>
      </c>
      <c r="T43" s="1574" t="s">
        <v>8</v>
      </c>
      <c r="U43" s="1575">
        <f t="shared" si="13"/>
        <v>100</v>
      </c>
      <c r="V43" s="1574" t="s">
        <v>8</v>
      </c>
      <c r="W43" s="1575">
        <f t="shared" si="14"/>
        <v>100</v>
      </c>
      <c r="X43" s="1568"/>
      <c r="Y43" s="412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4122"/>
      <c r="Q44" s="1151">
        <f t="shared" si="11"/>
        <v>111</v>
      </c>
      <c r="R44" s="1569" t="s">
        <v>8</v>
      </c>
      <c r="S44" s="1570">
        <f t="shared" si="12"/>
        <v>100</v>
      </c>
      <c r="T44" s="1569" t="s">
        <v>8</v>
      </c>
      <c r="U44" s="1570">
        <f t="shared" si="13"/>
        <v>100</v>
      </c>
      <c r="V44" s="1569" t="s">
        <v>8</v>
      </c>
      <c r="W44" s="1570">
        <f t="shared" si="14"/>
        <v>100</v>
      </c>
      <c r="X44" s="1571"/>
      <c r="Y44" s="412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4122"/>
      <c r="Q45" s="1573">
        <f t="shared" si="11"/>
        <v>111</v>
      </c>
      <c r="R45" s="1574" t="s">
        <v>8</v>
      </c>
      <c r="S45" s="1575">
        <f t="shared" si="12"/>
        <v>100</v>
      </c>
      <c r="T45" s="1574" t="s">
        <v>8</v>
      </c>
      <c r="U45" s="1575">
        <f t="shared" si="13"/>
        <v>100</v>
      </c>
      <c r="V45" s="1574" t="s">
        <v>8</v>
      </c>
      <c r="W45" s="1575">
        <f t="shared" si="14"/>
        <v>100</v>
      </c>
      <c r="X45" s="1568"/>
      <c r="Y45" s="412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4300"/>
      <c r="Q46" s="1573">
        <f t="shared" si="11"/>
        <v>111</v>
      </c>
      <c r="R46" s="1574" t="s">
        <v>8</v>
      </c>
      <c r="S46" s="1575">
        <f t="shared" si="12"/>
        <v>100</v>
      </c>
      <c r="T46" s="1574" t="s">
        <v>8</v>
      </c>
      <c r="U46" s="1575">
        <f t="shared" si="13"/>
        <v>100</v>
      </c>
      <c r="V46" s="1574" t="s">
        <v>8</v>
      </c>
      <c r="W46" s="1575">
        <f t="shared" si="14"/>
        <v>100</v>
      </c>
      <c r="X46" s="1568"/>
      <c r="Y46" s="4300"/>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4117" t="str">
        <f>A47</f>
        <v>成交单价（元/平方米）</v>
      </c>
      <c r="Q47" s="4117"/>
      <c r="R47" s="4299">
        <f>E47</f>
        <v>0</v>
      </c>
      <c r="S47" s="4299"/>
      <c r="T47" s="4299">
        <f>G47</f>
        <v>0</v>
      </c>
      <c r="U47" s="4299"/>
      <c r="V47" s="4299">
        <f>I47</f>
        <v>0</v>
      </c>
      <c r="W47" s="4299"/>
      <c r="X47" s="1560"/>
      <c r="Y47" s="1582"/>
      <c r="Z47" s="1560"/>
      <c r="AA47" s="1560"/>
      <c r="AB47" s="1560"/>
      <c r="AC47" s="1560"/>
    </row>
    <row r="48" spans="1:29" ht="15.75" thickBot="1">
      <c r="A48" s="615" t="s">
        <v>2768</v>
      </c>
      <c r="B48" s="888"/>
      <c r="C48" s="2659" t="e">
        <f>R49</f>
        <v>#DIV/0!</v>
      </c>
      <c r="D48" s="2660"/>
      <c r="E48" s="2661" t="e">
        <f>R48</f>
        <v>#DIV/0!</v>
      </c>
      <c r="F48" s="2661"/>
      <c r="G48" s="2659" t="e">
        <f>T48</f>
        <v>#DIV/0!</v>
      </c>
      <c r="H48" s="2660"/>
      <c r="I48" s="2661" t="e">
        <f>V48</f>
        <v>#DIV/0!</v>
      </c>
      <c r="J48" s="2660"/>
      <c r="K48" s="1613"/>
      <c r="L48" s="2146"/>
      <c r="M48" s="2147"/>
      <c r="N48" s="2136"/>
      <c r="O48" s="2147"/>
      <c r="P48" s="4117" t="str">
        <f>A48</f>
        <v>比较价格（元/平方米）</v>
      </c>
      <c r="Q48" s="4117"/>
      <c r="R48" s="4299" t="e">
        <f>IF(F1="售价",ROUND(PRODUCT(R47,AA7:AA46),0),ROUND(PRODUCT(R47,AA7:AA46),1))</f>
        <v>#DIV/0!</v>
      </c>
      <c r="S48" s="4299"/>
      <c r="T48" s="4299" t="e">
        <f>IF(F1="售价",ROUND(PRODUCT(T47,AB7:AB46),0),ROUND(PRODUCT(T47,AB7:AB46),1))</f>
        <v>#DIV/0!</v>
      </c>
      <c r="U48" s="4299"/>
      <c r="V48" s="4299" t="e">
        <f>IF(F1="售价",ROUND(PRODUCT(V47,AC7:AC46),0),ROUND(PRODUCT(V47,AC7:AC46),1))</f>
        <v>#DIV/0!</v>
      </c>
      <c r="W48" s="4299"/>
      <c r="X48" s="1560"/>
      <c r="Y48" s="1560"/>
      <c r="Z48" s="1560"/>
      <c r="AA48" s="1560"/>
      <c r="AB48" s="1560"/>
      <c r="AC48" s="1560"/>
    </row>
    <row r="49" spans="1:29" ht="15.75" thickBot="1">
      <c r="A49" s="621" t="s">
        <v>2940</v>
      </c>
      <c r="B49" s="622"/>
      <c r="C49" s="2662" t="e">
        <f>R49</f>
        <v>#DIV/0!</v>
      </c>
      <c r="D49" s="2662"/>
      <c r="E49" s="2662"/>
      <c r="F49" s="2662"/>
      <c r="G49" s="2662"/>
      <c r="H49" s="2662"/>
      <c r="I49" s="2662"/>
      <c r="J49" s="2662"/>
      <c r="K49" s="1614"/>
      <c r="L49" s="2146"/>
      <c r="M49" s="2147"/>
      <c r="N49" s="2136"/>
      <c r="O49" s="2147"/>
      <c r="P49" s="4139" t="str">
        <f>A49</f>
        <v>估价对象XX用房的比较价格（楼面单价，元/平方米）</v>
      </c>
      <c r="Q49" s="4140"/>
      <c r="R49" s="4298" t="e">
        <f>IF(F1="售价",ROUND(AVERAGE(R48:V48),0),ROUND(AVERAGE(R48:V48),1))</f>
        <v>#DIV/0!</v>
      </c>
      <c r="S49" s="4298"/>
      <c r="T49" s="4298"/>
      <c r="U49" s="4298"/>
      <c r="V49" s="4298"/>
      <c r="W49" s="42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2017-7</v>
      </c>
      <c r="D58" s="2832">
        <f>EDATE(C58,-1)</f>
        <v>42887</v>
      </c>
      <c r="E58" s="2832">
        <f t="shared" ref="E58:O58" si="16">EDATE(D58,-1)</f>
        <v>42856</v>
      </c>
      <c r="F58" s="2832">
        <f t="shared" si="16"/>
        <v>42826</v>
      </c>
      <c r="G58" s="2832">
        <f t="shared" si="16"/>
        <v>42795</v>
      </c>
      <c r="H58" s="2832">
        <f t="shared" si="16"/>
        <v>42767</v>
      </c>
      <c r="I58" s="2832">
        <f t="shared" si="16"/>
        <v>42736</v>
      </c>
      <c r="J58" s="2832">
        <f t="shared" si="16"/>
        <v>42705</v>
      </c>
      <c r="K58" s="2832">
        <f t="shared" si="16"/>
        <v>42675</v>
      </c>
      <c r="L58" s="2832">
        <f t="shared" si="16"/>
        <v>42644</v>
      </c>
      <c r="M58" s="2832">
        <f t="shared" si="16"/>
        <v>42614</v>
      </c>
      <c r="N58" s="2832">
        <f t="shared" si="16"/>
        <v>42583</v>
      </c>
      <c r="O58" s="2832">
        <f t="shared" si="16"/>
        <v>42552</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2563</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2564</v>
      </c>
      <c r="C82" s="2624" t="s">
        <v>2565</v>
      </c>
      <c r="D82" s="2624" t="s">
        <v>2566</v>
      </c>
      <c r="E82" s="2624" t="s">
        <v>2567</v>
      </c>
      <c r="F82" s="2624" t="s">
        <v>2568</v>
      </c>
      <c r="G82" s="2624" t="s">
        <v>2569</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4123" t="s">
        <v>523</v>
      </c>
      <c r="D4" s="4124"/>
      <c r="E4" s="4225" t="s">
        <v>524</v>
      </c>
      <c r="F4" s="4226"/>
      <c r="G4" s="4123" t="s">
        <v>525</v>
      </c>
      <c r="H4" s="4124"/>
      <c r="I4" s="4123" t="s">
        <v>526</v>
      </c>
      <c r="J4" s="4124"/>
      <c r="K4" s="514" t="s">
        <v>527</v>
      </c>
      <c r="L4" s="2135"/>
      <c r="M4" s="2136"/>
      <c r="N4" s="2136"/>
      <c r="O4" s="2136"/>
      <c r="P4" s="4301" t="s">
        <v>528</v>
      </c>
      <c r="Q4" s="4126"/>
      <c r="R4" s="4111" t="s">
        <v>524</v>
      </c>
      <c r="S4" s="4112"/>
      <c r="T4" s="4111" t="s">
        <v>525</v>
      </c>
      <c r="U4" s="4112"/>
      <c r="V4" s="4131" t="s">
        <v>526</v>
      </c>
      <c r="W4" s="4131"/>
      <c r="X4" s="1568"/>
      <c r="Y4" s="4111" t="s">
        <v>528</v>
      </c>
      <c r="Z4" s="4112"/>
      <c r="AA4" s="4106" t="s">
        <v>524</v>
      </c>
      <c r="AB4" s="4106" t="s">
        <v>525</v>
      </c>
      <c r="AC4" s="4106" t="s">
        <v>526</v>
      </c>
    </row>
    <row r="5" spans="1:29" ht="15">
      <c r="A5" s="515"/>
      <c r="B5" s="516"/>
      <c r="C5" s="4229" t="s">
        <v>2934</v>
      </c>
      <c r="D5" s="4230"/>
      <c r="E5" s="4227" t="s">
        <v>2935</v>
      </c>
      <c r="F5" s="4228"/>
      <c r="G5" s="4229" t="s">
        <v>2936</v>
      </c>
      <c r="H5" s="4230"/>
      <c r="I5" s="4229" t="s">
        <v>2937</v>
      </c>
      <c r="J5" s="4230"/>
      <c r="K5" s="514"/>
      <c r="L5" s="2135"/>
      <c r="M5" s="2136"/>
      <c r="N5" s="2136"/>
      <c r="O5" s="2136"/>
      <c r="P5" s="4302"/>
      <c r="Q5" s="4128"/>
      <c r="R5" s="4113"/>
      <c r="S5" s="4114"/>
      <c r="T5" s="4113"/>
      <c r="U5" s="4114"/>
      <c r="V5" s="4131"/>
      <c r="W5" s="4131"/>
      <c r="X5" s="1568"/>
      <c r="Y5" s="4113"/>
      <c r="Z5" s="4114"/>
      <c r="AA5" s="4107"/>
      <c r="AB5" s="4107"/>
      <c r="AC5" s="4107"/>
    </row>
    <row r="6" spans="1:29" ht="15.75" thickBot="1">
      <c r="A6" s="517"/>
      <c r="B6" s="518"/>
      <c r="C6" s="4231" t="s">
        <v>2938</v>
      </c>
      <c r="D6" s="4232"/>
      <c r="E6" s="4233" t="s">
        <v>2938</v>
      </c>
      <c r="F6" s="4234"/>
      <c r="G6" s="4231" t="s">
        <v>2938</v>
      </c>
      <c r="H6" s="4232"/>
      <c r="I6" s="4231" t="s">
        <v>2938</v>
      </c>
      <c r="J6" s="4232"/>
      <c r="K6" s="514" t="s">
        <v>529</v>
      </c>
      <c r="L6" s="2135"/>
      <c r="M6" s="2136"/>
      <c r="N6" s="2136"/>
      <c r="O6" s="2136"/>
      <c r="P6" s="4303"/>
      <c r="Q6" s="4130"/>
      <c r="R6" s="4113"/>
      <c r="S6" s="4114"/>
      <c r="T6" s="4115"/>
      <c r="U6" s="4116"/>
      <c r="V6" s="4131"/>
      <c r="W6" s="4131"/>
      <c r="X6" s="1568"/>
      <c r="Y6" s="4115"/>
      <c r="Z6" s="4116"/>
      <c r="AA6" s="4108"/>
      <c r="AB6" s="4108"/>
      <c r="AC6" s="4108"/>
    </row>
    <row r="7" spans="1:29" s="1220" customFormat="1" ht="15.75" thickBot="1">
      <c r="A7" s="2939"/>
      <c r="B7" s="2946" t="s">
        <v>530</v>
      </c>
      <c r="C7" s="519">
        <f>'数据-取费表'!B2</f>
        <v>42940</v>
      </c>
      <c r="D7" s="520">
        <v>100</v>
      </c>
      <c r="E7" s="521"/>
      <c r="F7" s="522">
        <f>SUMIF(59:59,YEAR(E7)&amp;"-"&amp;MONTH(E7),60:60)</f>
        <v>0</v>
      </c>
      <c r="G7" s="521"/>
      <c r="H7" s="520">
        <f>SUMIF(59:59,YEAR(G7)&amp;"-"&amp;MONTH(G7),60:60)</f>
        <v>0</v>
      </c>
      <c r="I7" s="521"/>
      <c r="J7" s="520">
        <f>SUMIF(59:59,YEAR(I7)&amp;"-"&amp;MONTH(I7),60:60)</f>
        <v>0</v>
      </c>
      <c r="K7" s="524"/>
      <c r="L7" s="2137"/>
      <c r="M7" s="2138"/>
      <c r="N7" s="2138"/>
      <c r="O7" s="2138"/>
      <c r="P7" s="4118" t="s">
        <v>531</v>
      </c>
      <c r="Q7" s="4118"/>
      <c r="R7" s="1569" t="s">
        <v>8</v>
      </c>
      <c r="S7" s="1570">
        <f t="shared" ref="S7:S15" si="0">F7</f>
        <v>0</v>
      </c>
      <c r="T7" s="1569" t="s">
        <v>8</v>
      </c>
      <c r="U7" s="1570">
        <f t="shared" ref="U7:U15" si="1">H7</f>
        <v>0</v>
      </c>
      <c r="V7" s="1569" t="s">
        <v>8</v>
      </c>
      <c r="W7" s="1570">
        <f t="shared" ref="W7:W15" si="2">J7</f>
        <v>0</v>
      </c>
      <c r="X7" s="1571"/>
      <c r="Y7" s="4109" t="s">
        <v>531</v>
      </c>
      <c r="Z7" s="4110"/>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4118" t="s">
        <v>534</v>
      </c>
      <c r="Q8" s="4110"/>
      <c r="R8" s="1569" t="s">
        <v>8</v>
      </c>
      <c r="S8" s="1570">
        <f t="shared" si="0"/>
        <v>0</v>
      </c>
      <c r="T8" s="1569" t="s">
        <v>8</v>
      </c>
      <c r="U8" s="1570">
        <f t="shared" si="1"/>
        <v>0</v>
      </c>
      <c r="V8" s="1569" t="s">
        <v>8</v>
      </c>
      <c r="W8" s="1570">
        <f t="shared" si="2"/>
        <v>0</v>
      </c>
      <c r="X8" s="1571"/>
      <c r="Y8" s="4109" t="s">
        <v>534</v>
      </c>
      <c r="Z8" s="4110"/>
      <c r="AA8" s="1572" t="e">
        <f t="shared" ref="AA8:AA47" si="3">D8/F8</f>
        <v>#DIV/0!</v>
      </c>
      <c r="AB8" s="1572" t="e">
        <f t="shared" ref="AB8:AB47" si="4">D8/H8</f>
        <v>#DIV/0!</v>
      </c>
      <c r="AC8" s="1572" t="e">
        <f t="shared" ref="AC8:AC47" si="5">D8/J8</f>
        <v>#DIV/0!</v>
      </c>
    </row>
    <row r="9" spans="1:29" s="1220" customFormat="1" ht="15">
      <c r="A9" s="2941"/>
      <c r="B9" s="2948" t="s">
        <v>2764</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4117" t="s">
        <v>536</v>
      </c>
      <c r="Q9" s="1151" t="str">
        <f t="shared" ref="Q9:Q15" si="6">B9</f>
        <v>用途</v>
      </c>
      <c r="R9" s="1569" t="s">
        <v>8</v>
      </c>
      <c r="S9" s="1570">
        <f t="shared" si="0"/>
        <v>100</v>
      </c>
      <c r="T9" s="1569" t="s">
        <v>8</v>
      </c>
      <c r="U9" s="1570">
        <f t="shared" si="1"/>
        <v>100</v>
      </c>
      <c r="V9" s="1569" t="s">
        <v>8</v>
      </c>
      <c r="W9" s="1570">
        <f t="shared" si="2"/>
        <v>100</v>
      </c>
      <c r="X9" s="1571"/>
      <c r="Y9" s="4074" t="s">
        <v>537</v>
      </c>
      <c r="Z9" s="1150" t="str">
        <f t="shared" ref="Z9:Z15" si="7">Q9</f>
        <v>用途</v>
      </c>
      <c r="AA9" s="1572">
        <f t="shared" si="3"/>
        <v>1</v>
      </c>
      <c r="AB9" s="1572">
        <f t="shared" si="4"/>
        <v>1</v>
      </c>
      <c r="AC9" s="1572">
        <f t="shared" si="5"/>
        <v>1</v>
      </c>
    </row>
    <row r="10" spans="1:29" s="1338" customFormat="1" ht="27">
      <c r="A10" s="2942"/>
      <c r="B10" s="2947" t="s">
        <v>2765</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4117"/>
      <c r="Q10" s="1151" t="str">
        <f t="shared" si="6"/>
        <v>土地使用年限（年）</v>
      </c>
      <c r="R10" s="1569" t="s">
        <v>8</v>
      </c>
      <c r="S10" s="1570">
        <f t="shared" si="0"/>
        <v>100</v>
      </c>
      <c r="T10" s="1569" t="s">
        <v>8</v>
      </c>
      <c r="U10" s="1570">
        <f t="shared" si="1"/>
        <v>100</v>
      </c>
      <c r="V10" s="1569" t="s">
        <v>8</v>
      </c>
      <c r="W10" s="1570">
        <f t="shared" si="2"/>
        <v>100</v>
      </c>
      <c r="X10" s="1571"/>
      <c r="Y10" s="4074"/>
      <c r="Z10" s="1150" t="str">
        <f t="shared" si="7"/>
        <v>土地使用年限（年）</v>
      </c>
      <c r="AA10" s="1572">
        <f t="shared" si="3"/>
        <v>1</v>
      </c>
      <c r="AB10" s="1572">
        <f t="shared" si="4"/>
        <v>1</v>
      </c>
      <c r="AC10" s="1572">
        <f t="shared" si="5"/>
        <v>1</v>
      </c>
    </row>
    <row r="11" spans="1:29" ht="15">
      <c r="A11" s="2943"/>
      <c r="B11" s="2947" t="s">
        <v>2766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4117"/>
      <c r="Q11" s="1151" t="str">
        <f t="shared" si="6"/>
        <v>容积率</v>
      </c>
      <c r="R11" s="1569" t="s">
        <v>8</v>
      </c>
      <c r="S11" s="1570" t="e">
        <f t="shared" si="0"/>
        <v>#N/A</v>
      </c>
      <c r="T11" s="1569" t="s">
        <v>8</v>
      </c>
      <c r="U11" s="1570" t="e">
        <f t="shared" si="1"/>
        <v>#N/A</v>
      </c>
      <c r="V11" s="1569" t="s">
        <v>8</v>
      </c>
      <c r="W11" s="1570" t="e">
        <f t="shared" si="2"/>
        <v>#N/A</v>
      </c>
      <c r="X11" s="1571"/>
      <c r="Y11" s="4074"/>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4117"/>
      <c r="Q12" s="1151">
        <f t="shared" si="6"/>
        <v>111</v>
      </c>
      <c r="R12" s="1569" t="s">
        <v>8</v>
      </c>
      <c r="S12" s="1570">
        <f t="shared" si="0"/>
        <v>100</v>
      </c>
      <c r="T12" s="1569" t="s">
        <v>8</v>
      </c>
      <c r="U12" s="1570">
        <f t="shared" si="1"/>
        <v>100</v>
      </c>
      <c r="V12" s="1569" t="s">
        <v>8</v>
      </c>
      <c r="W12" s="1570">
        <f t="shared" si="2"/>
        <v>100</v>
      </c>
      <c r="X12" s="1571"/>
      <c r="Y12" s="4074"/>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4117"/>
      <c r="Q13" s="1151">
        <f t="shared" si="6"/>
        <v>111</v>
      </c>
      <c r="R13" s="1569" t="s">
        <v>8</v>
      </c>
      <c r="S13" s="1570">
        <f t="shared" si="0"/>
        <v>100</v>
      </c>
      <c r="T13" s="1569" t="s">
        <v>8</v>
      </c>
      <c r="U13" s="1570">
        <f t="shared" si="1"/>
        <v>100</v>
      </c>
      <c r="V13" s="1569" t="s">
        <v>8</v>
      </c>
      <c r="W13" s="1570">
        <f t="shared" si="2"/>
        <v>100</v>
      </c>
      <c r="X13" s="1571"/>
      <c r="Y13" s="4074"/>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4117"/>
      <c r="Q14" s="1151">
        <f t="shared" si="6"/>
        <v>111</v>
      </c>
      <c r="R14" s="1569" t="s">
        <v>8</v>
      </c>
      <c r="S14" s="1570">
        <f t="shared" si="0"/>
        <v>100</v>
      </c>
      <c r="T14" s="1569" t="s">
        <v>8</v>
      </c>
      <c r="U14" s="1570">
        <f t="shared" si="1"/>
        <v>100</v>
      </c>
      <c r="V14" s="1569" t="s">
        <v>8</v>
      </c>
      <c r="W14" s="1570">
        <f t="shared" si="2"/>
        <v>100</v>
      </c>
      <c r="X14" s="1571"/>
      <c r="Y14" s="4074"/>
      <c r="Z14" s="1150">
        <f t="shared" si="7"/>
        <v>111</v>
      </c>
      <c r="AA14" s="1572">
        <f t="shared" si="3"/>
        <v>1</v>
      </c>
      <c r="AB14" s="1572">
        <f t="shared" si="4"/>
        <v>1</v>
      </c>
      <c r="AC14" s="1572">
        <f t="shared" si="5"/>
        <v>1</v>
      </c>
    </row>
    <row r="15" spans="1:29" ht="71.25">
      <c r="A15" s="2937" t="s">
        <v>2762</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4119" t="s">
        <v>541</v>
      </c>
      <c r="Q15" s="1573" t="str">
        <f t="shared" si="6"/>
        <v>办公集聚程度</v>
      </c>
      <c r="R15" s="1574" t="s">
        <v>8</v>
      </c>
      <c r="S15" s="1575">
        <f t="shared" si="0"/>
        <v>100</v>
      </c>
      <c r="T15" s="1574" t="s">
        <v>8</v>
      </c>
      <c r="U15" s="1575">
        <f t="shared" si="1"/>
        <v>100</v>
      </c>
      <c r="V15" s="1574" t="s">
        <v>8</v>
      </c>
      <c r="W15" s="1575">
        <f t="shared" si="2"/>
        <v>100</v>
      </c>
      <c r="X15" s="1568"/>
      <c r="Y15" s="4119"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4120"/>
      <c r="Q16" s="1573"/>
      <c r="R16" s="1574"/>
      <c r="S16" s="1575"/>
      <c r="T16" s="1574"/>
      <c r="U16" s="1575"/>
      <c r="V16" s="1574"/>
      <c r="W16" s="1575"/>
      <c r="X16" s="1568"/>
      <c r="Y16" s="4120"/>
      <c r="Z16" s="1576"/>
      <c r="AA16" s="1577">
        <v>1</v>
      </c>
      <c r="AB16" s="1577">
        <v>1</v>
      </c>
      <c r="AC16" s="1577">
        <v>1</v>
      </c>
    </row>
    <row r="17" spans="1:29" ht="85.5">
      <c r="A17" s="532"/>
      <c r="B17" s="560" t="s">
        <v>296</v>
      </c>
      <c r="C17" s="573" t="str">
        <f>估价对象房地状况!C6</f>
        <v>估价对象周边路网密集程度一般、有一定数量公交车、停车较便捷，综合评价交通便捷度一般。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4120"/>
      <c r="Q17" s="1573" t="str">
        <f>B17</f>
        <v>交通便捷度</v>
      </c>
      <c r="R17" s="1574" t="s">
        <v>8</v>
      </c>
      <c r="S17" s="1575">
        <f>F17</f>
        <v>100</v>
      </c>
      <c r="T17" s="1574" t="s">
        <v>8</v>
      </c>
      <c r="U17" s="1575">
        <f>H17</f>
        <v>100</v>
      </c>
      <c r="V17" s="1574" t="s">
        <v>8</v>
      </c>
      <c r="W17" s="1575">
        <f>J17</f>
        <v>100</v>
      </c>
      <c r="X17" s="1568"/>
      <c r="Y17" s="412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4120"/>
      <c r="Q18" s="1573"/>
      <c r="R18" s="1574"/>
      <c r="S18" s="1575"/>
      <c r="T18" s="1574"/>
      <c r="U18" s="1575"/>
      <c r="V18" s="1574"/>
      <c r="W18" s="1575"/>
      <c r="X18" s="1568"/>
      <c r="Y18" s="4120"/>
      <c r="Z18" s="1576"/>
      <c r="AA18" s="1577">
        <v>1</v>
      </c>
      <c r="AB18" s="1577">
        <v>1</v>
      </c>
      <c r="AC18" s="1577">
        <v>1</v>
      </c>
    </row>
    <row r="19" spans="1:29" ht="42.75">
      <c r="A19" s="532"/>
      <c r="B19" s="2629" t="s">
        <v>2552</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4120"/>
      <c r="Q19" s="1573" t="str">
        <f>B19</f>
        <v>公共配套设施</v>
      </c>
      <c r="R19" s="1574" t="s">
        <v>8</v>
      </c>
      <c r="S19" s="1575">
        <f>F19</f>
        <v>100</v>
      </c>
      <c r="T19" s="1574" t="s">
        <v>8</v>
      </c>
      <c r="U19" s="1575">
        <f>H19</f>
        <v>100</v>
      </c>
      <c r="V19" s="1574" t="s">
        <v>8</v>
      </c>
      <c r="W19" s="1575">
        <f>J19</f>
        <v>100</v>
      </c>
      <c r="X19" s="1568"/>
      <c r="Y19" s="412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4120"/>
      <c r="Q20" s="1573"/>
      <c r="R20" s="1574"/>
      <c r="S20" s="1575"/>
      <c r="T20" s="1574"/>
      <c r="U20" s="1575"/>
      <c r="V20" s="1574"/>
      <c r="W20" s="1575"/>
      <c r="X20" s="1568"/>
      <c r="Y20" s="4120"/>
      <c r="Z20" s="1576"/>
      <c r="AA20" s="1577">
        <v>1</v>
      </c>
      <c r="AB20" s="1577">
        <v>1</v>
      </c>
      <c r="AC20" s="1577">
        <v>1</v>
      </c>
    </row>
    <row r="21" spans="1:29" ht="42.75">
      <c r="A21" s="532"/>
      <c r="B21" s="2617" t="s">
        <v>2564</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4120"/>
      <c r="Q21" s="2605" t="str">
        <f>B21</f>
        <v>基础设施水平</v>
      </c>
      <c r="R21" s="1574" t="s">
        <v>8</v>
      </c>
      <c r="S21" s="1575">
        <f>F21</f>
        <v>100</v>
      </c>
      <c r="T21" s="1574" t="s">
        <v>8</v>
      </c>
      <c r="U21" s="1575">
        <f>H21</f>
        <v>100</v>
      </c>
      <c r="V21" s="1574" t="s">
        <v>8</v>
      </c>
      <c r="W21" s="1575">
        <f>J21</f>
        <v>100</v>
      </c>
      <c r="X21" s="2607"/>
      <c r="Y21" s="4120"/>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4120"/>
      <c r="Q22" s="2605"/>
      <c r="R22" s="1574"/>
      <c r="S22" s="1575"/>
      <c r="T22" s="1574"/>
      <c r="U22" s="1575"/>
      <c r="V22" s="1574"/>
      <c r="W22" s="1575"/>
      <c r="X22" s="2607"/>
      <c r="Y22" s="4120"/>
      <c r="Z22" s="2606"/>
      <c r="AA22" s="1577">
        <v>1</v>
      </c>
      <c r="AB22" s="1577">
        <v>1</v>
      </c>
      <c r="AC22" s="1577">
        <v>1</v>
      </c>
    </row>
    <row r="23" spans="1:29" ht="128.25">
      <c r="A23" s="532"/>
      <c r="B23" s="560" t="s">
        <v>779</v>
      </c>
      <c r="C23" s="573" t="str">
        <f>估价对象房地状况!C9</f>
        <v>估价对象周边无大型绿化，公园等自然环境一般：周边有长沙理工大学，无其他博物馆，图书馆等人文环境一般；综合评价环境状况一般。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4120"/>
      <c r="Q23" s="1573" t="str">
        <f>B23</f>
        <v>环境质量</v>
      </c>
      <c r="R23" s="1574" t="s">
        <v>8</v>
      </c>
      <c r="S23" s="1575">
        <f>F23</f>
        <v>100</v>
      </c>
      <c r="T23" s="1574" t="s">
        <v>8</v>
      </c>
      <c r="U23" s="1575">
        <f>H23</f>
        <v>100</v>
      </c>
      <c r="V23" s="1574" t="s">
        <v>8</v>
      </c>
      <c r="W23" s="1575">
        <f>J23</f>
        <v>100</v>
      </c>
      <c r="X23" s="1568"/>
      <c r="Y23" s="412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4120"/>
      <c r="Q24" s="1573"/>
      <c r="R24" s="1574"/>
      <c r="S24" s="1575"/>
      <c r="T24" s="1574"/>
      <c r="U24" s="1575"/>
      <c r="V24" s="1574"/>
      <c r="W24" s="1575"/>
      <c r="X24" s="1568"/>
      <c r="Y24" s="4120"/>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4120"/>
      <c r="Q25" s="1573" t="str">
        <f>B25</f>
        <v>毗邻道路的类型与等级</v>
      </c>
      <c r="R25" s="1574" t="s">
        <v>8</v>
      </c>
      <c r="S25" s="1575">
        <f>F25</f>
        <v>100</v>
      </c>
      <c r="T25" s="1574" t="s">
        <v>8</v>
      </c>
      <c r="U25" s="1575">
        <f>H25</f>
        <v>100</v>
      </c>
      <c r="V25" s="1574" t="s">
        <v>8</v>
      </c>
      <c r="W25" s="1575">
        <f>J25</f>
        <v>100</v>
      </c>
      <c r="X25" s="1568"/>
      <c r="Y25" s="412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4120"/>
      <c r="Q26" s="1573"/>
      <c r="R26" s="1574"/>
      <c r="S26" s="1575"/>
      <c r="T26" s="1574"/>
      <c r="U26" s="1575"/>
      <c r="V26" s="1574"/>
      <c r="W26" s="1575"/>
      <c r="X26" s="1568"/>
      <c r="Y26" s="4120"/>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4120"/>
      <c r="Q27" s="1573" t="str">
        <f t="shared" ref="Q27:Q47" si="11">B27</f>
        <v>楼层</v>
      </c>
      <c r="R27" s="1574" t="s">
        <v>8</v>
      </c>
      <c r="S27" s="1575">
        <f>F27</f>
        <v>100</v>
      </c>
      <c r="T27" s="1574" t="s">
        <v>8</v>
      </c>
      <c r="U27" s="1575">
        <f>H27</f>
        <v>100</v>
      </c>
      <c r="V27" s="1574" t="s">
        <v>8</v>
      </c>
      <c r="W27" s="1575">
        <f>J27</f>
        <v>100</v>
      </c>
      <c r="X27" s="1568"/>
      <c r="Y27" s="4120"/>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4120"/>
      <c r="Q28" s="1151" t="str">
        <f t="shared" si="11"/>
        <v>朝向</v>
      </c>
      <c r="R28" s="1569" t="s">
        <v>8</v>
      </c>
      <c r="S28" s="1570">
        <f>F28</f>
        <v>100</v>
      </c>
      <c r="T28" s="1569" t="s">
        <v>8</v>
      </c>
      <c r="U28" s="1570">
        <f>H28</f>
        <v>100</v>
      </c>
      <c r="V28" s="1569" t="s">
        <v>8</v>
      </c>
      <c r="W28" s="1570">
        <f>J28</f>
        <v>100</v>
      </c>
      <c r="X28" s="1571"/>
      <c r="Y28" s="412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4120"/>
      <c r="Q29" s="1573">
        <f t="shared" si="11"/>
        <v>111</v>
      </c>
      <c r="R29" s="1574" t="s">
        <v>8</v>
      </c>
      <c r="S29" s="1575">
        <f t="shared" ref="S29:S47" si="12">F29</f>
        <v>100</v>
      </c>
      <c r="T29" s="1574" t="s">
        <v>8</v>
      </c>
      <c r="U29" s="1575">
        <f t="shared" ref="U29:U47" si="13">H29</f>
        <v>100</v>
      </c>
      <c r="V29" s="1574" t="s">
        <v>8</v>
      </c>
      <c r="W29" s="1575">
        <f t="shared" ref="W29:W47" si="14">J29</f>
        <v>100</v>
      </c>
      <c r="X29" s="1568"/>
      <c r="Y29" s="412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4120"/>
      <c r="Q30" s="1573">
        <f t="shared" si="11"/>
        <v>111</v>
      </c>
      <c r="R30" s="1574" t="s">
        <v>8</v>
      </c>
      <c r="S30" s="1575">
        <f t="shared" si="12"/>
        <v>100</v>
      </c>
      <c r="T30" s="1574" t="s">
        <v>8</v>
      </c>
      <c r="U30" s="1575">
        <f t="shared" si="13"/>
        <v>100</v>
      </c>
      <c r="V30" s="1574" t="s">
        <v>8</v>
      </c>
      <c r="W30" s="1575">
        <f t="shared" si="14"/>
        <v>100</v>
      </c>
      <c r="X30" s="1568"/>
      <c r="Y30" s="412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4120"/>
      <c r="Q31" s="1573">
        <f t="shared" si="11"/>
        <v>111</v>
      </c>
      <c r="R31" s="1574" t="s">
        <v>8</v>
      </c>
      <c r="S31" s="1575">
        <f t="shared" si="12"/>
        <v>100</v>
      </c>
      <c r="T31" s="1574" t="s">
        <v>8</v>
      </c>
      <c r="U31" s="1575">
        <f t="shared" si="13"/>
        <v>100</v>
      </c>
      <c r="V31" s="1574" t="s">
        <v>8</v>
      </c>
      <c r="W31" s="1575">
        <f t="shared" si="14"/>
        <v>100</v>
      </c>
      <c r="X31" s="1568"/>
      <c r="Y31" s="412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4120"/>
      <c r="Q32" s="1573">
        <f t="shared" si="11"/>
        <v>111</v>
      </c>
      <c r="R32" s="1574" t="s">
        <v>8</v>
      </c>
      <c r="S32" s="1575">
        <f t="shared" si="12"/>
        <v>100</v>
      </c>
      <c r="T32" s="1574" t="s">
        <v>8</v>
      </c>
      <c r="U32" s="1575">
        <f t="shared" si="13"/>
        <v>100</v>
      </c>
      <c r="V32" s="1574" t="s">
        <v>8</v>
      </c>
      <c r="W32" s="1575">
        <f t="shared" si="14"/>
        <v>100</v>
      </c>
      <c r="X32" s="1568"/>
      <c r="Y32" s="4120"/>
      <c r="Z32" s="1576">
        <f t="shared" si="15"/>
        <v>111</v>
      </c>
      <c r="AA32" s="1577">
        <f t="shared" si="3"/>
        <v>1</v>
      </c>
      <c r="AB32" s="1577">
        <f t="shared" si="4"/>
        <v>1</v>
      </c>
      <c r="AC32" s="1577">
        <f t="shared" si="5"/>
        <v>1</v>
      </c>
    </row>
    <row r="33" spans="1:29" ht="15">
      <c r="A33" s="2935" t="s">
        <v>2763</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4121" t="s">
        <v>551</v>
      </c>
      <c r="Q33" s="1573" t="str">
        <f t="shared" si="11"/>
        <v>建筑类型</v>
      </c>
      <c r="R33" s="1574" t="s">
        <v>8</v>
      </c>
      <c r="S33" s="1575">
        <f t="shared" si="12"/>
        <v>100</v>
      </c>
      <c r="T33" s="1574" t="s">
        <v>8</v>
      </c>
      <c r="U33" s="1575">
        <f t="shared" si="13"/>
        <v>100</v>
      </c>
      <c r="V33" s="1574" t="s">
        <v>8</v>
      </c>
      <c r="W33" s="1575">
        <f t="shared" si="14"/>
        <v>100</v>
      </c>
      <c r="X33" s="1568"/>
      <c r="Y33" s="4122"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4122"/>
      <c r="Q34" s="1606" t="str">
        <f t="shared" si="11"/>
        <v>项目建筑规模</v>
      </c>
      <c r="R34" s="1578" t="s">
        <v>8</v>
      </c>
      <c r="S34" s="1579" t="e">
        <f t="shared" si="12"/>
        <v>#N/A</v>
      </c>
      <c r="T34" s="1578" t="s">
        <v>8</v>
      </c>
      <c r="U34" s="1579" t="e">
        <f t="shared" si="13"/>
        <v>#N/A</v>
      </c>
      <c r="V34" s="1578" t="s">
        <v>8</v>
      </c>
      <c r="W34" s="1579" t="e">
        <f t="shared" si="14"/>
        <v>#N/A</v>
      </c>
      <c r="X34" s="1580"/>
      <c r="Y34" s="4122"/>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4122"/>
      <c r="Q35" s="1573" t="str">
        <f t="shared" si="11"/>
        <v>建筑结构</v>
      </c>
      <c r="R35" s="1574" t="s">
        <v>8</v>
      </c>
      <c r="S35" s="1575">
        <f t="shared" si="12"/>
        <v>100</v>
      </c>
      <c r="T35" s="1574" t="s">
        <v>8</v>
      </c>
      <c r="U35" s="1575">
        <f t="shared" si="13"/>
        <v>100</v>
      </c>
      <c r="V35" s="1574" t="s">
        <v>8</v>
      </c>
      <c r="W35" s="1575">
        <f t="shared" si="14"/>
        <v>100</v>
      </c>
      <c r="X35" s="1568"/>
      <c r="Y35" s="4122"/>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4122"/>
      <c r="Q36" s="1573" t="str">
        <f t="shared" si="11"/>
        <v>公共部分装修</v>
      </c>
      <c r="R36" s="1574" t="s">
        <v>8</v>
      </c>
      <c r="S36" s="1575">
        <f t="shared" si="12"/>
        <v>100</v>
      </c>
      <c r="T36" s="1574" t="s">
        <v>8</v>
      </c>
      <c r="U36" s="1575">
        <f t="shared" si="13"/>
        <v>100</v>
      </c>
      <c r="V36" s="1574" t="s">
        <v>8</v>
      </c>
      <c r="W36" s="1575">
        <f t="shared" si="14"/>
        <v>100</v>
      </c>
      <c r="X36" s="1568"/>
      <c r="Y36" s="4122"/>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4122"/>
      <c r="Q37" s="1573" t="str">
        <f t="shared" si="11"/>
        <v>成新度</v>
      </c>
      <c r="R37" s="1574" t="s">
        <v>8</v>
      </c>
      <c r="S37" s="1575" t="e">
        <f t="shared" si="12"/>
        <v>#N/A</v>
      </c>
      <c r="T37" s="1574" t="s">
        <v>8</v>
      </c>
      <c r="U37" s="1575" t="e">
        <f t="shared" si="13"/>
        <v>#N/A</v>
      </c>
      <c r="V37" s="1574" t="s">
        <v>8</v>
      </c>
      <c r="W37" s="1575" t="e">
        <f t="shared" si="14"/>
        <v>#N/A</v>
      </c>
      <c r="X37" s="1568"/>
      <c r="Y37" s="4122"/>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4122"/>
      <c r="Q38" s="1151" t="str">
        <f t="shared" si="11"/>
        <v>写字楼等级</v>
      </c>
      <c r="R38" s="1569" t="s">
        <v>8</v>
      </c>
      <c r="S38" s="1570">
        <f t="shared" si="12"/>
        <v>100</v>
      </c>
      <c r="T38" s="1569" t="s">
        <v>8</v>
      </c>
      <c r="U38" s="1570">
        <f t="shared" si="13"/>
        <v>100</v>
      </c>
      <c r="V38" s="1569" t="s">
        <v>8</v>
      </c>
      <c r="W38" s="1570">
        <f t="shared" si="14"/>
        <v>100</v>
      </c>
      <c r="X38" s="1571"/>
      <c r="Y38" s="4122"/>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4122" t="s">
        <v>551</v>
      </c>
      <c r="Q39" s="1573" t="str">
        <f t="shared" si="11"/>
        <v>物业管理</v>
      </c>
      <c r="R39" s="1574" t="s">
        <v>8</v>
      </c>
      <c r="S39" s="1575">
        <f t="shared" si="12"/>
        <v>100</v>
      </c>
      <c r="T39" s="1574" t="s">
        <v>8</v>
      </c>
      <c r="U39" s="1575">
        <f t="shared" si="13"/>
        <v>100</v>
      </c>
      <c r="V39" s="1574" t="s">
        <v>8</v>
      </c>
      <c r="W39" s="1575">
        <f t="shared" si="14"/>
        <v>100</v>
      </c>
      <c r="X39" s="1568"/>
      <c r="Y39" s="4122" t="s">
        <v>551</v>
      </c>
      <c r="Z39" s="1576" t="str">
        <f t="shared" si="15"/>
        <v>物业管理</v>
      </c>
      <c r="AA39" s="1577">
        <f t="shared" si="3"/>
        <v>1</v>
      </c>
      <c r="AB39" s="1577">
        <f t="shared" si="4"/>
        <v>1</v>
      </c>
      <c r="AC39" s="1577">
        <f t="shared" si="5"/>
        <v>1</v>
      </c>
    </row>
    <row r="40" spans="1:29" ht="15">
      <c r="A40" s="594"/>
      <c r="B40" s="1897" t="s">
        <v>2571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4122"/>
      <c r="Q40" s="1573" t="str">
        <f t="shared" si="11"/>
        <v>市政基础设施</v>
      </c>
      <c r="R40" s="1574" t="s">
        <v>8</v>
      </c>
      <c r="S40" s="1575">
        <f t="shared" si="12"/>
        <v>100</v>
      </c>
      <c r="T40" s="1574" t="s">
        <v>8</v>
      </c>
      <c r="U40" s="1575">
        <f t="shared" si="13"/>
        <v>100</v>
      </c>
      <c r="V40" s="1574" t="s">
        <v>8</v>
      </c>
      <c r="W40" s="1575">
        <f t="shared" si="14"/>
        <v>100</v>
      </c>
      <c r="X40" s="1568"/>
      <c r="Y40" s="4122"/>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4122"/>
      <c r="Q41" s="1573" t="str">
        <f t="shared" si="11"/>
        <v>层高</v>
      </c>
      <c r="R41" s="1574" t="s">
        <v>8</v>
      </c>
      <c r="S41" s="1575">
        <f t="shared" si="12"/>
        <v>100</v>
      </c>
      <c r="T41" s="1574" t="s">
        <v>8</v>
      </c>
      <c r="U41" s="1575">
        <f t="shared" si="13"/>
        <v>100</v>
      </c>
      <c r="V41" s="1574" t="s">
        <v>8</v>
      </c>
      <c r="W41" s="1575">
        <f t="shared" si="14"/>
        <v>100</v>
      </c>
      <c r="X41" s="1568"/>
      <c r="Y41" s="4122"/>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4122"/>
      <c r="Q42" s="1606" t="str">
        <f t="shared" si="11"/>
        <v>单套建筑面积</v>
      </c>
      <c r="R42" s="1578" t="s">
        <v>8</v>
      </c>
      <c r="S42" s="1579">
        <f t="shared" si="12"/>
        <v>100</v>
      </c>
      <c r="T42" s="1578" t="s">
        <v>8</v>
      </c>
      <c r="U42" s="1579">
        <f t="shared" si="13"/>
        <v>100</v>
      </c>
      <c r="V42" s="1578" t="s">
        <v>8</v>
      </c>
      <c r="W42" s="1579">
        <f t="shared" si="14"/>
        <v>100</v>
      </c>
      <c r="X42" s="1580"/>
      <c r="Y42" s="4122"/>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4122"/>
      <c r="Q43" s="1573" t="str">
        <f t="shared" si="11"/>
        <v>内部装修</v>
      </c>
      <c r="R43" s="1574" t="s">
        <v>8</v>
      </c>
      <c r="S43" s="1575">
        <f t="shared" si="12"/>
        <v>100</v>
      </c>
      <c r="T43" s="1574" t="s">
        <v>8</v>
      </c>
      <c r="U43" s="1575">
        <f t="shared" si="13"/>
        <v>100</v>
      </c>
      <c r="V43" s="1574" t="s">
        <v>8</v>
      </c>
      <c r="W43" s="1575">
        <f t="shared" si="14"/>
        <v>100</v>
      </c>
      <c r="X43" s="1568"/>
      <c r="Y43" s="4122"/>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4122"/>
      <c r="Q44" s="1573" t="str">
        <f t="shared" si="11"/>
        <v>内部装修维护情况</v>
      </c>
      <c r="R44" s="1574" t="s">
        <v>8</v>
      </c>
      <c r="S44" s="1575">
        <f t="shared" si="12"/>
        <v>100</v>
      </c>
      <c r="T44" s="1574" t="s">
        <v>8</v>
      </c>
      <c r="U44" s="1575">
        <f t="shared" si="13"/>
        <v>100</v>
      </c>
      <c r="V44" s="1574" t="s">
        <v>8</v>
      </c>
      <c r="W44" s="1575">
        <f t="shared" si="14"/>
        <v>100</v>
      </c>
      <c r="X44" s="1568"/>
      <c r="Y44" s="412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4122"/>
      <c r="Q45" s="1151">
        <f t="shared" si="11"/>
        <v>111</v>
      </c>
      <c r="R45" s="1569" t="s">
        <v>8</v>
      </c>
      <c r="S45" s="1570">
        <f t="shared" si="12"/>
        <v>100</v>
      </c>
      <c r="T45" s="1569" t="s">
        <v>8</v>
      </c>
      <c r="U45" s="1570">
        <f t="shared" si="13"/>
        <v>100</v>
      </c>
      <c r="V45" s="1569" t="s">
        <v>8</v>
      </c>
      <c r="W45" s="1570">
        <f t="shared" si="14"/>
        <v>100</v>
      </c>
      <c r="X45" s="1571"/>
      <c r="Y45" s="412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4122"/>
      <c r="Q46" s="1573">
        <f t="shared" si="11"/>
        <v>111</v>
      </c>
      <c r="R46" s="1574" t="s">
        <v>8</v>
      </c>
      <c r="S46" s="1575">
        <f t="shared" si="12"/>
        <v>100</v>
      </c>
      <c r="T46" s="1574" t="s">
        <v>8</v>
      </c>
      <c r="U46" s="1575">
        <f t="shared" si="13"/>
        <v>100</v>
      </c>
      <c r="V46" s="1574" t="s">
        <v>8</v>
      </c>
      <c r="W46" s="1575">
        <f t="shared" si="14"/>
        <v>100</v>
      </c>
      <c r="X46" s="1568"/>
      <c r="Y46" s="412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4300"/>
      <c r="Q47" s="1573">
        <f t="shared" si="11"/>
        <v>111</v>
      </c>
      <c r="R47" s="1574" t="s">
        <v>8</v>
      </c>
      <c r="S47" s="1575">
        <f t="shared" si="12"/>
        <v>100</v>
      </c>
      <c r="T47" s="1574" t="s">
        <v>8</v>
      </c>
      <c r="U47" s="1575">
        <f t="shared" si="13"/>
        <v>100</v>
      </c>
      <c r="V47" s="1574" t="s">
        <v>8</v>
      </c>
      <c r="W47" s="1575">
        <f t="shared" si="14"/>
        <v>100</v>
      </c>
      <c r="X47" s="1568"/>
      <c r="Y47" s="4300"/>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4140" t="str">
        <f>A48</f>
        <v>成交单价（元/平方米）</v>
      </c>
      <c r="Q48" s="4117"/>
      <c r="R48" s="4299">
        <f>E48</f>
        <v>0</v>
      </c>
      <c r="S48" s="4299"/>
      <c r="T48" s="4299">
        <f>G48</f>
        <v>0</v>
      </c>
      <c r="U48" s="4299"/>
      <c r="V48" s="4299">
        <f>I48</f>
        <v>0</v>
      </c>
      <c r="W48" s="4299"/>
      <c r="X48" s="1560"/>
      <c r="Y48" s="1582"/>
      <c r="Z48" s="1560"/>
      <c r="AA48" s="1560"/>
      <c r="AB48" s="1560"/>
      <c r="AC48" s="1560"/>
    </row>
    <row r="49" spans="1:29" ht="15.75" thickBot="1">
      <c r="A49" s="615" t="s">
        <v>2768</v>
      </c>
      <c r="B49" s="888"/>
      <c r="C49" s="2659" t="e">
        <f>R50</f>
        <v>#DIV/0!</v>
      </c>
      <c r="D49" s="2660"/>
      <c r="E49" s="2661" t="e">
        <f>R49</f>
        <v>#DIV/0!</v>
      </c>
      <c r="F49" s="2661"/>
      <c r="G49" s="2659" t="e">
        <f>T49</f>
        <v>#DIV/0!</v>
      </c>
      <c r="H49" s="2660"/>
      <c r="I49" s="2661" t="e">
        <f>V49</f>
        <v>#DIV/0!</v>
      </c>
      <c r="J49" s="2660"/>
      <c r="K49" s="1613"/>
      <c r="L49" s="2146"/>
      <c r="M49" s="2136"/>
      <c r="N49" s="2136"/>
      <c r="O49" s="2136"/>
      <c r="P49" s="4140" t="str">
        <f>A49</f>
        <v>比较价格（元/平方米）</v>
      </c>
      <c r="Q49" s="4117"/>
      <c r="R49" s="4299" t="e">
        <f>IF(F1="售价",ROUND(PRODUCT(R48,AA7:AA47),0),ROUND(PRODUCT(R48,AA7:AA47),1))</f>
        <v>#DIV/0!</v>
      </c>
      <c r="S49" s="4299"/>
      <c r="T49" s="4299" t="e">
        <f>IF(F1="售价",ROUND(PRODUCT(T48,AB7:AB47),0),ROUND(PRODUCT(T48,AB7:AB47),1))</f>
        <v>#DIV/0!</v>
      </c>
      <c r="U49" s="4299"/>
      <c r="V49" s="4299" t="e">
        <f>IF(F1="售价",ROUND(PRODUCT(V48,AC7:AC47),0),ROUND(PRODUCT(V48,AC7:AC47),1))</f>
        <v>#DIV/0!</v>
      </c>
      <c r="W49" s="4299"/>
      <c r="X49" s="1560"/>
      <c r="Y49" s="1560"/>
      <c r="Z49" s="1560"/>
      <c r="AA49" s="1560"/>
      <c r="AB49" s="1560"/>
      <c r="AC49" s="1560"/>
    </row>
    <row r="50" spans="1:29" ht="15.75" thickBot="1">
      <c r="A50" s="621" t="s">
        <v>2940</v>
      </c>
      <c r="B50" s="622"/>
      <c r="C50" s="2662" t="e">
        <f>R50</f>
        <v>#DIV/0!</v>
      </c>
      <c r="D50" s="2662"/>
      <c r="E50" s="2662"/>
      <c r="F50" s="2662"/>
      <c r="G50" s="2662"/>
      <c r="H50" s="2662"/>
      <c r="I50" s="2662"/>
      <c r="J50" s="2662"/>
      <c r="K50" s="1614"/>
      <c r="L50" s="2146"/>
      <c r="M50" s="2136"/>
      <c r="N50" s="2136"/>
      <c r="O50" s="2136"/>
      <c r="P50" s="4304" t="str">
        <f>A50</f>
        <v>估价对象XX用房的比较价格（楼面单价，元/平方米）</v>
      </c>
      <c r="Q50" s="4140"/>
      <c r="R50" s="4298" t="e">
        <f>IF(F1="售价",ROUND(AVERAGE(R49:V49),0),ROUND(AVERAGE(R49:V49),1))</f>
        <v>#DIV/0!</v>
      </c>
      <c r="S50" s="4298"/>
      <c r="T50" s="4298"/>
      <c r="U50" s="4298"/>
      <c r="V50" s="4298"/>
      <c r="W50" s="429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2017-7</v>
      </c>
      <c r="D59" s="2832">
        <f>EDATE(C59,-1)</f>
        <v>42887</v>
      </c>
      <c r="E59" s="2832">
        <f t="shared" ref="E59:O59" si="16">EDATE(D59,-1)</f>
        <v>42856</v>
      </c>
      <c r="F59" s="2832">
        <f t="shared" si="16"/>
        <v>42826</v>
      </c>
      <c r="G59" s="2832">
        <f t="shared" si="16"/>
        <v>42795</v>
      </c>
      <c r="H59" s="2832">
        <f t="shared" si="16"/>
        <v>42767</v>
      </c>
      <c r="I59" s="2832">
        <f t="shared" si="16"/>
        <v>42736</v>
      </c>
      <c r="J59" s="2832">
        <f t="shared" si="16"/>
        <v>42705</v>
      </c>
      <c r="K59" s="2832">
        <f t="shared" si="16"/>
        <v>42675</v>
      </c>
      <c r="L59" s="2832">
        <f t="shared" si="16"/>
        <v>42644</v>
      </c>
      <c r="M59" s="2832">
        <f t="shared" si="16"/>
        <v>42614</v>
      </c>
      <c r="N59" s="2832">
        <f t="shared" si="16"/>
        <v>42583</v>
      </c>
      <c r="O59" s="2832">
        <f t="shared" si="16"/>
        <v>42552</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2563</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2564</v>
      </c>
      <c r="C83" s="2624" t="s">
        <v>2565</v>
      </c>
      <c r="D83" s="2624" t="s">
        <v>2566</v>
      </c>
      <c r="E83" s="2624" t="s">
        <v>2567</v>
      </c>
      <c r="F83" s="2624" t="s">
        <v>2568</v>
      </c>
      <c r="G83" s="2624" t="s">
        <v>2569</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4123" t="s">
        <v>523</v>
      </c>
      <c r="D4" s="4124"/>
      <c r="E4" s="4225" t="s">
        <v>524</v>
      </c>
      <c r="F4" s="4226"/>
      <c r="G4" s="4123" t="s">
        <v>525</v>
      </c>
      <c r="H4" s="4124"/>
      <c r="I4" s="4123" t="s">
        <v>526</v>
      </c>
      <c r="J4" s="4124"/>
      <c r="K4" s="514" t="s">
        <v>527</v>
      </c>
      <c r="L4" s="2135"/>
      <c r="M4" s="2136"/>
      <c r="N4" s="2136"/>
      <c r="O4" s="2136"/>
      <c r="P4" s="4125" t="s">
        <v>528</v>
      </c>
      <c r="Q4" s="4126"/>
      <c r="R4" s="4111" t="s">
        <v>524</v>
      </c>
      <c r="S4" s="4112"/>
      <c r="T4" s="4111" t="s">
        <v>525</v>
      </c>
      <c r="U4" s="4112"/>
      <c r="V4" s="4131" t="s">
        <v>526</v>
      </c>
      <c r="W4" s="4131"/>
      <c r="X4" s="1568"/>
      <c r="Y4" s="4111" t="s">
        <v>528</v>
      </c>
      <c r="Z4" s="4112"/>
      <c r="AA4" s="4106" t="s">
        <v>524</v>
      </c>
      <c r="AB4" s="4107" t="s">
        <v>525</v>
      </c>
      <c r="AC4" s="4106" t="s">
        <v>526</v>
      </c>
    </row>
    <row r="5" spans="1:29" ht="15">
      <c r="A5" s="515"/>
      <c r="B5" s="516"/>
      <c r="C5" s="4229" t="s">
        <v>2934</v>
      </c>
      <c r="D5" s="4230"/>
      <c r="E5" s="4227" t="s">
        <v>2935</v>
      </c>
      <c r="F5" s="4228"/>
      <c r="G5" s="4229" t="s">
        <v>2936</v>
      </c>
      <c r="H5" s="4230"/>
      <c r="I5" s="4229" t="s">
        <v>2937</v>
      </c>
      <c r="J5" s="4230"/>
      <c r="K5" s="514"/>
      <c r="L5" s="2135"/>
      <c r="M5" s="2136"/>
      <c r="N5" s="2136"/>
      <c r="O5" s="2136"/>
      <c r="P5" s="4127"/>
      <c r="Q5" s="4128"/>
      <c r="R5" s="4113"/>
      <c r="S5" s="4114"/>
      <c r="T5" s="4113"/>
      <c r="U5" s="4114"/>
      <c r="V5" s="4131"/>
      <c r="W5" s="4131"/>
      <c r="X5" s="1568"/>
      <c r="Y5" s="4113"/>
      <c r="Z5" s="4114"/>
      <c r="AA5" s="4107"/>
      <c r="AB5" s="4107"/>
      <c r="AC5" s="4107"/>
    </row>
    <row r="6" spans="1:29" ht="15.75" thickBot="1">
      <c r="A6" s="517"/>
      <c r="B6" s="518"/>
      <c r="C6" s="4231" t="s">
        <v>2938</v>
      </c>
      <c r="D6" s="4232"/>
      <c r="E6" s="4233" t="s">
        <v>2938</v>
      </c>
      <c r="F6" s="4234"/>
      <c r="G6" s="4231" t="s">
        <v>2938</v>
      </c>
      <c r="H6" s="4232"/>
      <c r="I6" s="4231" t="s">
        <v>2938</v>
      </c>
      <c r="J6" s="4232"/>
      <c r="K6" s="514" t="s">
        <v>529</v>
      </c>
      <c r="L6" s="2135"/>
      <c r="M6" s="2136"/>
      <c r="N6" s="2136"/>
      <c r="O6" s="2136"/>
      <c r="P6" s="4129"/>
      <c r="Q6" s="4130"/>
      <c r="R6" s="4113"/>
      <c r="S6" s="4114"/>
      <c r="T6" s="4115"/>
      <c r="U6" s="4116"/>
      <c r="V6" s="4131"/>
      <c r="W6" s="4131"/>
      <c r="X6" s="1568"/>
      <c r="Y6" s="4115"/>
      <c r="Z6" s="4116"/>
      <c r="AA6" s="4108"/>
      <c r="AB6" s="4108"/>
      <c r="AC6" s="4108"/>
    </row>
    <row r="7" spans="1:29" s="1220" customFormat="1" ht="15.75" thickBot="1">
      <c r="A7" s="2939"/>
      <c r="B7" s="2946" t="s">
        <v>530</v>
      </c>
      <c r="C7" s="519">
        <f>'数据-取费表'!B2</f>
        <v>42940</v>
      </c>
      <c r="D7" s="520">
        <v>100</v>
      </c>
      <c r="E7" s="521"/>
      <c r="F7" s="522">
        <f>SUMIF(52:52,YEAR(E7)&amp;"-"&amp;MONTH(E7),53:53)</f>
        <v>0</v>
      </c>
      <c r="G7" s="521"/>
      <c r="H7" s="520">
        <f>SUMIF(52:52,YEAR(G7)&amp;"-"&amp;MONTH(G7),53:53)</f>
        <v>0</v>
      </c>
      <c r="I7" s="521"/>
      <c r="J7" s="520">
        <f>SUMIF(52:52,YEAR(I7)&amp;"-"&amp;MONTH(I7),53:53)</f>
        <v>0</v>
      </c>
      <c r="K7" s="524"/>
      <c r="L7" s="2137"/>
      <c r="M7" s="2138"/>
      <c r="N7" s="2138"/>
      <c r="O7" s="2138"/>
      <c r="P7" s="4109" t="s">
        <v>531</v>
      </c>
      <c r="Q7" s="4118"/>
      <c r="R7" s="1569" t="s">
        <v>8</v>
      </c>
      <c r="S7" s="1570">
        <f t="shared" ref="S7:S15" si="0">F7</f>
        <v>0</v>
      </c>
      <c r="T7" s="1569" t="s">
        <v>8</v>
      </c>
      <c r="U7" s="1570">
        <f t="shared" ref="U7:U15" si="1">H7</f>
        <v>0</v>
      </c>
      <c r="V7" s="1569" t="s">
        <v>8</v>
      </c>
      <c r="W7" s="1570">
        <f t="shared" ref="W7:W15" si="2">J7</f>
        <v>0</v>
      </c>
      <c r="X7" s="1571"/>
      <c r="Y7" s="4109" t="s">
        <v>531</v>
      </c>
      <c r="Z7" s="4110"/>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4109" t="s">
        <v>534</v>
      </c>
      <c r="Q8" s="4110"/>
      <c r="R8" s="1569" t="s">
        <v>8</v>
      </c>
      <c r="S8" s="1570">
        <f t="shared" si="0"/>
        <v>0</v>
      </c>
      <c r="T8" s="1569" t="s">
        <v>8</v>
      </c>
      <c r="U8" s="1570">
        <f t="shared" si="1"/>
        <v>0</v>
      </c>
      <c r="V8" s="1569" t="s">
        <v>8</v>
      </c>
      <c r="W8" s="1570">
        <f t="shared" si="2"/>
        <v>0</v>
      </c>
      <c r="X8" s="1571"/>
      <c r="Y8" s="4109" t="s">
        <v>534</v>
      </c>
      <c r="Z8" s="4110"/>
      <c r="AA8" s="1572" t="e">
        <f t="shared" ref="AA8:AA40" si="3">D8/F8</f>
        <v>#DIV/0!</v>
      </c>
      <c r="AB8" s="1572" t="e">
        <f t="shared" ref="AB8:AB40" si="4">D8/H8</f>
        <v>#DIV/0!</v>
      </c>
      <c r="AC8" s="1572" t="e">
        <f t="shared" ref="AC8:AC40" si="5">D8/J8</f>
        <v>#DIV/0!</v>
      </c>
    </row>
    <row r="9" spans="1:29" s="1220" customFormat="1" ht="15">
      <c r="A9" s="2941"/>
      <c r="B9" s="2948" t="s">
        <v>2764</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4117" t="s">
        <v>536</v>
      </c>
      <c r="Q9" s="1151" t="str">
        <f t="shared" ref="Q9:Q15" si="6">B9</f>
        <v>用途</v>
      </c>
      <c r="R9" s="1569" t="s">
        <v>8</v>
      </c>
      <c r="S9" s="1570">
        <f t="shared" si="0"/>
        <v>100</v>
      </c>
      <c r="T9" s="1569" t="s">
        <v>8</v>
      </c>
      <c r="U9" s="1570">
        <f t="shared" si="1"/>
        <v>100</v>
      </c>
      <c r="V9" s="1569" t="s">
        <v>8</v>
      </c>
      <c r="W9" s="1570">
        <f t="shared" si="2"/>
        <v>100</v>
      </c>
      <c r="X9" s="1571"/>
      <c r="Y9" s="4074" t="s">
        <v>537</v>
      </c>
      <c r="Z9" s="1150" t="str">
        <f t="shared" ref="Z9:Z15" si="7">Q9</f>
        <v>用途</v>
      </c>
      <c r="AA9" s="1572">
        <f t="shared" si="3"/>
        <v>1</v>
      </c>
      <c r="AB9" s="1572">
        <f t="shared" si="4"/>
        <v>1</v>
      </c>
      <c r="AC9" s="1572">
        <f t="shared" si="5"/>
        <v>1</v>
      </c>
    </row>
    <row r="10" spans="1:29" s="1338" customFormat="1" ht="27">
      <c r="A10" s="2942"/>
      <c r="B10" s="2947" t="s">
        <v>2765</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4117"/>
      <c r="Q10" s="1151" t="str">
        <f t="shared" si="6"/>
        <v>土地使用年限（年）</v>
      </c>
      <c r="R10" s="1569" t="s">
        <v>8</v>
      </c>
      <c r="S10" s="1570">
        <f t="shared" si="0"/>
        <v>100</v>
      </c>
      <c r="T10" s="1569" t="s">
        <v>8</v>
      </c>
      <c r="U10" s="1570">
        <f t="shared" si="1"/>
        <v>100</v>
      </c>
      <c r="V10" s="1569" t="s">
        <v>8</v>
      </c>
      <c r="W10" s="1570">
        <f t="shared" si="2"/>
        <v>100</v>
      </c>
      <c r="X10" s="1571"/>
      <c r="Y10" s="4074"/>
      <c r="Z10" s="1150" t="str">
        <f t="shared" si="7"/>
        <v>土地使用年限（年）</v>
      </c>
      <c r="AA10" s="1572">
        <f t="shared" si="3"/>
        <v>1</v>
      </c>
      <c r="AB10" s="1572">
        <f t="shared" si="4"/>
        <v>1</v>
      </c>
      <c r="AC10" s="1572">
        <f t="shared" si="5"/>
        <v>1</v>
      </c>
    </row>
    <row r="11" spans="1:29" ht="15">
      <c r="A11" s="2943"/>
      <c r="B11" s="2947" t="s">
        <v>2766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4117"/>
      <c r="Q11" s="1151" t="str">
        <f t="shared" si="6"/>
        <v>容积率</v>
      </c>
      <c r="R11" s="1569" t="s">
        <v>8</v>
      </c>
      <c r="S11" s="1570" t="e">
        <f t="shared" si="0"/>
        <v>#N/A</v>
      </c>
      <c r="T11" s="1569" t="s">
        <v>8</v>
      </c>
      <c r="U11" s="1570" t="e">
        <f t="shared" si="1"/>
        <v>#N/A</v>
      </c>
      <c r="V11" s="1569" t="s">
        <v>8</v>
      </c>
      <c r="W11" s="1570" t="e">
        <f t="shared" si="2"/>
        <v>#N/A</v>
      </c>
      <c r="X11" s="1571"/>
      <c r="Y11" s="4074"/>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4117"/>
      <c r="Q12" s="1151">
        <f t="shared" si="6"/>
        <v>111</v>
      </c>
      <c r="R12" s="1569" t="s">
        <v>8</v>
      </c>
      <c r="S12" s="1570">
        <f t="shared" si="0"/>
        <v>100</v>
      </c>
      <c r="T12" s="1569" t="s">
        <v>8</v>
      </c>
      <c r="U12" s="1570">
        <f t="shared" si="1"/>
        <v>100</v>
      </c>
      <c r="V12" s="1569" t="s">
        <v>8</v>
      </c>
      <c r="W12" s="1570">
        <f t="shared" si="2"/>
        <v>100</v>
      </c>
      <c r="X12" s="1571"/>
      <c r="Y12" s="4074"/>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4117"/>
      <c r="Q13" s="1151">
        <f t="shared" si="6"/>
        <v>111</v>
      </c>
      <c r="R13" s="1569" t="s">
        <v>8</v>
      </c>
      <c r="S13" s="1570">
        <f t="shared" si="0"/>
        <v>100</v>
      </c>
      <c r="T13" s="1569" t="s">
        <v>8</v>
      </c>
      <c r="U13" s="1570">
        <f t="shared" si="1"/>
        <v>100</v>
      </c>
      <c r="V13" s="1569" t="s">
        <v>8</v>
      </c>
      <c r="W13" s="1570">
        <f t="shared" si="2"/>
        <v>100</v>
      </c>
      <c r="X13" s="1571"/>
      <c r="Y13" s="4074"/>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4117"/>
      <c r="Q14" s="1151">
        <f t="shared" si="6"/>
        <v>111</v>
      </c>
      <c r="R14" s="1569" t="s">
        <v>8</v>
      </c>
      <c r="S14" s="1570">
        <f t="shared" si="0"/>
        <v>100</v>
      </c>
      <c r="T14" s="1569" t="s">
        <v>8</v>
      </c>
      <c r="U14" s="1570">
        <f t="shared" si="1"/>
        <v>100</v>
      </c>
      <c r="V14" s="1569" t="s">
        <v>8</v>
      </c>
      <c r="W14" s="1570">
        <f t="shared" si="2"/>
        <v>100</v>
      </c>
      <c r="X14" s="1571"/>
      <c r="Y14" s="4074"/>
      <c r="Z14" s="1150">
        <f t="shared" si="7"/>
        <v>111</v>
      </c>
      <c r="AA14" s="1572">
        <f t="shared" si="3"/>
        <v>1</v>
      </c>
      <c r="AB14" s="1572">
        <f t="shared" si="4"/>
        <v>1</v>
      </c>
      <c r="AC14" s="1572">
        <f t="shared" si="5"/>
        <v>1</v>
      </c>
    </row>
    <row r="15" spans="1:29" ht="57">
      <c r="A15" s="2937" t="s">
        <v>2762</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4119" t="s">
        <v>541</v>
      </c>
      <c r="Q15" s="1573" t="str">
        <f t="shared" si="6"/>
        <v>产业集聚程度</v>
      </c>
      <c r="R15" s="1574" t="s">
        <v>8</v>
      </c>
      <c r="S15" s="1575">
        <f t="shared" si="0"/>
        <v>100</v>
      </c>
      <c r="T15" s="1574" t="s">
        <v>8</v>
      </c>
      <c r="U15" s="1575">
        <f t="shared" si="1"/>
        <v>100</v>
      </c>
      <c r="V15" s="1574" t="s">
        <v>8</v>
      </c>
      <c r="W15" s="1575">
        <f t="shared" si="2"/>
        <v>100</v>
      </c>
      <c r="X15" s="1568"/>
      <c r="Y15" s="4119"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4120"/>
      <c r="Q16" s="1573"/>
      <c r="R16" s="1574"/>
      <c r="S16" s="1575"/>
      <c r="T16" s="1574"/>
      <c r="U16" s="1575"/>
      <c r="V16" s="1574"/>
      <c r="W16" s="1575"/>
      <c r="X16" s="1568"/>
      <c r="Y16" s="412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4120"/>
      <c r="Q17" s="1573" t="str">
        <f>B17</f>
        <v>交通便捷度</v>
      </c>
      <c r="R17" s="1574" t="s">
        <v>8</v>
      </c>
      <c r="S17" s="1575">
        <f>F17</f>
        <v>100</v>
      </c>
      <c r="T17" s="1574" t="s">
        <v>8</v>
      </c>
      <c r="U17" s="1575">
        <f>H17</f>
        <v>100</v>
      </c>
      <c r="V17" s="1574" t="s">
        <v>8</v>
      </c>
      <c r="W17" s="1575">
        <f>J17</f>
        <v>100</v>
      </c>
      <c r="X17" s="1568"/>
      <c r="Y17" s="412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4120"/>
      <c r="Q18" s="1573"/>
      <c r="R18" s="1574"/>
      <c r="S18" s="1575"/>
      <c r="T18" s="1574"/>
      <c r="U18" s="1575"/>
      <c r="V18" s="1574"/>
      <c r="W18" s="1575"/>
      <c r="X18" s="1568"/>
      <c r="Y18" s="4120"/>
      <c r="Z18" s="1576"/>
      <c r="AA18" s="1577">
        <v>1</v>
      </c>
      <c r="AB18" s="1577">
        <v>1</v>
      </c>
      <c r="AC18" s="1577">
        <v>1</v>
      </c>
    </row>
    <row r="19" spans="1:29" ht="42.75">
      <c r="A19" s="532"/>
      <c r="B19" s="2629" t="s">
        <v>2552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4120"/>
      <c r="Q19" s="1573" t="str">
        <f>B19</f>
        <v>公共配套设施</v>
      </c>
      <c r="R19" s="1574" t="s">
        <v>8</v>
      </c>
      <c r="S19" s="1575">
        <f>F19</f>
        <v>100</v>
      </c>
      <c r="T19" s="1574" t="s">
        <v>8</v>
      </c>
      <c r="U19" s="1575">
        <f>H19</f>
        <v>100</v>
      </c>
      <c r="V19" s="1574" t="s">
        <v>8</v>
      </c>
      <c r="W19" s="1575">
        <f>J19</f>
        <v>100</v>
      </c>
      <c r="X19" s="1568"/>
      <c r="Y19" s="412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4120"/>
      <c r="Q20" s="1573"/>
      <c r="R20" s="1574"/>
      <c r="S20" s="1575"/>
      <c r="T20" s="1574"/>
      <c r="U20" s="1575"/>
      <c r="V20" s="1574"/>
      <c r="W20" s="1575"/>
      <c r="X20" s="1568"/>
      <c r="Y20" s="4120"/>
      <c r="Z20" s="1576"/>
      <c r="AA20" s="1577">
        <v>1</v>
      </c>
      <c r="AB20" s="1577">
        <v>1</v>
      </c>
      <c r="AC20" s="1577">
        <v>1</v>
      </c>
    </row>
    <row r="21" spans="1:29" ht="28.5">
      <c r="A21" s="532"/>
      <c r="B21" s="2617" t="s">
        <v>2564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4120"/>
      <c r="Q21" s="2605" t="str">
        <f>B21</f>
        <v>基础设施水平</v>
      </c>
      <c r="R21" s="1574" t="s">
        <v>8</v>
      </c>
      <c r="S21" s="1575">
        <f>F21</f>
        <v>100</v>
      </c>
      <c r="T21" s="1574" t="s">
        <v>8</v>
      </c>
      <c r="U21" s="1575">
        <f>H21</f>
        <v>100</v>
      </c>
      <c r="V21" s="1574" t="s">
        <v>8</v>
      </c>
      <c r="W21" s="1575">
        <f>J21</f>
        <v>100</v>
      </c>
      <c r="X21" s="2607"/>
      <c r="Y21" s="4120"/>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4120"/>
      <c r="Q22" s="2605"/>
      <c r="R22" s="1574"/>
      <c r="S22" s="1575"/>
      <c r="T22" s="1574"/>
      <c r="U22" s="1575"/>
      <c r="V22" s="1574"/>
      <c r="W22" s="1575"/>
      <c r="X22" s="2607"/>
      <c r="Y22" s="4120"/>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4120"/>
      <c r="Q23" s="1573" t="str">
        <f>B23</f>
        <v>环境质量</v>
      </c>
      <c r="R23" s="1574" t="s">
        <v>8</v>
      </c>
      <c r="S23" s="1575">
        <f>F23</f>
        <v>100</v>
      </c>
      <c r="T23" s="1574" t="s">
        <v>8</v>
      </c>
      <c r="U23" s="1575">
        <f>H23</f>
        <v>100</v>
      </c>
      <c r="V23" s="1574" t="s">
        <v>8</v>
      </c>
      <c r="W23" s="1575">
        <f>J23</f>
        <v>100</v>
      </c>
      <c r="X23" s="1568"/>
      <c r="Y23" s="412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4120"/>
      <c r="Q24" s="1573"/>
      <c r="R24" s="1574"/>
      <c r="S24" s="1575"/>
      <c r="T24" s="1574"/>
      <c r="U24" s="1575"/>
      <c r="V24" s="1574"/>
      <c r="W24" s="1575"/>
      <c r="X24" s="1568"/>
      <c r="Y24" s="412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4120"/>
      <c r="Q25" s="1573">
        <f>B25</f>
        <v>111</v>
      </c>
      <c r="R25" s="1574" t="s">
        <v>8</v>
      </c>
      <c r="S25" s="1575">
        <f>F25</f>
        <v>100</v>
      </c>
      <c r="T25" s="1574" t="s">
        <v>8</v>
      </c>
      <c r="U25" s="1575">
        <f>H25</f>
        <v>100</v>
      </c>
      <c r="V25" s="1574" t="s">
        <v>8</v>
      </c>
      <c r="W25" s="1575">
        <f>J25</f>
        <v>100</v>
      </c>
      <c r="X25" s="1568"/>
      <c r="Y25" s="412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4120"/>
      <c r="Q26" s="1573">
        <f t="shared" ref="Q26:Q40" si="11">B26</f>
        <v>111</v>
      </c>
      <c r="R26" s="1574" t="s">
        <v>8</v>
      </c>
      <c r="S26" s="1575">
        <f>F26</f>
        <v>100</v>
      </c>
      <c r="T26" s="1574" t="s">
        <v>8</v>
      </c>
      <c r="U26" s="1575">
        <f>H26</f>
        <v>100</v>
      </c>
      <c r="V26" s="1574" t="s">
        <v>8</v>
      </c>
      <c r="W26" s="1575">
        <f>J26</f>
        <v>100</v>
      </c>
      <c r="X26" s="1568"/>
      <c r="Y26" s="412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4120"/>
      <c r="Q27" s="1151">
        <f t="shared" si="11"/>
        <v>111</v>
      </c>
      <c r="R27" s="1569" t="s">
        <v>8</v>
      </c>
      <c r="S27" s="1570">
        <f>F27</f>
        <v>100</v>
      </c>
      <c r="T27" s="1569" t="s">
        <v>8</v>
      </c>
      <c r="U27" s="1570">
        <f>H27</f>
        <v>100</v>
      </c>
      <c r="V27" s="1569" t="s">
        <v>8</v>
      </c>
      <c r="W27" s="1570">
        <f>J27</f>
        <v>100</v>
      </c>
      <c r="X27" s="1571"/>
      <c r="Y27" s="412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4120"/>
      <c r="Q28" s="1573">
        <f t="shared" si="11"/>
        <v>111</v>
      </c>
      <c r="R28" s="1574" t="s">
        <v>8</v>
      </c>
      <c r="S28" s="1575">
        <f t="shared" ref="S28:S40" si="12">F28</f>
        <v>100</v>
      </c>
      <c r="T28" s="1574" t="s">
        <v>8</v>
      </c>
      <c r="U28" s="1575">
        <f t="shared" ref="U28:U40" si="13">H28</f>
        <v>100</v>
      </c>
      <c r="V28" s="1574" t="s">
        <v>8</v>
      </c>
      <c r="W28" s="1575">
        <f t="shared" ref="W28:W40" si="14">J28</f>
        <v>100</v>
      </c>
      <c r="X28" s="1568"/>
      <c r="Y28" s="4120"/>
      <c r="Z28" s="1576">
        <f t="shared" ref="Z28:Z40" si="15">Q28</f>
        <v>111</v>
      </c>
      <c r="AA28" s="1577">
        <f t="shared" si="3"/>
        <v>1</v>
      </c>
      <c r="AB28" s="1577">
        <f t="shared" si="4"/>
        <v>1</v>
      </c>
      <c r="AC28" s="1577">
        <f t="shared" si="5"/>
        <v>1</v>
      </c>
    </row>
    <row r="29" spans="1:29" ht="15">
      <c r="A29" s="2935" t="s">
        <v>2763</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4121" t="s">
        <v>551</v>
      </c>
      <c r="Q29" s="1573" t="str">
        <f t="shared" si="11"/>
        <v>建筑类型</v>
      </c>
      <c r="R29" s="1574" t="s">
        <v>8</v>
      </c>
      <c r="S29" s="1575">
        <f t="shared" si="12"/>
        <v>100</v>
      </c>
      <c r="T29" s="1574" t="s">
        <v>8</v>
      </c>
      <c r="U29" s="1575">
        <f t="shared" si="13"/>
        <v>100</v>
      </c>
      <c r="V29" s="1574" t="s">
        <v>8</v>
      </c>
      <c r="W29" s="1575">
        <f t="shared" si="14"/>
        <v>100</v>
      </c>
      <c r="X29" s="1568"/>
      <c r="Y29" s="4122"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4122"/>
      <c r="Q30" s="1606" t="str">
        <f t="shared" si="11"/>
        <v>项目建筑规模</v>
      </c>
      <c r="R30" s="1578" t="s">
        <v>8</v>
      </c>
      <c r="S30" s="1579" t="e">
        <f t="shared" si="12"/>
        <v>#N/A</v>
      </c>
      <c r="T30" s="1578" t="s">
        <v>8</v>
      </c>
      <c r="U30" s="1579" t="e">
        <f t="shared" si="13"/>
        <v>#N/A</v>
      </c>
      <c r="V30" s="1578" t="s">
        <v>8</v>
      </c>
      <c r="W30" s="1579" t="e">
        <f t="shared" si="14"/>
        <v>#N/A</v>
      </c>
      <c r="X30" s="1580"/>
      <c r="Y30" s="4122"/>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4122"/>
      <c r="Q31" s="1573" t="str">
        <f t="shared" si="11"/>
        <v>建筑结构</v>
      </c>
      <c r="R31" s="1574" t="s">
        <v>8</v>
      </c>
      <c r="S31" s="1575">
        <f t="shared" si="12"/>
        <v>100</v>
      </c>
      <c r="T31" s="1574" t="s">
        <v>8</v>
      </c>
      <c r="U31" s="1575">
        <f t="shared" si="13"/>
        <v>100</v>
      </c>
      <c r="V31" s="1574" t="s">
        <v>8</v>
      </c>
      <c r="W31" s="1575">
        <f t="shared" si="14"/>
        <v>100</v>
      </c>
      <c r="X31" s="1568"/>
      <c r="Y31" s="4122"/>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4122"/>
      <c r="Q32" s="1573" t="str">
        <f t="shared" si="11"/>
        <v>公共部分装修</v>
      </c>
      <c r="R32" s="1574" t="s">
        <v>8</v>
      </c>
      <c r="S32" s="1575">
        <f t="shared" si="12"/>
        <v>100</v>
      </c>
      <c r="T32" s="1574" t="s">
        <v>8</v>
      </c>
      <c r="U32" s="1575">
        <f t="shared" si="13"/>
        <v>100</v>
      </c>
      <c r="V32" s="1574" t="s">
        <v>8</v>
      </c>
      <c r="W32" s="1575">
        <f t="shared" si="14"/>
        <v>100</v>
      </c>
      <c r="X32" s="1568"/>
      <c r="Y32" s="4122"/>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4122"/>
      <c r="Q33" s="1573" t="str">
        <f t="shared" si="11"/>
        <v>成新度</v>
      </c>
      <c r="R33" s="1574" t="s">
        <v>8</v>
      </c>
      <c r="S33" s="1575" t="e">
        <f t="shared" si="12"/>
        <v>#N/A</v>
      </c>
      <c r="T33" s="1574" t="s">
        <v>8</v>
      </c>
      <c r="U33" s="1575" t="e">
        <f t="shared" si="13"/>
        <v>#N/A</v>
      </c>
      <c r="V33" s="1574" t="s">
        <v>8</v>
      </c>
      <c r="W33" s="1575" t="e">
        <f t="shared" si="14"/>
        <v>#N/A</v>
      </c>
      <c r="X33" s="1568"/>
      <c r="Y33" s="4122"/>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4122"/>
      <c r="Q34" s="1151" t="str">
        <f t="shared" si="11"/>
        <v>物业管理</v>
      </c>
      <c r="R34" s="1569" t="s">
        <v>8</v>
      </c>
      <c r="S34" s="1570">
        <f t="shared" si="12"/>
        <v>100</v>
      </c>
      <c r="T34" s="1569" t="s">
        <v>8</v>
      </c>
      <c r="U34" s="1570">
        <f t="shared" si="13"/>
        <v>100</v>
      </c>
      <c r="V34" s="1569" t="s">
        <v>8</v>
      </c>
      <c r="W34" s="1570">
        <f t="shared" si="14"/>
        <v>100</v>
      </c>
      <c r="X34" s="1571"/>
      <c r="Y34" s="4122"/>
      <c r="Z34" s="1150" t="str">
        <f t="shared" si="15"/>
        <v>物业管理</v>
      </c>
      <c r="AA34" s="1572">
        <f t="shared" si="3"/>
        <v>1</v>
      </c>
      <c r="AB34" s="1572">
        <f t="shared" si="4"/>
        <v>1</v>
      </c>
      <c r="AC34" s="1572">
        <f t="shared" si="5"/>
        <v>1</v>
      </c>
    </row>
    <row r="35" spans="1:29" ht="15">
      <c r="A35" s="594"/>
      <c r="B35" s="1897" t="s">
        <v>2571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4122" t="s">
        <v>551</v>
      </c>
      <c r="Q35" s="1573" t="str">
        <f t="shared" si="11"/>
        <v>市政基础设施</v>
      </c>
      <c r="R35" s="1574" t="s">
        <v>8</v>
      </c>
      <c r="S35" s="1575">
        <f t="shared" si="12"/>
        <v>100</v>
      </c>
      <c r="T35" s="1574" t="s">
        <v>8</v>
      </c>
      <c r="U35" s="1575">
        <f t="shared" si="13"/>
        <v>100</v>
      </c>
      <c r="V35" s="1574" t="s">
        <v>8</v>
      </c>
      <c r="W35" s="1575">
        <f t="shared" si="14"/>
        <v>100</v>
      </c>
      <c r="X35" s="1568"/>
      <c r="Y35" s="4122"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4122"/>
      <c r="Q36" s="1573" t="str">
        <f t="shared" si="11"/>
        <v>内部装修</v>
      </c>
      <c r="R36" s="1574" t="s">
        <v>8</v>
      </c>
      <c r="S36" s="1575">
        <f t="shared" si="12"/>
        <v>100</v>
      </c>
      <c r="T36" s="1574" t="s">
        <v>8</v>
      </c>
      <c r="U36" s="1575">
        <f t="shared" si="13"/>
        <v>100</v>
      </c>
      <c r="V36" s="1574" t="s">
        <v>8</v>
      </c>
      <c r="W36" s="1575">
        <f t="shared" si="14"/>
        <v>100</v>
      </c>
      <c r="X36" s="1568"/>
      <c r="Y36" s="4122"/>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4122"/>
      <c r="Q37" s="1573" t="str">
        <f t="shared" si="11"/>
        <v>内部装修状况</v>
      </c>
      <c r="R37" s="1574" t="s">
        <v>8</v>
      </c>
      <c r="S37" s="1575">
        <f t="shared" si="12"/>
        <v>100</v>
      </c>
      <c r="T37" s="1574" t="s">
        <v>8</v>
      </c>
      <c r="U37" s="1575">
        <f t="shared" si="13"/>
        <v>100</v>
      </c>
      <c r="V37" s="1574" t="s">
        <v>8</v>
      </c>
      <c r="W37" s="1575">
        <f t="shared" si="14"/>
        <v>100</v>
      </c>
      <c r="X37" s="1568"/>
      <c r="Y37" s="412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4122"/>
      <c r="Q38" s="1606">
        <f t="shared" si="11"/>
        <v>111</v>
      </c>
      <c r="R38" s="1578" t="s">
        <v>8</v>
      </c>
      <c r="S38" s="1579">
        <f t="shared" si="12"/>
        <v>100</v>
      </c>
      <c r="T38" s="1578" t="s">
        <v>8</v>
      </c>
      <c r="U38" s="1579">
        <f t="shared" si="13"/>
        <v>100</v>
      </c>
      <c r="V38" s="1578" t="s">
        <v>8</v>
      </c>
      <c r="W38" s="1579">
        <f t="shared" si="14"/>
        <v>100</v>
      </c>
      <c r="X38" s="1580"/>
      <c r="Y38" s="412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4122"/>
      <c r="Q39" s="1573">
        <f t="shared" si="11"/>
        <v>111</v>
      </c>
      <c r="R39" s="1574" t="s">
        <v>8</v>
      </c>
      <c r="S39" s="1575">
        <f t="shared" si="12"/>
        <v>100</v>
      </c>
      <c r="T39" s="1574" t="s">
        <v>8</v>
      </c>
      <c r="U39" s="1575">
        <f t="shared" si="13"/>
        <v>100</v>
      </c>
      <c r="V39" s="1574" t="s">
        <v>8</v>
      </c>
      <c r="W39" s="1575">
        <f t="shared" si="14"/>
        <v>100</v>
      </c>
      <c r="X39" s="1568"/>
      <c r="Y39" s="412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4300"/>
      <c r="Q40" s="1573">
        <f t="shared" si="11"/>
        <v>111</v>
      </c>
      <c r="R40" s="1574" t="s">
        <v>8</v>
      </c>
      <c r="S40" s="1575">
        <f t="shared" si="12"/>
        <v>100</v>
      </c>
      <c r="T40" s="1574" t="s">
        <v>8</v>
      </c>
      <c r="U40" s="1575">
        <f t="shared" si="13"/>
        <v>100</v>
      </c>
      <c r="V40" s="1574" t="s">
        <v>8</v>
      </c>
      <c r="W40" s="1575">
        <f t="shared" si="14"/>
        <v>100</v>
      </c>
      <c r="X40" s="1568"/>
      <c r="Y40" s="4300"/>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4117" t="str">
        <f>A41</f>
        <v>成交单价（元/平方米）</v>
      </c>
      <c r="Q41" s="4117"/>
      <c r="R41" s="4299">
        <f>E41</f>
        <v>0</v>
      </c>
      <c r="S41" s="4299"/>
      <c r="T41" s="4299">
        <f>G41</f>
        <v>0</v>
      </c>
      <c r="U41" s="4299"/>
      <c r="V41" s="4299">
        <f>I41</f>
        <v>0</v>
      </c>
      <c r="W41" s="4299"/>
      <c r="X41" s="1560"/>
      <c r="Y41" s="1582"/>
      <c r="Z41" s="1560"/>
      <c r="AA41" s="1560"/>
      <c r="AB41" s="1560"/>
      <c r="AC41" s="1560"/>
    </row>
    <row r="42" spans="1:29" ht="15.75" thickBot="1">
      <c r="A42" s="615" t="s">
        <v>2768</v>
      </c>
      <c r="B42" s="888"/>
      <c r="C42" s="2659" t="e">
        <f>R43</f>
        <v>#DIV/0!</v>
      </c>
      <c r="D42" s="2660"/>
      <c r="E42" s="2661" t="e">
        <f>R42</f>
        <v>#DIV/0!</v>
      </c>
      <c r="F42" s="2661"/>
      <c r="G42" s="2659" t="e">
        <f>T42</f>
        <v>#DIV/0!</v>
      </c>
      <c r="H42" s="2660"/>
      <c r="I42" s="2661" t="e">
        <f>V42</f>
        <v>#DIV/0!</v>
      </c>
      <c r="J42" s="2660"/>
      <c r="K42" s="1613"/>
      <c r="L42" s="2146"/>
      <c r="M42" s="2147"/>
      <c r="N42" s="2136"/>
      <c r="O42" s="2147"/>
      <c r="P42" s="4117" t="str">
        <f>A42</f>
        <v>比较价格（元/平方米）</v>
      </c>
      <c r="Q42" s="4117"/>
      <c r="R42" s="4299" t="e">
        <f>IF(F1="售价",ROUND(PRODUCT(R41,AA7:AA40),0),ROUND(PRODUCT(R41,AA7:AA40),1))</f>
        <v>#DIV/0!</v>
      </c>
      <c r="S42" s="4299"/>
      <c r="T42" s="4299" t="e">
        <f>IF(F1="售价",ROUND(PRODUCT(T41,AB7:AB40),0),ROUND(PRODUCT(T41,AB7:AB40),1))</f>
        <v>#DIV/0!</v>
      </c>
      <c r="U42" s="4299"/>
      <c r="V42" s="4299" t="e">
        <f>IF(F1="售价",ROUND(PRODUCT(V41,AC7:AC40),0),ROUND(PRODUCT(V41,AC7:AC40),1))</f>
        <v>#DIV/0!</v>
      </c>
      <c r="W42" s="4299"/>
      <c r="X42" s="1560"/>
      <c r="Y42" s="1560"/>
      <c r="Z42" s="1560"/>
      <c r="AA42" s="1560"/>
      <c r="AB42" s="1560"/>
      <c r="AC42" s="1560"/>
    </row>
    <row r="43" spans="1:29" ht="15.75" thickBot="1">
      <c r="A43" s="621" t="s">
        <v>2940</v>
      </c>
      <c r="B43" s="622"/>
      <c r="C43" s="2662" t="e">
        <f>R43</f>
        <v>#DIV/0!</v>
      </c>
      <c r="D43" s="2662"/>
      <c r="E43" s="2662"/>
      <c r="F43" s="2662"/>
      <c r="G43" s="2662"/>
      <c r="H43" s="2662"/>
      <c r="I43" s="2662"/>
      <c r="J43" s="2662"/>
      <c r="K43" s="1614"/>
      <c r="L43" s="2146"/>
      <c r="M43" s="2147"/>
      <c r="N43" s="2147"/>
      <c r="O43" s="2147"/>
      <c r="P43" s="4139" t="str">
        <f>A43</f>
        <v>估价对象XX用房的比较价格（楼面单价，元/平方米）</v>
      </c>
      <c r="Q43" s="4140"/>
      <c r="R43" s="4298" t="e">
        <f>IF(F1="售价",ROUND(AVERAGE(R42:V42),0),ROUND(AVERAGE(R42:V42),1))</f>
        <v>#DIV/0!</v>
      </c>
      <c r="S43" s="4298"/>
      <c r="T43" s="4298"/>
      <c r="U43" s="4298"/>
      <c r="V43" s="4298"/>
      <c r="W43" s="429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2017-7</v>
      </c>
      <c r="D52" s="2832">
        <f>EDATE(C52,-1)</f>
        <v>42887</v>
      </c>
      <c r="E52" s="2832">
        <f t="shared" ref="E52:O52" si="16">EDATE(D52,-1)</f>
        <v>42856</v>
      </c>
      <c r="F52" s="2832">
        <f t="shared" si="16"/>
        <v>42826</v>
      </c>
      <c r="G52" s="2832">
        <f t="shared" si="16"/>
        <v>42795</v>
      </c>
      <c r="H52" s="2832">
        <f t="shared" si="16"/>
        <v>42767</v>
      </c>
      <c r="I52" s="2832">
        <f t="shared" si="16"/>
        <v>42736</v>
      </c>
      <c r="J52" s="2832">
        <f t="shared" si="16"/>
        <v>42705</v>
      </c>
      <c r="K52" s="2832">
        <f t="shared" si="16"/>
        <v>42675</v>
      </c>
      <c r="L52" s="2832">
        <f t="shared" si="16"/>
        <v>42644</v>
      </c>
      <c r="M52" s="2832">
        <f t="shared" si="16"/>
        <v>42614</v>
      </c>
      <c r="N52" s="2832">
        <f t="shared" si="16"/>
        <v>42583</v>
      </c>
      <c r="O52" s="2832">
        <f t="shared" si="16"/>
        <v>42552</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2563</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2564</v>
      </c>
      <c r="C76" s="2624" t="s">
        <v>2565</v>
      </c>
      <c r="D76" s="2624" t="s">
        <v>2566</v>
      </c>
      <c r="E76" s="2624" t="s">
        <v>2567</v>
      </c>
      <c r="F76" s="2624" t="s">
        <v>2568</v>
      </c>
      <c r="G76" s="2624" t="s">
        <v>2569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湖南金光华暮云房地产开发有限公司：</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金光华暮云房地产开发有限公司使用的、位于出让国有建设用地使用权。根据，估价对象（分摊）出让国有建设用地使用权面积为70761平方米。根据《国有建设用地使用权出让合同》[电子监管号：4301212017B00548/4301212017B00550]，估价对象规划建筑面积为183978.6平方米。</v>
      </c>
    </row>
    <row r="7" spans="1:4" ht="93.75">
      <c r="A7" s="2901" t="s">
        <v>2756</v>
      </c>
    </row>
    <row r="8" spans="1:4" ht="18.75">
      <c r="A8" s="1796" t="s">
        <v>1908</v>
      </c>
    </row>
    <row r="9" spans="1:4" ht="75">
      <c r="A9" s="1798" t="str">
        <f>IF(项目基本情况!B8="抵押",IF(项目基本情况!B5=项目基本情况!B6,定义!C51,定义!B51),定义!D51)</f>
        <v>委托估价方在向金融机构（大业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2017年7月24日（评估专业人员勘察现场之日）</v>
      </c>
    </row>
    <row r="12" spans="1:4" ht="18.75">
      <c r="A12" s="1799" t="s">
        <v>2028</v>
      </c>
    </row>
    <row r="13" spans="1:4" ht="18.75">
      <c r="A13" s="1793" t="s">
        <v>2074</v>
      </c>
    </row>
    <row r="14" spans="1:4" ht="37.5">
      <c r="A14" s="1793" t="str">
        <f>"根据"&amp;项目基本情况!F12&amp;"，本次评估估价对象证载（地类）用途为"&amp;项目基本情况!B12&amp;"。"</f>
        <v>根据《国有土地使用证》[]，本次评估估价对象证载（地类）用途为住宅、商业。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根据委托估价方介绍及评估专业人员现场勘查，本次评估估价对象实际土地开发程度为红线外市政基础设施达“七通”（即通路、通电、通讯、、、、）、宗地红线内场地未平整，。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根据，估价对象（分摊）出让国有建设用地使用权面积为70761平方米。根据《国有建设用地使用权出让合同》[电子监管号：4301212017B00548/4301212017B00550]，估价对象规划建筑面积为183978.6平方米。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2757</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7月24日，在规划利用条件下、设定土地开发程度为红线外“七通”、宗地内场地平整，设定用途为住宅、商业，剩余土地使用年限为住宅70年、商业50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4123" t="s">
        <v>799</v>
      </c>
      <c r="D4" s="4124"/>
      <c r="E4" s="4123" t="s">
        <v>800</v>
      </c>
      <c r="F4" s="4124"/>
      <c r="G4" s="4123" t="s">
        <v>801</v>
      </c>
      <c r="H4" s="4124"/>
      <c r="I4" s="4123" t="s">
        <v>802</v>
      </c>
      <c r="J4" s="4124"/>
      <c r="K4" s="514" t="s">
        <v>803</v>
      </c>
      <c r="L4" s="2135"/>
      <c r="M4" s="2136"/>
      <c r="N4" s="2136"/>
      <c r="O4" s="2136"/>
      <c r="P4" s="4125" t="s">
        <v>804</v>
      </c>
      <c r="Q4" s="4126"/>
      <c r="R4" s="4111" t="s">
        <v>800</v>
      </c>
      <c r="S4" s="4112"/>
      <c r="T4" s="4111" t="s">
        <v>801</v>
      </c>
      <c r="U4" s="4112"/>
      <c r="V4" s="4131" t="s">
        <v>802</v>
      </c>
      <c r="W4" s="4131"/>
      <c r="X4" s="1568"/>
      <c r="Y4" s="4111" t="s">
        <v>804</v>
      </c>
      <c r="Z4" s="4112"/>
      <c r="AA4" s="4106" t="s">
        <v>800</v>
      </c>
      <c r="AB4" s="4107" t="s">
        <v>801</v>
      </c>
      <c r="AC4" s="4106" t="s">
        <v>802</v>
      </c>
    </row>
    <row r="5" spans="1:29" ht="15">
      <c r="A5" s="515"/>
      <c r="B5" s="516"/>
      <c r="C5" s="4229" t="s">
        <v>2934</v>
      </c>
      <c r="D5" s="4230"/>
      <c r="E5" s="4229" t="s">
        <v>2935</v>
      </c>
      <c r="F5" s="4230"/>
      <c r="G5" s="4229" t="s">
        <v>2936</v>
      </c>
      <c r="H5" s="4230"/>
      <c r="I5" s="4229" t="s">
        <v>2937</v>
      </c>
      <c r="J5" s="4230"/>
      <c r="K5" s="514"/>
      <c r="L5" s="2135"/>
      <c r="M5" s="2136"/>
      <c r="N5" s="2136"/>
      <c r="O5" s="2136"/>
      <c r="P5" s="4127"/>
      <c r="Q5" s="4128"/>
      <c r="R5" s="4113"/>
      <c r="S5" s="4114"/>
      <c r="T5" s="4113"/>
      <c r="U5" s="4114"/>
      <c r="V5" s="4131"/>
      <c r="W5" s="4131"/>
      <c r="X5" s="1568"/>
      <c r="Y5" s="4113"/>
      <c r="Z5" s="4114"/>
      <c r="AA5" s="4107"/>
      <c r="AB5" s="4107"/>
      <c r="AC5" s="4107"/>
    </row>
    <row r="6" spans="1:29" ht="15.75" thickBot="1">
      <c r="A6" s="517"/>
      <c r="B6" s="518"/>
      <c r="C6" s="4231" t="s">
        <v>2938</v>
      </c>
      <c r="D6" s="4232"/>
      <c r="E6" s="4305" t="s">
        <v>2938</v>
      </c>
      <c r="F6" s="4306"/>
      <c r="G6" s="4231" t="s">
        <v>2938</v>
      </c>
      <c r="H6" s="4232"/>
      <c r="I6" s="4231" t="s">
        <v>2938</v>
      </c>
      <c r="J6" s="4232"/>
      <c r="K6" s="514" t="s">
        <v>529</v>
      </c>
      <c r="L6" s="2135"/>
      <c r="M6" s="2136"/>
      <c r="N6" s="2136"/>
      <c r="O6" s="2136"/>
      <c r="P6" s="4129"/>
      <c r="Q6" s="4130"/>
      <c r="R6" s="4113"/>
      <c r="S6" s="4114"/>
      <c r="T6" s="4115"/>
      <c r="U6" s="4116"/>
      <c r="V6" s="4131"/>
      <c r="W6" s="4131"/>
      <c r="X6" s="1568"/>
      <c r="Y6" s="4115"/>
      <c r="Z6" s="4116"/>
      <c r="AA6" s="4108"/>
      <c r="AB6" s="4108"/>
      <c r="AC6" s="4108"/>
    </row>
    <row r="7" spans="1:29" s="1220" customFormat="1" ht="15.75" thickBot="1">
      <c r="A7" s="2939"/>
      <c r="B7" s="2946" t="s">
        <v>530</v>
      </c>
      <c r="C7" s="519">
        <f>'数据-取费表'!B2</f>
        <v>42940</v>
      </c>
      <c r="D7" s="520">
        <v>100</v>
      </c>
      <c r="E7" s="521"/>
      <c r="F7" s="522">
        <f>SUMIF(48:48,YEAR(E7)&amp;"-"&amp;MONTH(E7),49:49)</f>
        <v>0</v>
      </c>
      <c r="G7" s="523"/>
      <c r="H7" s="520">
        <f>SUMIF(48:48,YEAR(G7)&amp;"-"&amp;MONTH(G7),49:49)</f>
        <v>0</v>
      </c>
      <c r="I7" s="523"/>
      <c r="J7" s="520">
        <f>SUMIF(48:48,YEAR(I7)&amp;"-"&amp;MONTH(I7),49:49)</f>
        <v>0</v>
      </c>
      <c r="K7" s="524"/>
      <c r="L7" s="2137"/>
      <c r="M7" s="2138"/>
      <c r="N7" s="2138"/>
      <c r="O7" s="2138"/>
      <c r="P7" s="4109" t="s">
        <v>531</v>
      </c>
      <c r="Q7" s="4118"/>
      <c r="R7" s="1569" t="s">
        <v>8</v>
      </c>
      <c r="S7" s="1570">
        <f t="shared" ref="S7:S14" si="0">F7</f>
        <v>0</v>
      </c>
      <c r="T7" s="1569" t="s">
        <v>8</v>
      </c>
      <c r="U7" s="1570">
        <f t="shared" ref="U7:U14" si="1">H7</f>
        <v>0</v>
      </c>
      <c r="V7" s="1569" t="s">
        <v>8</v>
      </c>
      <c r="W7" s="1570">
        <f t="shared" ref="W7:W14" si="2">J7</f>
        <v>0</v>
      </c>
      <c r="X7" s="1571"/>
      <c r="Y7" s="4109" t="s">
        <v>531</v>
      </c>
      <c r="Z7" s="4110"/>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4109" t="s">
        <v>534</v>
      </c>
      <c r="Q8" s="4110"/>
      <c r="R8" s="1569" t="s">
        <v>8</v>
      </c>
      <c r="S8" s="1570">
        <f t="shared" si="0"/>
        <v>0</v>
      </c>
      <c r="T8" s="1569" t="s">
        <v>8</v>
      </c>
      <c r="U8" s="1570">
        <f t="shared" si="1"/>
        <v>0</v>
      </c>
      <c r="V8" s="1569" t="s">
        <v>8</v>
      </c>
      <c r="W8" s="1570">
        <f t="shared" si="2"/>
        <v>0</v>
      </c>
      <c r="X8" s="1571"/>
      <c r="Y8" s="4109" t="s">
        <v>534</v>
      </c>
      <c r="Z8" s="4110"/>
      <c r="AA8" s="1572" t="e">
        <f t="shared" ref="AA8:AA36" si="3">D8/F8</f>
        <v>#DIV/0!</v>
      </c>
      <c r="AB8" s="1572" t="e">
        <f t="shared" ref="AB8:AB36" si="4">D8/H8</f>
        <v>#DIV/0!</v>
      </c>
      <c r="AC8" s="1572" t="e">
        <f t="shared" ref="AC8:AC36" si="5">D8/J8</f>
        <v>#DIV/0!</v>
      </c>
    </row>
    <row r="9" spans="1:29" s="1220" customFormat="1" ht="15">
      <c r="A9" s="2941"/>
      <c r="B9" s="2948" t="s">
        <v>2764</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4117" t="s">
        <v>536</v>
      </c>
      <c r="Q9" s="1151" t="str">
        <f t="shared" ref="Q9:Q14" si="6">B9</f>
        <v>用途</v>
      </c>
      <c r="R9" s="1569" t="s">
        <v>8</v>
      </c>
      <c r="S9" s="1570">
        <f t="shared" si="0"/>
        <v>100</v>
      </c>
      <c r="T9" s="1569" t="s">
        <v>8</v>
      </c>
      <c r="U9" s="1570">
        <f t="shared" si="1"/>
        <v>100</v>
      </c>
      <c r="V9" s="1569" t="s">
        <v>8</v>
      </c>
      <c r="W9" s="1570">
        <f t="shared" si="2"/>
        <v>100</v>
      </c>
      <c r="X9" s="1571"/>
      <c r="Y9" s="4074" t="s">
        <v>537</v>
      </c>
      <c r="Z9" s="1150" t="str">
        <f t="shared" ref="Z9:Z14" si="7">Q9</f>
        <v>用途</v>
      </c>
      <c r="AA9" s="1572">
        <f t="shared" si="3"/>
        <v>1</v>
      </c>
      <c r="AB9" s="1572">
        <f t="shared" si="4"/>
        <v>1</v>
      </c>
      <c r="AC9" s="1572">
        <f t="shared" si="5"/>
        <v>1</v>
      </c>
    </row>
    <row r="10" spans="1:29" s="1338" customFormat="1" ht="27">
      <c r="A10" s="2942"/>
      <c r="B10" s="2947" t="s">
        <v>2765</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4117"/>
      <c r="Q10" s="1151" t="str">
        <f t="shared" si="6"/>
        <v>土地使用年限（年）</v>
      </c>
      <c r="R10" s="1569" t="s">
        <v>8</v>
      </c>
      <c r="S10" s="1570">
        <f t="shared" si="0"/>
        <v>100</v>
      </c>
      <c r="T10" s="1569" t="s">
        <v>8</v>
      </c>
      <c r="U10" s="1570">
        <f t="shared" si="1"/>
        <v>100</v>
      </c>
      <c r="V10" s="1569" t="s">
        <v>8</v>
      </c>
      <c r="W10" s="1570">
        <f t="shared" si="2"/>
        <v>100</v>
      </c>
      <c r="X10" s="1571"/>
      <c r="Y10" s="4074"/>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4117"/>
      <c r="Q11" s="1151">
        <f t="shared" si="6"/>
        <v>111</v>
      </c>
      <c r="R11" s="1569" t="s">
        <v>8</v>
      </c>
      <c r="S11" s="1570">
        <f t="shared" si="0"/>
        <v>100</v>
      </c>
      <c r="T11" s="1569" t="s">
        <v>8</v>
      </c>
      <c r="U11" s="1570">
        <f t="shared" si="1"/>
        <v>100</v>
      </c>
      <c r="V11" s="1569" t="s">
        <v>8</v>
      </c>
      <c r="W11" s="1570">
        <f t="shared" si="2"/>
        <v>100</v>
      </c>
      <c r="X11" s="1571"/>
      <c r="Y11" s="4074"/>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4117"/>
      <c r="Q12" s="1151">
        <f t="shared" si="6"/>
        <v>111</v>
      </c>
      <c r="R12" s="1569" t="s">
        <v>8</v>
      </c>
      <c r="S12" s="1570">
        <f t="shared" si="0"/>
        <v>100</v>
      </c>
      <c r="T12" s="1569" t="s">
        <v>8</v>
      </c>
      <c r="U12" s="1570">
        <f t="shared" si="1"/>
        <v>100</v>
      </c>
      <c r="V12" s="1569" t="s">
        <v>8</v>
      </c>
      <c r="W12" s="1570">
        <f t="shared" si="2"/>
        <v>100</v>
      </c>
      <c r="X12" s="1571"/>
      <c r="Y12" s="4074"/>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4117"/>
      <c r="Q13" s="1151">
        <f t="shared" si="6"/>
        <v>111</v>
      </c>
      <c r="R13" s="1569" t="s">
        <v>8</v>
      </c>
      <c r="S13" s="1570">
        <f t="shared" si="0"/>
        <v>100</v>
      </c>
      <c r="T13" s="1569" t="s">
        <v>8</v>
      </c>
      <c r="U13" s="1570">
        <f t="shared" si="1"/>
        <v>100</v>
      </c>
      <c r="V13" s="1569" t="s">
        <v>8</v>
      </c>
      <c r="W13" s="1570">
        <f t="shared" si="2"/>
        <v>100</v>
      </c>
      <c r="X13" s="1571"/>
      <c r="Y13" s="4074"/>
      <c r="Z13" s="1150">
        <f t="shared" si="7"/>
        <v>111</v>
      </c>
      <c r="AA13" s="1572">
        <f t="shared" si="3"/>
        <v>1</v>
      </c>
      <c r="AB13" s="1572">
        <f t="shared" si="4"/>
        <v>1</v>
      </c>
      <c r="AC13" s="1572">
        <f t="shared" si="5"/>
        <v>1</v>
      </c>
    </row>
    <row r="14" spans="1:29" ht="85.5">
      <c r="A14" s="2937" t="s">
        <v>2762</v>
      </c>
      <c r="B14" s="547" t="s">
        <v>544</v>
      </c>
      <c r="C14" s="921" t="str">
        <f>IF(B1="工业",估价对象房地状况!G4,估价对象房地状况!C6)</f>
        <v>估价对象周边路网密集程度一般、有一定数量公交车、停车较便捷，综合评价交通便捷度一般。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4119" t="s">
        <v>541</v>
      </c>
      <c r="Q14" s="1573" t="str">
        <f t="shared" si="6"/>
        <v>交通便捷度</v>
      </c>
      <c r="R14" s="1574" t="s">
        <v>8</v>
      </c>
      <c r="S14" s="1575">
        <f t="shared" si="0"/>
        <v>100</v>
      </c>
      <c r="T14" s="1574" t="s">
        <v>8</v>
      </c>
      <c r="U14" s="1575">
        <f t="shared" si="1"/>
        <v>100</v>
      </c>
      <c r="V14" s="1574" t="s">
        <v>8</v>
      </c>
      <c r="W14" s="1575">
        <f t="shared" si="2"/>
        <v>100</v>
      </c>
      <c r="X14" s="1568"/>
      <c r="Y14" s="4119"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4120"/>
      <c r="Q15" s="1573"/>
      <c r="R15" s="1574"/>
      <c r="S15" s="1575"/>
      <c r="T15" s="1574"/>
      <c r="U15" s="1575"/>
      <c r="V15" s="1574"/>
      <c r="W15" s="1575"/>
      <c r="X15" s="1568"/>
      <c r="Y15" s="4120"/>
      <c r="Z15" s="1576"/>
      <c r="AA15" s="1577">
        <v>1</v>
      </c>
      <c r="AB15" s="1577">
        <v>1</v>
      </c>
      <c r="AC15" s="1577">
        <v>1</v>
      </c>
    </row>
    <row r="16" spans="1:29" ht="42.75">
      <c r="A16" s="515"/>
      <c r="B16" s="2629" t="s">
        <v>2552</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4120"/>
      <c r="Q16" s="1573" t="str">
        <f>B16</f>
        <v>公共配套设施</v>
      </c>
      <c r="R16" s="1574" t="s">
        <v>8</v>
      </c>
      <c r="S16" s="1575">
        <f>F16</f>
        <v>100</v>
      </c>
      <c r="T16" s="1574" t="s">
        <v>8</v>
      </c>
      <c r="U16" s="1575">
        <f>H16</f>
        <v>100</v>
      </c>
      <c r="V16" s="1574" t="s">
        <v>8</v>
      </c>
      <c r="W16" s="1575">
        <f>J16</f>
        <v>100</v>
      </c>
      <c r="X16" s="1568"/>
      <c r="Y16" s="412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4120"/>
      <c r="Q17" s="1573"/>
      <c r="R17" s="1574"/>
      <c r="S17" s="1575"/>
      <c r="T17" s="1574"/>
      <c r="U17" s="1575"/>
      <c r="V17" s="1574"/>
      <c r="W17" s="1575"/>
      <c r="X17" s="1568"/>
      <c r="Y17" s="4120"/>
      <c r="Z17" s="1576"/>
      <c r="AA17" s="1577">
        <v>1</v>
      </c>
      <c r="AB17" s="1577">
        <v>1</v>
      </c>
      <c r="AC17" s="1577">
        <v>1</v>
      </c>
    </row>
    <row r="18" spans="1:29" ht="42.75">
      <c r="A18" s="515"/>
      <c r="B18" s="2617" t="s">
        <v>2564</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4120"/>
      <c r="Q18" s="2605" t="str">
        <f>B18</f>
        <v>基础设施水平</v>
      </c>
      <c r="R18" s="1574" t="s">
        <v>8</v>
      </c>
      <c r="S18" s="1575">
        <f>F18</f>
        <v>100</v>
      </c>
      <c r="T18" s="1574" t="s">
        <v>8</v>
      </c>
      <c r="U18" s="1575">
        <f>H18</f>
        <v>100</v>
      </c>
      <c r="V18" s="1574" t="s">
        <v>8</v>
      </c>
      <c r="W18" s="1575">
        <f>J18</f>
        <v>100</v>
      </c>
      <c r="X18" s="2607"/>
      <c r="Y18" s="4120"/>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4120"/>
      <c r="Q19" s="2605"/>
      <c r="R19" s="1574"/>
      <c r="S19" s="1575"/>
      <c r="T19" s="1574"/>
      <c r="U19" s="1575"/>
      <c r="V19" s="1574"/>
      <c r="W19" s="1575"/>
      <c r="X19" s="2607"/>
      <c r="Y19" s="4120"/>
      <c r="Z19" s="2606"/>
      <c r="AA19" s="1577">
        <v>1</v>
      </c>
      <c r="AB19" s="1577">
        <v>1</v>
      </c>
      <c r="AC19" s="1577">
        <v>1</v>
      </c>
    </row>
    <row r="20" spans="1:29" ht="128.25">
      <c r="A20" s="515"/>
      <c r="B20" s="560" t="s">
        <v>805</v>
      </c>
      <c r="C20" s="872" t="str">
        <f>IF(B1="工业",估价对象房地状况!G7,估价对象房地状况!C9)</f>
        <v>估价对象周边无大型绿化，公园等自然环境一般：周边有长沙理工大学，无其他博物馆，图书馆等人文环境一般；综合评价环境状况一般。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4120"/>
      <c r="Q20" s="1573" t="str">
        <f>B20</f>
        <v>自然及人文环境</v>
      </c>
      <c r="R20" s="1574" t="s">
        <v>8</v>
      </c>
      <c r="S20" s="1575">
        <f>F20</f>
        <v>100</v>
      </c>
      <c r="T20" s="1574" t="s">
        <v>8</v>
      </c>
      <c r="U20" s="1575">
        <f>H20</f>
        <v>100</v>
      </c>
      <c r="V20" s="1574" t="s">
        <v>8</v>
      </c>
      <c r="W20" s="1575">
        <f>J20</f>
        <v>100</v>
      </c>
      <c r="X20" s="1568"/>
      <c r="Y20" s="412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4120"/>
      <c r="Q21" s="1573"/>
      <c r="R21" s="1574"/>
      <c r="S21" s="1575"/>
      <c r="T21" s="1574"/>
      <c r="U21" s="1575"/>
      <c r="V21" s="1574"/>
      <c r="W21" s="1575"/>
      <c r="X21" s="1568"/>
      <c r="Y21" s="4120"/>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4120"/>
      <c r="Q22" s="1573" t="str">
        <f>B22</f>
        <v>楼层</v>
      </c>
      <c r="R22" s="1574" t="s">
        <v>8</v>
      </c>
      <c r="S22" s="1575">
        <f>F22</f>
        <v>100</v>
      </c>
      <c r="T22" s="1574" t="s">
        <v>8</v>
      </c>
      <c r="U22" s="1575">
        <f>H22</f>
        <v>100</v>
      </c>
      <c r="V22" s="1574" t="s">
        <v>8</v>
      </c>
      <c r="W22" s="1575">
        <f>J22</f>
        <v>100</v>
      </c>
      <c r="X22" s="1568"/>
      <c r="Y22" s="412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4120"/>
      <c r="Q23" s="1573">
        <f>B23</f>
        <v>111</v>
      </c>
      <c r="R23" s="1574" t="s">
        <v>8</v>
      </c>
      <c r="S23" s="1575">
        <f>F23</f>
        <v>100</v>
      </c>
      <c r="T23" s="1574" t="s">
        <v>8</v>
      </c>
      <c r="U23" s="1575">
        <f>H23</f>
        <v>100</v>
      </c>
      <c r="V23" s="1574" t="s">
        <v>8</v>
      </c>
      <c r="W23" s="1575">
        <f>J23</f>
        <v>100</v>
      </c>
      <c r="X23" s="1568"/>
      <c r="Y23" s="412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4120"/>
      <c r="Q24" s="1573">
        <f t="shared" ref="Q24:Q36" si="11">B24</f>
        <v>111</v>
      </c>
      <c r="R24" s="1574" t="s">
        <v>8</v>
      </c>
      <c r="S24" s="1575">
        <f>F24</f>
        <v>100</v>
      </c>
      <c r="T24" s="1574" t="s">
        <v>8</v>
      </c>
      <c r="U24" s="1575">
        <f>H24</f>
        <v>100</v>
      </c>
      <c r="V24" s="1574" t="s">
        <v>8</v>
      </c>
      <c r="W24" s="1575">
        <f>J24</f>
        <v>100</v>
      </c>
      <c r="X24" s="1568"/>
      <c r="Y24" s="412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4120"/>
      <c r="Q25" s="1151">
        <f t="shared" si="11"/>
        <v>111</v>
      </c>
      <c r="R25" s="1569" t="s">
        <v>8</v>
      </c>
      <c r="S25" s="1570">
        <f>F25</f>
        <v>100</v>
      </c>
      <c r="T25" s="1569" t="s">
        <v>8</v>
      </c>
      <c r="U25" s="1570">
        <f>H25</f>
        <v>100</v>
      </c>
      <c r="V25" s="1569" t="s">
        <v>8</v>
      </c>
      <c r="W25" s="1570">
        <f>J25</f>
        <v>100</v>
      </c>
      <c r="X25" s="1571"/>
      <c r="Y25" s="4120"/>
      <c r="Z25" s="1150">
        <f>Q25</f>
        <v>111</v>
      </c>
      <c r="AA25" s="1577">
        <f>D25/F25</f>
        <v>1</v>
      </c>
      <c r="AB25" s="1577">
        <f>D25/H25</f>
        <v>1</v>
      </c>
      <c r="AC25" s="1577">
        <f>D25/J25</f>
        <v>1</v>
      </c>
    </row>
    <row r="26" spans="1:29" ht="15">
      <c r="A26" s="2935" t="s">
        <v>2763</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412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4122"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4122"/>
      <c r="Q27" s="1606" t="str">
        <f t="shared" si="11"/>
        <v>项目停车位配比</v>
      </c>
      <c r="R27" s="1578" t="s">
        <v>8</v>
      </c>
      <c r="S27" s="1579">
        <f t="shared" si="12"/>
        <v>100</v>
      </c>
      <c r="T27" s="1578" t="s">
        <v>8</v>
      </c>
      <c r="U27" s="1579">
        <f t="shared" si="13"/>
        <v>100</v>
      </c>
      <c r="V27" s="1578" t="s">
        <v>8</v>
      </c>
      <c r="W27" s="1579">
        <f t="shared" si="14"/>
        <v>100</v>
      </c>
      <c r="X27" s="1580"/>
      <c r="Y27" s="4122"/>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4122"/>
      <c r="Q28" s="1573" t="str">
        <f t="shared" si="11"/>
        <v>公共部分装修</v>
      </c>
      <c r="R28" s="1574" t="s">
        <v>8</v>
      </c>
      <c r="S28" s="1575">
        <f t="shared" si="12"/>
        <v>100</v>
      </c>
      <c r="T28" s="1574" t="s">
        <v>8</v>
      </c>
      <c r="U28" s="1575">
        <f t="shared" si="13"/>
        <v>100</v>
      </c>
      <c r="V28" s="1574" t="s">
        <v>8</v>
      </c>
      <c r="W28" s="1575">
        <f t="shared" si="14"/>
        <v>100</v>
      </c>
      <c r="X28" s="1568"/>
      <c r="Y28" s="4122"/>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4122"/>
      <c r="Q29" s="1573" t="str">
        <f t="shared" si="11"/>
        <v>成新率</v>
      </c>
      <c r="R29" s="1574" t="s">
        <v>8</v>
      </c>
      <c r="S29" s="1575" t="e">
        <f t="shared" si="12"/>
        <v>#N/A</v>
      </c>
      <c r="T29" s="1574" t="s">
        <v>8</v>
      </c>
      <c r="U29" s="1575" t="e">
        <f t="shared" si="13"/>
        <v>#N/A</v>
      </c>
      <c r="V29" s="1574" t="s">
        <v>8</v>
      </c>
      <c r="W29" s="1575" t="e">
        <f t="shared" si="14"/>
        <v>#N/A</v>
      </c>
      <c r="X29" s="1568"/>
      <c r="Y29" s="4122"/>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4122"/>
      <c r="Q30" s="1573" t="str">
        <f t="shared" si="11"/>
        <v>物业等级</v>
      </c>
      <c r="R30" s="1574" t="s">
        <v>8</v>
      </c>
      <c r="S30" s="1575">
        <f t="shared" si="12"/>
        <v>100</v>
      </c>
      <c r="T30" s="1574" t="s">
        <v>8</v>
      </c>
      <c r="U30" s="1575">
        <f t="shared" si="13"/>
        <v>100</v>
      </c>
      <c r="V30" s="1574" t="s">
        <v>8</v>
      </c>
      <c r="W30" s="1575">
        <f t="shared" si="14"/>
        <v>100</v>
      </c>
      <c r="X30" s="1568"/>
      <c r="Y30" s="4122"/>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4122"/>
      <c r="Q31" s="1151" t="str">
        <f t="shared" si="11"/>
        <v>停车位面积</v>
      </c>
      <c r="R31" s="1569" t="s">
        <v>8</v>
      </c>
      <c r="S31" s="1570" t="e">
        <f t="shared" si="12"/>
        <v>#N/A</v>
      </c>
      <c r="T31" s="1569" t="s">
        <v>8</v>
      </c>
      <c r="U31" s="1570" t="e">
        <f t="shared" si="13"/>
        <v>#N/A</v>
      </c>
      <c r="V31" s="1569" t="s">
        <v>8</v>
      </c>
      <c r="W31" s="1570" t="e">
        <f t="shared" si="14"/>
        <v>#N/A</v>
      </c>
      <c r="X31" s="1571"/>
      <c r="Y31" s="4122"/>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4122" t="s">
        <v>551</v>
      </c>
      <c r="Q32" s="1573" t="str">
        <f t="shared" si="11"/>
        <v>车位类型</v>
      </c>
      <c r="R32" s="1574" t="s">
        <v>8</v>
      </c>
      <c r="S32" s="1575">
        <f t="shared" si="12"/>
        <v>100</v>
      </c>
      <c r="T32" s="1574" t="s">
        <v>8</v>
      </c>
      <c r="U32" s="1575">
        <f t="shared" si="13"/>
        <v>100</v>
      </c>
      <c r="V32" s="1574" t="s">
        <v>8</v>
      </c>
      <c r="W32" s="1575">
        <f t="shared" si="14"/>
        <v>100</v>
      </c>
      <c r="X32" s="1568"/>
      <c r="Y32" s="4122"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4122"/>
      <c r="Q33" s="1573" t="str">
        <f t="shared" si="11"/>
        <v>是否直接入户</v>
      </c>
      <c r="R33" s="1574" t="s">
        <v>8</v>
      </c>
      <c r="S33" s="1575">
        <f t="shared" si="12"/>
        <v>100</v>
      </c>
      <c r="T33" s="1574" t="s">
        <v>8</v>
      </c>
      <c r="U33" s="1575">
        <f t="shared" si="13"/>
        <v>100</v>
      </c>
      <c r="V33" s="1574" t="s">
        <v>8</v>
      </c>
      <c r="W33" s="1575">
        <f t="shared" si="14"/>
        <v>100</v>
      </c>
      <c r="X33" s="1568"/>
      <c r="Y33" s="412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4122"/>
      <c r="Q34" s="1573">
        <f t="shared" si="11"/>
        <v>111</v>
      </c>
      <c r="R34" s="1574" t="s">
        <v>8</v>
      </c>
      <c r="S34" s="1575">
        <f t="shared" si="12"/>
        <v>100</v>
      </c>
      <c r="T34" s="1574" t="s">
        <v>8</v>
      </c>
      <c r="U34" s="1575">
        <f t="shared" si="13"/>
        <v>100</v>
      </c>
      <c r="V34" s="1574" t="s">
        <v>8</v>
      </c>
      <c r="W34" s="1575">
        <f t="shared" si="14"/>
        <v>100</v>
      </c>
      <c r="X34" s="1568"/>
      <c r="Y34" s="412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4122"/>
      <c r="Q35" s="1606">
        <f t="shared" si="11"/>
        <v>111</v>
      </c>
      <c r="R35" s="1578" t="s">
        <v>8</v>
      </c>
      <c r="S35" s="1579">
        <f t="shared" si="12"/>
        <v>100</v>
      </c>
      <c r="T35" s="1578" t="s">
        <v>8</v>
      </c>
      <c r="U35" s="1579">
        <f t="shared" si="13"/>
        <v>100</v>
      </c>
      <c r="V35" s="1578" t="s">
        <v>8</v>
      </c>
      <c r="W35" s="1579">
        <f t="shared" si="14"/>
        <v>100</v>
      </c>
      <c r="X35" s="1580"/>
      <c r="Y35" s="412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4122"/>
      <c r="Q36" s="1573">
        <f t="shared" si="11"/>
        <v>111</v>
      </c>
      <c r="R36" s="1574" t="s">
        <v>8</v>
      </c>
      <c r="S36" s="1575">
        <f t="shared" si="12"/>
        <v>100</v>
      </c>
      <c r="T36" s="1574" t="s">
        <v>8</v>
      </c>
      <c r="U36" s="1575">
        <f t="shared" si="13"/>
        <v>100</v>
      </c>
      <c r="V36" s="1574" t="s">
        <v>8</v>
      </c>
      <c r="W36" s="1575">
        <f t="shared" si="14"/>
        <v>100</v>
      </c>
      <c r="X36" s="1568"/>
      <c r="Y36" s="4122"/>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4117" t="str">
        <f>A37</f>
        <v>成交单价</v>
      </c>
      <c r="Q37" s="4117"/>
      <c r="R37" s="4299">
        <f>E37</f>
        <v>0</v>
      </c>
      <c r="S37" s="4299"/>
      <c r="T37" s="4299">
        <f>G37</f>
        <v>0</v>
      </c>
      <c r="U37" s="4299"/>
      <c r="V37" s="4299">
        <f>I37</f>
        <v>0</v>
      </c>
      <c r="W37" s="4299"/>
      <c r="X37" s="1560"/>
      <c r="Y37" s="1582"/>
      <c r="Z37" s="1560"/>
      <c r="AA37" s="1560"/>
      <c r="AB37" s="1560"/>
      <c r="AC37" s="1560"/>
    </row>
    <row r="38" spans="1:29" ht="15.75" thickBot="1">
      <c r="A38" s="615" t="s">
        <v>2768</v>
      </c>
      <c r="B38" s="888"/>
      <c r="C38" s="2659" t="e">
        <f>R39</f>
        <v>#DIV/0!</v>
      </c>
      <c r="D38" s="2660"/>
      <c r="E38" s="2661" t="e">
        <f>R38</f>
        <v>#DIV/0!</v>
      </c>
      <c r="F38" s="2661"/>
      <c r="G38" s="2659" t="e">
        <f>T38</f>
        <v>#DIV/0!</v>
      </c>
      <c r="H38" s="2660"/>
      <c r="I38" s="2661" t="e">
        <f>V38</f>
        <v>#DIV/0!</v>
      </c>
      <c r="J38" s="2660"/>
      <c r="K38" s="1613"/>
      <c r="L38" s="2146"/>
      <c r="M38" s="2147"/>
      <c r="N38" s="2147"/>
      <c r="O38" s="2147"/>
      <c r="P38" s="4117" t="str">
        <f>A38</f>
        <v>比较价格（元/平方米）</v>
      </c>
      <c r="Q38" s="4117"/>
      <c r="R38" s="4299" t="e">
        <f>IF(F1="售价",ROUND(PRODUCT(R37,AA7:AA36),0),ROUND(PRODUCT(R37,AA7:AA36),1))</f>
        <v>#DIV/0!</v>
      </c>
      <c r="S38" s="4299"/>
      <c r="T38" s="4299" t="e">
        <f>IF(F1="售价",ROUND(PRODUCT(T37,AB7:AB36),0),ROUND(PRODUCT(T37,AB7:AB36),1))</f>
        <v>#DIV/0!</v>
      </c>
      <c r="U38" s="4299"/>
      <c r="V38" s="4299" t="e">
        <f>IF(F1="售价",ROUND(PRODUCT(V37,AC7:AC36),0),ROUND(PRODUCT(V37,AC7:AC36),1))</f>
        <v>#DIV/0!</v>
      </c>
      <c r="W38" s="4299"/>
      <c r="X38" s="1560"/>
      <c r="Y38" s="1560"/>
      <c r="Z38" s="1560"/>
      <c r="AA38" s="1560"/>
      <c r="AB38" s="1560"/>
      <c r="AC38" s="1560"/>
    </row>
    <row r="39" spans="1:29" ht="15.75" thickBot="1">
      <c r="A39" s="621" t="s">
        <v>2940</v>
      </c>
      <c r="B39" s="622"/>
      <c r="C39" s="2662" t="e">
        <f>R39</f>
        <v>#DIV/0!</v>
      </c>
      <c r="D39" s="2662"/>
      <c r="E39" s="2662"/>
      <c r="F39" s="2662"/>
      <c r="G39" s="2662"/>
      <c r="H39" s="2662"/>
      <c r="I39" s="2662"/>
      <c r="J39" s="2662"/>
      <c r="K39" s="1614"/>
      <c r="L39" s="2146"/>
      <c r="M39" s="2147"/>
      <c r="N39" s="2147"/>
      <c r="O39" s="2147"/>
      <c r="P39" s="4139" t="str">
        <f>A39</f>
        <v>估价对象XX用房的比较价格（楼面单价，元/平方米）</v>
      </c>
      <c r="Q39" s="4140"/>
      <c r="R39" s="4298" t="e">
        <f>IF(F1="售价",ROUND(AVERAGE(R38:V38),0),ROUND(AVERAGE(R38:V38),1))</f>
        <v>#DIV/0!</v>
      </c>
      <c r="S39" s="4298"/>
      <c r="T39" s="4298"/>
      <c r="U39" s="4298"/>
      <c r="V39" s="4298"/>
      <c r="W39" s="429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2017-7</v>
      </c>
      <c r="D48" s="2832">
        <f>EDATE(C48,-1)</f>
        <v>42887</v>
      </c>
      <c r="E48" s="2832">
        <f t="shared" ref="E48:O48" si="16">EDATE(D48,-1)</f>
        <v>42856</v>
      </c>
      <c r="F48" s="2832">
        <f t="shared" si="16"/>
        <v>42826</v>
      </c>
      <c r="G48" s="2832">
        <f t="shared" si="16"/>
        <v>42795</v>
      </c>
      <c r="H48" s="2832">
        <f t="shared" si="16"/>
        <v>42767</v>
      </c>
      <c r="I48" s="2832">
        <f t="shared" si="16"/>
        <v>42736</v>
      </c>
      <c r="J48" s="2832">
        <f t="shared" si="16"/>
        <v>42705</v>
      </c>
      <c r="K48" s="2832">
        <f t="shared" si="16"/>
        <v>42675</v>
      </c>
      <c r="L48" s="2832">
        <f t="shared" si="16"/>
        <v>42644</v>
      </c>
      <c r="M48" s="2832">
        <f t="shared" si="16"/>
        <v>42614</v>
      </c>
      <c r="N48" s="2832">
        <f t="shared" si="16"/>
        <v>42583</v>
      </c>
      <c r="O48" s="2832">
        <f t="shared" si="16"/>
        <v>42552</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2563</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2564</v>
      </c>
      <c r="C67" s="2624" t="s">
        <v>2565</v>
      </c>
      <c r="D67" s="2624" t="s">
        <v>2566</v>
      </c>
      <c r="E67" s="2624" t="s">
        <v>2567</v>
      </c>
      <c r="F67" s="2624" t="s">
        <v>2568</v>
      </c>
      <c r="G67" s="2624" t="s">
        <v>2569</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4123" t="s">
        <v>799</v>
      </c>
      <c r="D4" s="4124"/>
      <c r="E4" s="4225" t="s">
        <v>800</v>
      </c>
      <c r="F4" s="4226"/>
      <c r="G4" s="4123" t="s">
        <v>801</v>
      </c>
      <c r="H4" s="4124"/>
      <c r="I4" s="4123" t="s">
        <v>802</v>
      </c>
      <c r="J4" s="4124"/>
      <c r="K4" s="514" t="s">
        <v>803</v>
      </c>
      <c r="L4" s="2135"/>
      <c r="M4" s="2136"/>
      <c r="N4" s="2136"/>
      <c r="O4" s="2136"/>
      <c r="P4" s="4125" t="s">
        <v>804</v>
      </c>
      <c r="Q4" s="4126"/>
      <c r="R4" s="4111" t="s">
        <v>800</v>
      </c>
      <c r="S4" s="4112"/>
      <c r="T4" s="4111" t="s">
        <v>801</v>
      </c>
      <c r="U4" s="4112"/>
      <c r="V4" s="4131" t="s">
        <v>802</v>
      </c>
      <c r="W4" s="4131"/>
      <c r="X4" s="1568"/>
      <c r="Y4" s="4111" t="s">
        <v>804</v>
      </c>
      <c r="Z4" s="4112"/>
      <c r="AA4" s="4106" t="s">
        <v>800</v>
      </c>
      <c r="AB4" s="4107" t="s">
        <v>801</v>
      </c>
      <c r="AC4" s="4106" t="s">
        <v>802</v>
      </c>
    </row>
    <row r="5" spans="1:29" ht="15">
      <c r="A5" s="515"/>
      <c r="B5" s="516"/>
      <c r="C5" s="4229" t="s">
        <v>2934</v>
      </c>
      <c r="D5" s="4230"/>
      <c r="E5" s="4227" t="s">
        <v>2935</v>
      </c>
      <c r="F5" s="4228"/>
      <c r="G5" s="4229" t="s">
        <v>2936</v>
      </c>
      <c r="H5" s="4230"/>
      <c r="I5" s="4229" t="s">
        <v>2937</v>
      </c>
      <c r="J5" s="4230"/>
      <c r="K5" s="514"/>
      <c r="L5" s="2135"/>
      <c r="M5" s="2136"/>
      <c r="N5" s="2136"/>
      <c r="O5" s="2136"/>
      <c r="P5" s="4127"/>
      <c r="Q5" s="4128"/>
      <c r="R5" s="4113"/>
      <c r="S5" s="4114"/>
      <c r="T5" s="4113"/>
      <c r="U5" s="4114"/>
      <c r="V5" s="4131"/>
      <c r="W5" s="4131"/>
      <c r="X5" s="1568"/>
      <c r="Y5" s="4113"/>
      <c r="Z5" s="4114"/>
      <c r="AA5" s="4107"/>
      <c r="AB5" s="4107"/>
      <c r="AC5" s="4107"/>
    </row>
    <row r="6" spans="1:29" ht="15.75" thickBot="1">
      <c r="A6" s="517"/>
      <c r="B6" s="518"/>
      <c r="C6" s="4231" t="s">
        <v>2938</v>
      </c>
      <c r="D6" s="4232"/>
      <c r="E6" s="4233" t="s">
        <v>2938</v>
      </c>
      <c r="F6" s="4234"/>
      <c r="G6" s="4231" t="s">
        <v>2938</v>
      </c>
      <c r="H6" s="4232"/>
      <c r="I6" s="4231" t="s">
        <v>2938</v>
      </c>
      <c r="J6" s="4232"/>
      <c r="K6" s="514" t="s">
        <v>529</v>
      </c>
      <c r="L6" s="2135"/>
      <c r="M6" s="2136"/>
      <c r="N6" s="2136"/>
      <c r="O6" s="2136"/>
      <c r="P6" s="4129"/>
      <c r="Q6" s="4130"/>
      <c r="R6" s="4113"/>
      <c r="S6" s="4114"/>
      <c r="T6" s="4115"/>
      <c r="U6" s="4116"/>
      <c r="V6" s="4131"/>
      <c r="W6" s="4131"/>
      <c r="X6" s="1568"/>
      <c r="Y6" s="4115"/>
      <c r="Z6" s="4116"/>
      <c r="AA6" s="4108"/>
      <c r="AB6" s="4108"/>
      <c r="AC6" s="4108"/>
    </row>
    <row r="7" spans="1:29" s="1220" customFormat="1" ht="15.75" thickBot="1">
      <c r="A7" s="2939"/>
      <c r="B7" s="2946" t="s">
        <v>530</v>
      </c>
      <c r="C7" s="519">
        <f>'数据-取费表'!B2</f>
        <v>42940</v>
      </c>
      <c r="D7" s="520">
        <v>100</v>
      </c>
      <c r="E7" s="521"/>
      <c r="F7" s="522">
        <f>SUMIF(46:46,YEAR(E7)&amp;"-"&amp;MONTH(E7),47:47)</f>
        <v>0</v>
      </c>
      <c r="G7" s="523"/>
      <c r="H7" s="520">
        <f>SUMIF(46:46,YEAR(G7)&amp;"-"&amp;MONTH(G7),47:47)</f>
        <v>0</v>
      </c>
      <c r="I7" s="523"/>
      <c r="J7" s="520">
        <f>SUMIF(46:46,YEAR(I7)&amp;"-"&amp;MONTH(I7),47:47)</f>
        <v>0</v>
      </c>
      <c r="K7" s="524"/>
      <c r="L7" s="2137"/>
      <c r="M7" s="2138"/>
      <c r="N7" s="2138"/>
      <c r="O7" s="2138"/>
      <c r="P7" s="4109" t="s">
        <v>531</v>
      </c>
      <c r="Q7" s="4118"/>
      <c r="R7" s="1569" t="s">
        <v>8</v>
      </c>
      <c r="S7" s="1570">
        <f t="shared" ref="S7:S14" si="0">F7</f>
        <v>0</v>
      </c>
      <c r="T7" s="1569" t="s">
        <v>8</v>
      </c>
      <c r="U7" s="1570">
        <f t="shared" ref="U7:U14" si="1">H7</f>
        <v>0</v>
      </c>
      <c r="V7" s="1569" t="s">
        <v>8</v>
      </c>
      <c r="W7" s="1570">
        <f t="shared" ref="W7:W14" si="2">J7</f>
        <v>0</v>
      </c>
      <c r="X7" s="1571"/>
      <c r="Y7" s="4109" t="s">
        <v>531</v>
      </c>
      <c r="Z7" s="4110"/>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4109" t="s">
        <v>534</v>
      </c>
      <c r="Q8" s="4110"/>
      <c r="R8" s="1569" t="s">
        <v>8</v>
      </c>
      <c r="S8" s="1570">
        <f t="shared" si="0"/>
        <v>0</v>
      </c>
      <c r="T8" s="1569" t="s">
        <v>8</v>
      </c>
      <c r="U8" s="1570">
        <f t="shared" si="1"/>
        <v>0</v>
      </c>
      <c r="V8" s="1569" t="s">
        <v>8</v>
      </c>
      <c r="W8" s="1570">
        <f t="shared" si="2"/>
        <v>0</v>
      </c>
      <c r="X8" s="1571"/>
      <c r="Y8" s="4109" t="s">
        <v>534</v>
      </c>
      <c r="Z8" s="4110"/>
      <c r="AA8" s="1572" t="e">
        <f t="shared" ref="AA8:AA34" si="3">D8/F8</f>
        <v>#DIV/0!</v>
      </c>
      <c r="AB8" s="1572" t="e">
        <f t="shared" ref="AB8:AB34" si="4">D8/H8</f>
        <v>#DIV/0!</v>
      </c>
      <c r="AC8" s="1572" t="e">
        <f t="shared" ref="AC8:AC34" si="5">D8/J8</f>
        <v>#DIV/0!</v>
      </c>
    </row>
    <row r="9" spans="1:29" s="1220" customFormat="1" ht="15">
      <c r="A9" s="2941"/>
      <c r="B9" s="2948" t="s">
        <v>2764</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4117" t="s">
        <v>536</v>
      </c>
      <c r="Q9" s="1151" t="str">
        <f t="shared" ref="Q9:Q14" si="6">B9</f>
        <v>用途</v>
      </c>
      <c r="R9" s="1569" t="s">
        <v>8</v>
      </c>
      <c r="S9" s="1570">
        <f t="shared" si="0"/>
        <v>100</v>
      </c>
      <c r="T9" s="1569" t="s">
        <v>8</v>
      </c>
      <c r="U9" s="1570">
        <f t="shared" si="1"/>
        <v>100</v>
      </c>
      <c r="V9" s="1569" t="s">
        <v>8</v>
      </c>
      <c r="W9" s="1570">
        <f t="shared" si="2"/>
        <v>100</v>
      </c>
      <c r="X9" s="1571"/>
      <c r="Y9" s="4074" t="s">
        <v>537</v>
      </c>
      <c r="Z9" s="1150" t="str">
        <f t="shared" ref="Z9:Z14" si="7">Q9</f>
        <v>用途</v>
      </c>
      <c r="AA9" s="1572">
        <f t="shared" si="3"/>
        <v>1</v>
      </c>
      <c r="AB9" s="1572">
        <f t="shared" si="4"/>
        <v>1</v>
      </c>
      <c r="AC9" s="1572">
        <f t="shared" si="5"/>
        <v>1</v>
      </c>
    </row>
    <row r="10" spans="1:29" s="1338" customFormat="1" ht="27">
      <c r="A10" s="2942"/>
      <c r="B10" s="2947" t="s">
        <v>2765</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4117"/>
      <c r="Q10" s="1151" t="str">
        <f t="shared" si="6"/>
        <v>土地使用年限（年）</v>
      </c>
      <c r="R10" s="1569" t="s">
        <v>8</v>
      </c>
      <c r="S10" s="1570">
        <f t="shared" si="0"/>
        <v>100</v>
      </c>
      <c r="T10" s="1569" t="s">
        <v>8</v>
      </c>
      <c r="U10" s="1570">
        <f t="shared" si="1"/>
        <v>100</v>
      </c>
      <c r="V10" s="1569" t="s">
        <v>8</v>
      </c>
      <c r="W10" s="1570">
        <f t="shared" si="2"/>
        <v>100</v>
      </c>
      <c r="X10" s="1571"/>
      <c r="Y10" s="4074"/>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4117"/>
      <c r="Q11" s="1151">
        <f t="shared" si="6"/>
        <v>111</v>
      </c>
      <c r="R11" s="1569" t="s">
        <v>8</v>
      </c>
      <c r="S11" s="1570">
        <f t="shared" si="0"/>
        <v>100</v>
      </c>
      <c r="T11" s="1569" t="s">
        <v>8</v>
      </c>
      <c r="U11" s="1570">
        <f t="shared" si="1"/>
        <v>100</v>
      </c>
      <c r="V11" s="1569" t="s">
        <v>8</v>
      </c>
      <c r="W11" s="1570">
        <f t="shared" si="2"/>
        <v>100</v>
      </c>
      <c r="X11" s="1571"/>
      <c r="Y11" s="4074"/>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4117"/>
      <c r="Q12" s="1151">
        <f t="shared" si="6"/>
        <v>111</v>
      </c>
      <c r="R12" s="1569" t="s">
        <v>8</v>
      </c>
      <c r="S12" s="1570">
        <f t="shared" si="0"/>
        <v>100</v>
      </c>
      <c r="T12" s="1569" t="s">
        <v>8</v>
      </c>
      <c r="U12" s="1570">
        <f t="shared" si="1"/>
        <v>100</v>
      </c>
      <c r="V12" s="1569" t="s">
        <v>8</v>
      </c>
      <c r="W12" s="1570">
        <f t="shared" si="2"/>
        <v>100</v>
      </c>
      <c r="X12" s="1571"/>
      <c r="Y12" s="4074"/>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4117"/>
      <c r="Q13" s="1151">
        <f t="shared" si="6"/>
        <v>111</v>
      </c>
      <c r="R13" s="1569" t="s">
        <v>8</v>
      </c>
      <c r="S13" s="1570">
        <f t="shared" si="0"/>
        <v>100</v>
      </c>
      <c r="T13" s="1569" t="s">
        <v>8</v>
      </c>
      <c r="U13" s="1570">
        <f t="shared" si="1"/>
        <v>100</v>
      </c>
      <c r="V13" s="1569" t="s">
        <v>8</v>
      </c>
      <c r="W13" s="1570">
        <f t="shared" si="2"/>
        <v>100</v>
      </c>
      <c r="X13" s="1571"/>
      <c r="Y13" s="4074"/>
      <c r="Z13" s="1150">
        <f t="shared" si="7"/>
        <v>111</v>
      </c>
      <c r="AA13" s="1572">
        <f t="shared" si="3"/>
        <v>1</v>
      </c>
      <c r="AB13" s="1572">
        <f t="shared" si="4"/>
        <v>1</v>
      </c>
      <c r="AC13" s="1572">
        <f t="shared" si="5"/>
        <v>1</v>
      </c>
    </row>
    <row r="14" spans="1:29" ht="85.5">
      <c r="A14" s="2937" t="s">
        <v>2762</v>
      </c>
      <c r="B14" s="166" t="s">
        <v>544</v>
      </c>
      <c r="C14" s="921" t="str">
        <f>IF(B1="工业",估价对象房地状况!G4,估价对象房地状况!C6)</f>
        <v>估价对象周边路网密集程度一般、有一定数量公交车、停车较便捷，综合评价交通便捷度一般。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4119" t="s">
        <v>541</v>
      </c>
      <c r="Q14" s="1573" t="str">
        <f t="shared" si="6"/>
        <v>交通便捷度</v>
      </c>
      <c r="R14" s="1574" t="s">
        <v>8</v>
      </c>
      <c r="S14" s="1575">
        <f t="shared" si="0"/>
        <v>100</v>
      </c>
      <c r="T14" s="1574" t="s">
        <v>8</v>
      </c>
      <c r="U14" s="1575">
        <f t="shared" si="1"/>
        <v>100</v>
      </c>
      <c r="V14" s="1574" t="s">
        <v>8</v>
      </c>
      <c r="W14" s="1575">
        <f t="shared" si="2"/>
        <v>100</v>
      </c>
      <c r="X14" s="1568"/>
      <c r="Y14" s="4119"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4120"/>
      <c r="Q15" s="1573"/>
      <c r="R15" s="1574"/>
      <c r="S15" s="1575"/>
      <c r="T15" s="1574"/>
      <c r="U15" s="1575"/>
      <c r="V15" s="1574"/>
      <c r="W15" s="1575"/>
      <c r="X15" s="1568"/>
      <c r="Y15" s="4120"/>
      <c r="Z15" s="1576"/>
      <c r="AA15" s="1577">
        <v>1</v>
      </c>
      <c r="AB15" s="1577">
        <v>1</v>
      </c>
      <c r="AC15" s="1577">
        <v>1</v>
      </c>
    </row>
    <row r="16" spans="1:29" ht="42.75">
      <c r="A16" s="532"/>
      <c r="B16" s="2629" t="s">
        <v>2552</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4120"/>
      <c r="Q16" s="1573" t="str">
        <f>B16</f>
        <v>公共配套设施</v>
      </c>
      <c r="R16" s="1574" t="s">
        <v>8</v>
      </c>
      <c r="S16" s="1575">
        <f>F16</f>
        <v>100</v>
      </c>
      <c r="T16" s="1574" t="s">
        <v>8</v>
      </c>
      <c r="U16" s="1575">
        <f>H16</f>
        <v>100</v>
      </c>
      <c r="V16" s="1574" t="s">
        <v>8</v>
      </c>
      <c r="W16" s="1575">
        <f>J16</f>
        <v>100</v>
      </c>
      <c r="X16" s="1568"/>
      <c r="Y16" s="412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4120"/>
      <c r="Q17" s="1573"/>
      <c r="R17" s="1574"/>
      <c r="S17" s="1575"/>
      <c r="T17" s="1574"/>
      <c r="U17" s="1575"/>
      <c r="V17" s="1574"/>
      <c r="W17" s="1575"/>
      <c r="X17" s="1568"/>
      <c r="Y17" s="4120"/>
      <c r="Z17" s="1576"/>
      <c r="AA17" s="1577">
        <v>1</v>
      </c>
      <c r="AB17" s="1577">
        <v>1</v>
      </c>
      <c r="AC17" s="1577">
        <v>1</v>
      </c>
    </row>
    <row r="18" spans="1:29" ht="42.75">
      <c r="A18" s="532"/>
      <c r="B18" s="2617" t="s">
        <v>2564</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4120"/>
      <c r="Q18" s="2605" t="str">
        <f>B18</f>
        <v>基础设施水平</v>
      </c>
      <c r="R18" s="1574" t="s">
        <v>8</v>
      </c>
      <c r="S18" s="1575">
        <f>F18</f>
        <v>100</v>
      </c>
      <c r="T18" s="1574" t="s">
        <v>8</v>
      </c>
      <c r="U18" s="1575">
        <f>H18</f>
        <v>100</v>
      </c>
      <c r="V18" s="1574" t="s">
        <v>8</v>
      </c>
      <c r="W18" s="1575">
        <f>J18</f>
        <v>100</v>
      </c>
      <c r="X18" s="2607"/>
      <c r="Y18" s="4120"/>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4120"/>
      <c r="Q19" s="2605"/>
      <c r="R19" s="1574"/>
      <c r="S19" s="1575"/>
      <c r="T19" s="1574"/>
      <c r="U19" s="1575"/>
      <c r="V19" s="1574"/>
      <c r="W19" s="1575"/>
      <c r="X19" s="2607"/>
      <c r="Y19" s="4120"/>
      <c r="Z19" s="2606"/>
      <c r="AA19" s="1577">
        <v>1</v>
      </c>
      <c r="AB19" s="1577">
        <v>1</v>
      </c>
      <c r="AC19" s="1577">
        <v>1</v>
      </c>
    </row>
    <row r="20" spans="1:29" ht="128.25">
      <c r="A20" s="532"/>
      <c r="B20" s="871" t="s">
        <v>805</v>
      </c>
      <c r="C20" s="872" t="str">
        <f>IF(B1="工业",估价对象房地状况!G7,估价对象房地状况!C9)</f>
        <v>估价对象周边无大型绿化，公园等自然环境一般：周边有长沙理工大学，无其他博物馆，图书馆等人文环境一般；综合评价环境状况一般。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4120"/>
      <c r="Q20" s="1573" t="str">
        <f>B20</f>
        <v>自然及人文环境</v>
      </c>
      <c r="R20" s="1574" t="s">
        <v>8</v>
      </c>
      <c r="S20" s="1575">
        <f>F20</f>
        <v>100</v>
      </c>
      <c r="T20" s="1574" t="s">
        <v>8</v>
      </c>
      <c r="U20" s="1575">
        <f>H20</f>
        <v>100</v>
      </c>
      <c r="V20" s="1574" t="s">
        <v>8</v>
      </c>
      <c r="W20" s="1575">
        <f>J20</f>
        <v>100</v>
      </c>
      <c r="X20" s="1568"/>
      <c r="Y20" s="412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4120"/>
      <c r="Q21" s="1573"/>
      <c r="R21" s="1574"/>
      <c r="S21" s="1575"/>
      <c r="T21" s="1574"/>
      <c r="U21" s="1575"/>
      <c r="V21" s="1574"/>
      <c r="W21" s="1575"/>
      <c r="X21" s="1568"/>
      <c r="Y21" s="4120"/>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4120"/>
      <c r="Q22" s="1573" t="str">
        <f>B22</f>
        <v>楼层</v>
      </c>
      <c r="R22" s="1574" t="s">
        <v>8</v>
      </c>
      <c r="S22" s="1575">
        <f>F22</f>
        <v>100</v>
      </c>
      <c r="T22" s="1574" t="s">
        <v>8</v>
      </c>
      <c r="U22" s="1575">
        <f>H22</f>
        <v>100</v>
      </c>
      <c r="V22" s="1574" t="s">
        <v>8</v>
      </c>
      <c r="W22" s="1575">
        <f>J22</f>
        <v>100</v>
      </c>
      <c r="X22" s="1568"/>
      <c r="Y22" s="412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4120"/>
      <c r="Q23" s="1573">
        <f>B23</f>
        <v>111</v>
      </c>
      <c r="R23" s="1574" t="s">
        <v>8</v>
      </c>
      <c r="S23" s="1575">
        <f>F23</f>
        <v>100</v>
      </c>
      <c r="T23" s="1574" t="s">
        <v>8</v>
      </c>
      <c r="U23" s="1575">
        <f>H23</f>
        <v>100</v>
      </c>
      <c r="V23" s="1574" t="s">
        <v>8</v>
      </c>
      <c r="W23" s="1575">
        <f>J23</f>
        <v>100</v>
      </c>
      <c r="X23" s="1568"/>
      <c r="Y23" s="412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4120"/>
      <c r="Q24" s="1573">
        <f t="shared" ref="Q24:Q34" si="11">B24</f>
        <v>111</v>
      </c>
      <c r="R24" s="1574" t="s">
        <v>8</v>
      </c>
      <c r="S24" s="1575">
        <f>F24</f>
        <v>100</v>
      </c>
      <c r="T24" s="1574" t="s">
        <v>8</v>
      </c>
      <c r="U24" s="1575">
        <f>H24</f>
        <v>100</v>
      </c>
      <c r="V24" s="1574" t="s">
        <v>8</v>
      </c>
      <c r="W24" s="1575">
        <f>J24</f>
        <v>100</v>
      </c>
      <c r="X24" s="1568"/>
      <c r="Y24" s="412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4120"/>
      <c r="Q25" s="1151">
        <f t="shared" si="11"/>
        <v>111</v>
      </c>
      <c r="R25" s="1569" t="s">
        <v>8</v>
      </c>
      <c r="S25" s="1570">
        <f>F25</f>
        <v>100</v>
      </c>
      <c r="T25" s="1569" t="s">
        <v>8</v>
      </c>
      <c r="U25" s="1570">
        <f>H25</f>
        <v>100</v>
      </c>
      <c r="V25" s="1569" t="s">
        <v>8</v>
      </c>
      <c r="W25" s="1570">
        <f>J25</f>
        <v>100</v>
      </c>
      <c r="X25" s="1571"/>
      <c r="Y25" s="4120"/>
      <c r="Z25" s="1150">
        <f>Q25</f>
        <v>111</v>
      </c>
      <c r="AA25" s="1577">
        <f>D25/F25</f>
        <v>1</v>
      </c>
      <c r="AB25" s="1577">
        <f>D25/H25</f>
        <v>1</v>
      </c>
      <c r="AC25" s="1577">
        <f>D25/J25</f>
        <v>1</v>
      </c>
    </row>
    <row r="26" spans="1:29" ht="15">
      <c r="A26" s="2935" t="s">
        <v>2763</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412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4122"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4122"/>
      <c r="Q27" s="1606" t="str">
        <f t="shared" si="11"/>
        <v>成新率</v>
      </c>
      <c r="R27" s="1578" t="s">
        <v>8</v>
      </c>
      <c r="S27" s="1579" t="e">
        <f t="shared" si="12"/>
        <v>#N/A</v>
      </c>
      <c r="T27" s="1578" t="s">
        <v>8</v>
      </c>
      <c r="U27" s="1579" t="e">
        <f t="shared" si="13"/>
        <v>#N/A</v>
      </c>
      <c r="V27" s="1578" t="s">
        <v>8</v>
      </c>
      <c r="W27" s="1579" t="e">
        <f t="shared" si="14"/>
        <v>#N/A</v>
      </c>
      <c r="X27" s="1580"/>
      <c r="Y27" s="4122"/>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4122"/>
      <c r="Q28" s="1573" t="str">
        <f t="shared" si="11"/>
        <v>物业等级</v>
      </c>
      <c r="R28" s="1574" t="s">
        <v>8</v>
      </c>
      <c r="S28" s="1575">
        <f t="shared" si="12"/>
        <v>100</v>
      </c>
      <c r="T28" s="1574" t="s">
        <v>8</v>
      </c>
      <c r="U28" s="1575">
        <f t="shared" si="13"/>
        <v>100</v>
      </c>
      <c r="V28" s="1574" t="s">
        <v>8</v>
      </c>
      <c r="W28" s="1575">
        <f t="shared" si="14"/>
        <v>100</v>
      </c>
      <c r="X28" s="1568"/>
      <c r="Y28" s="4122"/>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4122"/>
      <c r="Q29" s="1573" t="str">
        <f t="shared" si="11"/>
        <v>有无电梯</v>
      </c>
      <c r="R29" s="1574" t="s">
        <v>8</v>
      </c>
      <c r="S29" s="1575">
        <f t="shared" si="12"/>
        <v>100</v>
      </c>
      <c r="T29" s="1574" t="s">
        <v>8</v>
      </c>
      <c r="U29" s="1575">
        <f t="shared" si="13"/>
        <v>100</v>
      </c>
      <c r="V29" s="1574" t="s">
        <v>8</v>
      </c>
      <c r="W29" s="1575">
        <f t="shared" si="14"/>
        <v>100</v>
      </c>
      <c r="X29" s="1568"/>
      <c r="Y29" s="4122"/>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4122"/>
      <c r="Q30" s="1573" t="str">
        <f t="shared" si="11"/>
        <v>建筑面积</v>
      </c>
      <c r="R30" s="1574" t="s">
        <v>8</v>
      </c>
      <c r="S30" s="1575" t="e">
        <f t="shared" si="12"/>
        <v>#N/A</v>
      </c>
      <c r="T30" s="1574" t="s">
        <v>8</v>
      </c>
      <c r="U30" s="1575" t="e">
        <f t="shared" si="13"/>
        <v>#N/A</v>
      </c>
      <c r="V30" s="1574" t="s">
        <v>8</v>
      </c>
      <c r="W30" s="1575" t="e">
        <f t="shared" si="14"/>
        <v>#N/A</v>
      </c>
      <c r="X30" s="1568"/>
      <c r="Y30" s="4122"/>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4122"/>
      <c r="Q31" s="1151" t="str">
        <f t="shared" si="11"/>
        <v>是否封闭</v>
      </c>
      <c r="R31" s="1569" t="s">
        <v>8</v>
      </c>
      <c r="S31" s="1570">
        <f t="shared" si="12"/>
        <v>100</v>
      </c>
      <c r="T31" s="1569" t="s">
        <v>8</v>
      </c>
      <c r="U31" s="1570">
        <f t="shared" si="13"/>
        <v>100</v>
      </c>
      <c r="V31" s="1569" t="s">
        <v>8</v>
      </c>
      <c r="W31" s="1570">
        <f t="shared" si="14"/>
        <v>100</v>
      </c>
      <c r="X31" s="1571"/>
      <c r="Y31" s="412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4122" t="s">
        <v>551</v>
      </c>
      <c r="Q32" s="1573">
        <f t="shared" si="11"/>
        <v>111</v>
      </c>
      <c r="R32" s="1574" t="s">
        <v>8</v>
      </c>
      <c r="S32" s="1575">
        <f t="shared" si="12"/>
        <v>100</v>
      </c>
      <c r="T32" s="1574" t="s">
        <v>8</v>
      </c>
      <c r="U32" s="1575">
        <f t="shared" si="13"/>
        <v>100</v>
      </c>
      <c r="V32" s="1574" t="s">
        <v>8</v>
      </c>
      <c r="W32" s="1575">
        <f t="shared" si="14"/>
        <v>100</v>
      </c>
      <c r="X32" s="1568"/>
      <c r="Y32" s="4122"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4122"/>
      <c r="Q33" s="1573">
        <f t="shared" si="11"/>
        <v>111</v>
      </c>
      <c r="R33" s="1574" t="s">
        <v>8</v>
      </c>
      <c r="S33" s="1575">
        <f t="shared" si="12"/>
        <v>100</v>
      </c>
      <c r="T33" s="1574" t="s">
        <v>8</v>
      </c>
      <c r="U33" s="1575">
        <f t="shared" si="13"/>
        <v>100</v>
      </c>
      <c r="V33" s="1574" t="s">
        <v>8</v>
      </c>
      <c r="W33" s="1575">
        <f t="shared" si="14"/>
        <v>100</v>
      </c>
      <c r="X33" s="1568"/>
      <c r="Y33" s="412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4122"/>
      <c r="Q34" s="1573">
        <f t="shared" si="11"/>
        <v>111</v>
      </c>
      <c r="R34" s="1574" t="s">
        <v>8</v>
      </c>
      <c r="S34" s="1575">
        <f t="shared" si="12"/>
        <v>100</v>
      </c>
      <c r="T34" s="1574" t="s">
        <v>8</v>
      </c>
      <c r="U34" s="1575">
        <f t="shared" si="13"/>
        <v>100</v>
      </c>
      <c r="V34" s="1574" t="s">
        <v>8</v>
      </c>
      <c r="W34" s="1575">
        <f t="shared" si="14"/>
        <v>100</v>
      </c>
      <c r="X34" s="1568"/>
      <c r="Y34" s="4122"/>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4117" t="str">
        <f>A35</f>
        <v>成交单价（元/平方米）</v>
      </c>
      <c r="Q35" s="4117"/>
      <c r="R35" s="4299">
        <f>E35</f>
        <v>0</v>
      </c>
      <c r="S35" s="4299"/>
      <c r="T35" s="4299">
        <f>G35</f>
        <v>0</v>
      </c>
      <c r="U35" s="4299"/>
      <c r="V35" s="4299">
        <f>I35</f>
        <v>0</v>
      </c>
      <c r="W35" s="4299"/>
      <c r="X35" s="1560"/>
      <c r="Y35" s="1582"/>
      <c r="Z35" s="1560"/>
      <c r="AA35" s="1560"/>
      <c r="AB35" s="1560"/>
      <c r="AC35" s="1560"/>
    </row>
    <row r="36" spans="1:29" ht="15.75" thickBot="1">
      <c r="A36" s="615" t="s">
        <v>2768</v>
      </c>
      <c r="B36" s="888"/>
      <c r="C36" s="2659" t="e">
        <f>R37</f>
        <v>#DIV/0!</v>
      </c>
      <c r="D36" s="2660"/>
      <c r="E36" s="2661" t="e">
        <f>R36</f>
        <v>#DIV/0!</v>
      </c>
      <c r="F36" s="2661"/>
      <c r="G36" s="2659" t="e">
        <f>T36</f>
        <v>#DIV/0!</v>
      </c>
      <c r="H36" s="2660"/>
      <c r="I36" s="2661" t="e">
        <f>V36</f>
        <v>#DIV/0!</v>
      </c>
      <c r="J36" s="2660"/>
      <c r="K36" s="1613"/>
      <c r="L36" s="2146"/>
      <c r="M36" s="2147"/>
      <c r="N36" s="2136"/>
      <c r="O36" s="2147"/>
      <c r="P36" s="4117" t="str">
        <f>A36</f>
        <v>比较价格（元/平方米）</v>
      </c>
      <c r="Q36" s="4117"/>
      <c r="R36" s="4299" t="e">
        <f>IF(F1="售价",ROUND(PRODUCT(R35,AA7:AA34),0),ROUND(PRODUCT(R35,AA7:AA34),1))</f>
        <v>#DIV/0!</v>
      </c>
      <c r="S36" s="4299"/>
      <c r="T36" s="4299" t="e">
        <f>IF(F1="售价",ROUND(PRODUCT(T35,AB7:AB34),0),ROUND(PRODUCT(T35,AB7:AB34),1))</f>
        <v>#DIV/0!</v>
      </c>
      <c r="U36" s="4299"/>
      <c r="V36" s="4299" t="e">
        <f>IF(F1="售价",ROUND(PRODUCT(V35,AC7:AC34),0),ROUND(PRODUCT(V35,AC7:AC34),1))</f>
        <v>#DIV/0!</v>
      </c>
      <c r="W36" s="4299"/>
      <c r="X36" s="1560"/>
      <c r="Y36" s="1560"/>
      <c r="Z36" s="1560"/>
      <c r="AA36" s="1560"/>
      <c r="AB36" s="1560"/>
      <c r="AC36" s="1560"/>
    </row>
    <row r="37" spans="1:29" ht="15.75" thickBot="1">
      <c r="A37" s="621" t="s">
        <v>2940</v>
      </c>
      <c r="B37" s="622"/>
      <c r="C37" s="2662" t="e">
        <f>R37</f>
        <v>#DIV/0!</v>
      </c>
      <c r="D37" s="2662"/>
      <c r="E37" s="2662"/>
      <c r="F37" s="2662"/>
      <c r="G37" s="2662"/>
      <c r="H37" s="2662"/>
      <c r="I37" s="2662"/>
      <c r="J37" s="2662"/>
      <c r="K37" s="1614"/>
      <c r="L37" s="2146"/>
      <c r="M37" s="2147"/>
      <c r="N37" s="2147"/>
      <c r="O37" s="2147"/>
      <c r="P37" s="4139" t="str">
        <f>A37</f>
        <v>估价对象XX用房的比较价格（楼面单价，元/平方米）</v>
      </c>
      <c r="Q37" s="4140"/>
      <c r="R37" s="4298" t="e">
        <f>IF(F1="售价",ROUND(AVERAGE(R36:V36),0),ROUND(AVERAGE(R36:V36),1))</f>
        <v>#DIV/0!</v>
      </c>
      <c r="S37" s="4298"/>
      <c r="T37" s="4298"/>
      <c r="U37" s="4298"/>
      <c r="V37" s="4298"/>
      <c r="W37" s="429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2017-7</v>
      </c>
      <c r="D46" s="2832">
        <f>EDATE(C46,-1)</f>
        <v>42887</v>
      </c>
      <c r="E46" s="2832">
        <f t="shared" ref="E46:O46" si="16">EDATE(D46,-1)</f>
        <v>42856</v>
      </c>
      <c r="F46" s="2832">
        <f t="shared" si="16"/>
        <v>42826</v>
      </c>
      <c r="G46" s="2832">
        <f t="shared" si="16"/>
        <v>42795</v>
      </c>
      <c r="H46" s="2832">
        <f t="shared" si="16"/>
        <v>42767</v>
      </c>
      <c r="I46" s="2832">
        <f t="shared" si="16"/>
        <v>42736</v>
      </c>
      <c r="J46" s="2832">
        <f t="shared" si="16"/>
        <v>42705</v>
      </c>
      <c r="K46" s="2832">
        <f t="shared" si="16"/>
        <v>42675</v>
      </c>
      <c r="L46" s="2832">
        <f t="shared" si="16"/>
        <v>42644</v>
      </c>
      <c r="M46" s="2832">
        <f t="shared" si="16"/>
        <v>42614</v>
      </c>
      <c r="N46" s="2832">
        <f t="shared" si="16"/>
        <v>42583</v>
      </c>
      <c r="O46" s="2832">
        <f t="shared" si="16"/>
        <v>42552</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2563</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2564</v>
      </c>
      <c r="C65" s="2624" t="s">
        <v>2565</v>
      </c>
      <c r="D65" s="2624" t="s">
        <v>2566</v>
      </c>
      <c r="E65" s="2624" t="s">
        <v>2567</v>
      </c>
      <c r="F65" s="2624" t="s">
        <v>2568</v>
      </c>
      <c r="G65" s="2624" t="s">
        <v>2569</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4310" t="s">
        <v>2307</v>
      </c>
      <c r="D1" s="4311"/>
      <c r="E1" s="4311"/>
      <c r="F1" s="4311"/>
      <c r="G1" s="4311"/>
      <c r="H1" s="4311"/>
      <c r="I1" s="4311"/>
      <c r="J1" s="4311"/>
      <c r="K1" s="4311"/>
      <c r="L1" s="4311"/>
      <c r="M1" s="4311"/>
      <c r="N1" s="4311"/>
      <c r="O1" s="4311"/>
      <c r="P1" s="4311"/>
      <c r="Q1" s="4311"/>
      <c r="R1" s="4311"/>
      <c r="S1" s="4312"/>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4307" t="s">
        <v>20</v>
      </c>
      <c r="D22" s="4308"/>
      <c r="E22" s="4308"/>
      <c r="F22" s="4308"/>
      <c r="G22" s="4308"/>
      <c r="H22" s="4308"/>
      <c r="I22" s="4308"/>
      <c r="J22" s="4308"/>
      <c r="K22" s="4308"/>
      <c r="L22" s="4308"/>
      <c r="M22" s="4308"/>
      <c r="N22" s="4308"/>
      <c r="O22" s="4308"/>
      <c r="P22" s="4308"/>
      <c r="Q22" s="4309"/>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2796</v>
      </c>
      <c r="C1" s="3031">
        <f>项目基本情况!D3</f>
        <v>42940</v>
      </c>
      <c r="H1" s="2965">
        <f>IF(C1&gt;C13,0,MATCH(C1,C$13:C$100,-1))+IF(SUMIF(C13:C100,C1,D13:D100)=0,13,12)</f>
        <v>13</v>
      </c>
      <c r="I1" s="2965">
        <f ca="1">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2827</v>
      </c>
      <c r="C2" s="3032">
        <f>'数据-取费表'!B22</f>
        <v>3</v>
      </c>
      <c r="D2" s="3027" t="s">
        <v>2797</v>
      </c>
      <c r="E2" s="3030">
        <f ca="1">INDIRECT("I"&amp;$I$1)/100</f>
        <v>4.7500000000000001E-2</v>
      </c>
      <c r="G2" s="2967"/>
      <c r="H2" s="2967"/>
      <c r="I2" s="2967" t="s">
        <v>2798</v>
      </c>
      <c r="K2" s="2967"/>
      <c r="L2" s="2967"/>
      <c r="M2" s="2967"/>
      <c r="N2" s="2967" t="s">
        <v>2799</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2829</v>
      </c>
      <c r="C3" s="3029">
        <f>'数据-取费表'!B19</f>
        <v>0</v>
      </c>
      <c r="D3" s="3027" t="s">
        <v>2797</v>
      </c>
      <c r="E3" s="3030">
        <f ca="1">INDIRECT("J"&amp;$J$1)/100</f>
        <v>0</v>
      </c>
      <c r="G3" s="2969" t="s">
        <v>2800</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2828</v>
      </c>
      <c r="C4" s="3030">
        <f ca="1">N4/100</f>
        <v>1.4999999999999999E-2</v>
      </c>
      <c r="G4" s="2975" t="s">
        <v>2801</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2802</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2803</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2804</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2805</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2806</v>
      </c>
      <c r="C10" s="2994"/>
      <c r="D10" s="2994"/>
      <c r="E10" s="2994"/>
      <c r="F10" s="2994"/>
      <c r="G10" s="2994"/>
      <c r="H10" s="2994"/>
      <c r="I10" s="2968"/>
      <c r="J10" s="2968"/>
      <c r="K10" s="2994"/>
      <c r="L10" s="2995" t="s">
        <v>2807</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2808</v>
      </c>
      <c r="C11" s="2999" t="s">
        <v>2809</v>
      </c>
      <c r="D11" s="3000" t="s">
        <v>2810</v>
      </c>
      <c r="E11" s="3001"/>
      <c r="F11" s="3000" t="s">
        <v>2811</v>
      </c>
      <c r="G11" s="3002"/>
      <c r="H11" s="3001"/>
      <c r="I11" s="3000" t="s">
        <v>2812</v>
      </c>
      <c r="J11" s="3001"/>
      <c r="K11" s="2997"/>
      <c r="L11" s="2998" t="s">
        <v>2808</v>
      </c>
      <c r="M11" s="2999" t="s">
        <v>2809</v>
      </c>
      <c r="N11" s="2998" t="s">
        <v>2813</v>
      </c>
      <c r="O11" s="3000" t="s">
        <v>2814</v>
      </c>
      <c r="P11" s="3002"/>
      <c r="Q11" s="3002"/>
      <c r="R11" s="3002"/>
      <c r="S11" s="3002"/>
      <c r="T11" s="3001"/>
      <c r="U11" s="3000" t="s">
        <v>2815</v>
      </c>
      <c r="V11" s="3002"/>
      <c r="W11" s="3001"/>
      <c r="X11" s="2998" t="s">
        <v>2816</v>
      </c>
      <c r="Y11" s="2998" t="s">
        <v>2817</v>
      </c>
      <c r="Z11" s="2998" t="s">
        <v>2818</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2819</v>
      </c>
      <c r="E12" s="3007" t="s">
        <v>2820</v>
      </c>
      <c r="F12" s="3007" t="s">
        <v>2821</v>
      </c>
      <c r="G12" s="3007" t="s">
        <v>2822</v>
      </c>
      <c r="H12" s="3007" t="s">
        <v>2804</v>
      </c>
      <c r="I12" s="3008" t="s">
        <v>2823</v>
      </c>
      <c r="J12" s="3008" t="s">
        <v>2823</v>
      </c>
      <c r="K12" s="3004"/>
      <c r="L12" s="3005"/>
      <c r="M12" s="3006"/>
      <c r="N12" s="3005"/>
      <c r="O12" s="3008" t="s">
        <v>2824</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2825</v>
      </c>
      <c r="C13" s="3012">
        <v>42301</v>
      </c>
      <c r="D13" s="3013">
        <v>4.3499999999999996</v>
      </c>
      <c r="E13" s="3013">
        <v>4.3499999999999996</v>
      </c>
      <c r="F13" s="3013">
        <v>4.75</v>
      </c>
      <c r="G13" s="3013">
        <v>4.75</v>
      </c>
      <c r="H13" s="3013">
        <v>4.9000000000000004</v>
      </c>
      <c r="I13" s="3013">
        <v>2.75</v>
      </c>
      <c r="J13" s="3013">
        <v>3.25</v>
      </c>
      <c r="K13" s="3010"/>
      <c r="L13" s="3011" t="s">
        <v>2825</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2826</v>
      </c>
      <c r="Y42" s="3017" t="s">
        <v>2826</v>
      </c>
      <c r="Z42" s="3017" t="s">
        <v>2826</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2826</v>
      </c>
      <c r="Y43" s="3017" t="s">
        <v>2826</v>
      </c>
      <c r="Z43" s="3017" t="s">
        <v>2826</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2826</v>
      </c>
      <c r="Y44" s="3017" t="s">
        <v>2826</v>
      </c>
      <c r="Z44" s="3017" t="s">
        <v>2826</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2826</v>
      </c>
      <c r="Y45" s="3017" t="s">
        <v>2826</v>
      </c>
      <c r="Z45" s="3017" t="s">
        <v>2826</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2826</v>
      </c>
      <c r="Y46" s="3017" t="s">
        <v>2826</v>
      </c>
      <c r="Z46" s="3017" t="s">
        <v>2826</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2826</v>
      </c>
      <c r="Y47" s="3017" t="s">
        <v>2826</v>
      </c>
      <c r="Z47" s="3017" t="s">
        <v>2826</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2826</v>
      </c>
      <c r="Y48" s="3017" t="s">
        <v>2826</v>
      </c>
      <c r="Z48" s="3017" t="s">
        <v>2826</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2826</v>
      </c>
      <c r="Y49" s="3017" t="s">
        <v>2826</v>
      </c>
      <c r="Z49" s="3017" t="s">
        <v>2826</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2826</v>
      </c>
      <c r="Y50" s="3017" t="s">
        <v>2826</v>
      </c>
      <c r="Z50" s="3017" t="s">
        <v>2826</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2826</v>
      </c>
      <c r="V51" s="3017" t="s">
        <v>2826</v>
      </c>
      <c r="W51" s="3017" t="s">
        <v>2826</v>
      </c>
      <c r="X51" s="3017" t="s">
        <v>2826</v>
      </c>
      <c r="Y51" s="3017" t="s">
        <v>2826</v>
      </c>
      <c r="Z51" s="3017" t="s">
        <v>2826</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2826</v>
      </c>
      <c r="J55" s="3017" t="s">
        <v>2826</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41" t="s">
        <v>2041</v>
      </c>
      <c r="B1" s="3941"/>
      <c r="C1" s="3941"/>
      <c r="D1" s="3941"/>
      <c r="E1" s="3941"/>
      <c r="F1" s="3941"/>
      <c r="G1" s="3941"/>
      <c r="H1" s="3941"/>
      <c r="I1" s="3941"/>
      <c r="J1" s="3941"/>
      <c r="K1" s="3941"/>
      <c r="L1" s="3941"/>
      <c r="M1" s="3941"/>
      <c r="N1" s="3941"/>
      <c r="O1" s="3941"/>
      <c r="P1" s="3941"/>
      <c r="Q1" s="3941"/>
      <c r="R1" s="3941"/>
    </row>
    <row r="2" spans="1:18">
      <c r="A2" s="1809" t="s">
        <v>2043</v>
      </c>
      <c r="B2" s="1809"/>
      <c r="C2" s="1809"/>
      <c r="D2" s="1809"/>
      <c r="E2" s="1809"/>
      <c r="F2" s="1809"/>
      <c r="G2" s="1809"/>
      <c r="H2" s="1809"/>
      <c r="I2" s="1810"/>
      <c r="J2" s="1810"/>
      <c r="K2" s="1811" t="str">
        <f>"估价期日："&amp;TEXT(项目基本情况!D3,"yyyy年m月d日;;")</f>
        <v>估价期日：2017年7月24日</v>
      </c>
      <c r="L2" s="1809"/>
      <c r="M2" s="1809"/>
      <c r="N2" s="1809"/>
      <c r="O2" s="1809"/>
      <c r="P2" s="1809"/>
      <c r="Q2" s="1809"/>
      <c r="R2" s="1811" t="str">
        <f>"估价期日的国有建设用地使用权性质："&amp;项目基本情况!B16</f>
        <v>估价期日的国有建设用地使用权性质：出让</v>
      </c>
    </row>
    <row r="3" spans="1:18" ht="23.25" customHeight="1">
      <c r="A3" s="3942" t="s">
        <v>2032</v>
      </c>
      <c r="B3" s="3942" t="s">
        <v>2739</v>
      </c>
      <c r="C3" s="3943" t="s">
        <v>2033</v>
      </c>
      <c r="D3" s="3942" t="s">
        <v>2743</v>
      </c>
      <c r="E3" s="3937" t="s">
        <v>2034</v>
      </c>
      <c r="F3" s="3937"/>
      <c r="G3" s="3937"/>
      <c r="H3" s="3937" t="s">
        <v>2035</v>
      </c>
      <c r="I3" s="3937"/>
      <c r="J3" s="3937"/>
      <c r="K3" s="3943" t="s">
        <v>2036</v>
      </c>
      <c r="L3" s="3943" t="s">
        <v>2037</v>
      </c>
      <c r="M3" s="3942" t="s">
        <v>2740</v>
      </c>
      <c r="N3" s="3944" t="str">
        <f>"（分摊）"&amp;项目基本情况!B16&amp;"国有建设用地使用权面积/㎡"</f>
        <v>（分摊）出让国有建设用地使用权面积/㎡</v>
      </c>
      <c r="O3" s="3942" t="s">
        <v>2066</v>
      </c>
      <c r="P3" s="3943" t="s">
        <v>2046</v>
      </c>
      <c r="Q3" s="3943" t="s">
        <v>2067</v>
      </c>
      <c r="R3" s="3943" t="s">
        <v>2038</v>
      </c>
    </row>
    <row r="4" spans="1:18" ht="36.75" customHeight="1">
      <c r="A4" s="3942"/>
      <c r="B4" s="3942"/>
      <c r="C4" s="3943"/>
      <c r="D4" s="3942"/>
      <c r="E4" s="2676" t="s">
        <v>2045</v>
      </c>
      <c r="F4" s="2676" t="s">
        <v>2752</v>
      </c>
      <c r="G4" s="2676" t="s">
        <v>2039</v>
      </c>
      <c r="H4" s="2676" t="s">
        <v>2040</v>
      </c>
      <c r="I4" s="2676" t="s">
        <v>2753</v>
      </c>
      <c r="J4" s="2676" t="s">
        <v>2039</v>
      </c>
      <c r="K4" s="3943"/>
      <c r="L4" s="3943"/>
      <c r="M4" s="3942"/>
      <c r="N4" s="3944"/>
      <c r="O4" s="3942"/>
      <c r="P4" s="3943"/>
      <c r="Q4" s="3943"/>
      <c r="R4" s="3943"/>
    </row>
    <row r="5" spans="1:18" ht="135" customHeight="1">
      <c r="A5" s="1945" t="s">
        <v>2663</v>
      </c>
      <c r="B5" s="2895" t="s">
        <v>2661</v>
      </c>
      <c r="C5" s="2675">
        <v>22</v>
      </c>
      <c r="D5" s="2674" t="s">
        <v>2662</v>
      </c>
      <c r="E5" s="1812" t="str">
        <f>项目基本情况!B12</f>
        <v>住宅、商业</v>
      </c>
      <c r="F5" s="2674">
        <v>258</v>
      </c>
      <c r="G5" s="1812" t="str">
        <f>项目基本情况!B13</f>
        <v>住宅、商业</v>
      </c>
      <c r="H5" s="2674">
        <v>1.5</v>
      </c>
      <c r="I5" s="2674">
        <v>1.5</v>
      </c>
      <c r="J5" s="2674">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t="str">
        <f>IF(项目基本情况!B16="出让",项目基本情况!D20,"——")</f>
        <v>住宅70年、商业50年</v>
      </c>
      <c r="N5" s="1812">
        <f>项目基本情况!C22</f>
        <v>70761</v>
      </c>
      <c r="O5" s="1812">
        <f>项目基本情况!C21</f>
        <v>183978.59999999998</v>
      </c>
      <c r="P5" s="1812">
        <f ca="1">结果表!E42</f>
        <v>8930</v>
      </c>
      <c r="Q5" s="1812">
        <f ca="1">结果表!D42</f>
        <v>3435</v>
      </c>
      <c r="R5" s="1813">
        <f ca="1">结果表!C42</f>
        <v>63191</v>
      </c>
    </row>
    <row r="6" spans="1:18">
      <c r="A6" s="3938" t="str">
        <f>IF(项目基本情况!B9="市场价格","——","抵押价格")</f>
        <v>——</v>
      </c>
      <c r="B6" s="3939"/>
      <c r="C6" s="3939"/>
      <c r="D6" s="3939"/>
      <c r="E6" s="3939"/>
      <c r="F6" s="3939"/>
      <c r="G6" s="3939"/>
      <c r="H6" s="3939"/>
      <c r="I6" s="3939"/>
      <c r="J6" s="3939"/>
      <c r="K6" s="3939"/>
      <c r="L6" s="3939"/>
      <c r="M6" s="3939"/>
      <c r="N6" s="3939"/>
      <c r="O6" s="3939"/>
      <c r="P6" s="3939"/>
      <c r="Q6" s="3940"/>
      <c r="R6" s="1814">
        <f ca="1">结果表!O39</f>
        <v>63191</v>
      </c>
    </row>
    <row r="7" spans="1:18">
      <c r="A7" s="3938" t="str">
        <f>IF(项目基本情况!B9="市场价格","——",IF(项目基本情况!E8="已注销及未注销","抵押担保权已注销时的抵押价格","——"))</f>
        <v>——</v>
      </c>
      <c r="B7" s="3939"/>
      <c r="C7" s="3939"/>
      <c r="D7" s="3939"/>
      <c r="E7" s="3939"/>
      <c r="F7" s="3939"/>
      <c r="G7" s="3939"/>
      <c r="H7" s="3939"/>
      <c r="I7" s="3939"/>
      <c r="J7" s="3939"/>
      <c r="K7" s="3939"/>
      <c r="L7" s="3939"/>
      <c r="M7" s="3939"/>
      <c r="N7" s="3939"/>
      <c r="O7" s="3939"/>
      <c r="P7" s="3939"/>
      <c r="Q7" s="3940"/>
      <c r="R7" s="1814" t="str">
        <f>结果表!O40</f>
        <v>——</v>
      </c>
    </row>
    <row r="8" spans="1:18">
      <c r="A8" s="3938" t="str">
        <f>IF(项目基本情况!B9="市场价格","——",项目基本情况!E9)</f>
        <v>——</v>
      </c>
      <c r="B8" s="3939"/>
      <c r="C8" s="3939"/>
      <c r="D8" s="3939"/>
      <c r="E8" s="3939"/>
      <c r="F8" s="3939"/>
      <c r="G8" s="3939"/>
      <c r="H8" s="3939"/>
      <c r="I8" s="3939"/>
      <c r="J8" s="3939"/>
      <c r="K8" s="3939"/>
      <c r="L8" s="3939"/>
      <c r="M8" s="3939"/>
      <c r="N8" s="3939"/>
      <c r="O8" s="3939"/>
      <c r="P8" s="3939"/>
      <c r="Q8" s="3940"/>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945" t="s">
        <v>2068</v>
      </c>
      <c r="B1" s="3945"/>
      <c r="C1" s="3945"/>
      <c r="D1" s="3945"/>
    </row>
    <row r="2" spans="1:4" ht="47.25" customHeight="1">
      <c r="A2" s="3949" t="str">
        <f>"1.权利限制："&amp;项目基本情况!L24&amp;"未设定租赁等其他他项权利。"</f>
        <v>1.权利限制：根据估价对象《不动产权证书》原件、《国有土地使用权》复印件，截至估价期日，估价对象抵押权未见登记。未设定租赁等其他他项权利。</v>
      </c>
      <c r="B2" s="3949"/>
      <c r="C2" s="3949"/>
      <c r="D2" s="3949"/>
    </row>
    <row r="3" spans="1:4" ht="48" customHeight="1">
      <c r="A3" s="394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945"/>
      <c r="C3" s="3945"/>
      <c r="D3" s="3945"/>
    </row>
    <row r="4" spans="1:4" ht="36.75" customHeight="1">
      <c r="A4" s="3945" t="str">
        <f>"3.估价规划限制条件：详见"&amp;项目基本情况!E21&amp;"。"</f>
        <v>3.估价规划限制条件：详见《国有建设用地使用权出让合同》[电子监管号：4301212017B00548/4301212017B00550]。</v>
      </c>
      <c r="B4" s="3945"/>
      <c r="C4" s="3945"/>
      <c r="D4" s="3945"/>
    </row>
    <row r="5" spans="1:4">
      <c r="A5" s="3948" t="s">
        <v>2069</v>
      </c>
      <c r="B5" s="3948"/>
      <c r="C5" s="3948"/>
      <c r="D5" s="3948"/>
    </row>
    <row r="6" spans="1:4">
      <c r="A6" s="3945" t="s">
        <v>2047</v>
      </c>
      <c r="B6" s="3945"/>
      <c r="C6" s="3945"/>
      <c r="D6" s="3945"/>
    </row>
    <row r="7" spans="1:4" ht="33" customHeight="1">
      <c r="A7" s="3945" t="s">
        <v>2581</v>
      </c>
      <c r="B7" s="3945"/>
      <c r="C7" s="3945"/>
      <c r="D7" s="3945"/>
    </row>
    <row r="8" spans="1:4" ht="32.25" customHeight="1">
      <c r="A8" s="39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45"/>
      <c r="C8" s="3945"/>
      <c r="D8" s="3945"/>
    </row>
    <row r="9" spans="1:4" ht="33.75" customHeight="1">
      <c r="A9" s="39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45"/>
      <c r="C9" s="3945"/>
      <c r="D9" s="3945"/>
    </row>
    <row r="10" spans="1:4">
      <c r="A10" s="3945" t="str">
        <f>IF(项目基本情况!B8="抵押","4.估价师所知悉的法定优先受偿款情况为：","——")</f>
        <v>4.估价师所知悉的法定优先受偿款情况为：</v>
      </c>
      <c r="B10" s="3945"/>
      <c r="C10" s="3945"/>
      <c r="D10" s="3945"/>
    </row>
    <row r="11" spans="1:4" ht="37.5" customHeight="1">
      <c r="A11" s="3947" t="str">
        <f>IF(项目基本情况!B8="抵押","（1）"&amp;CONCATENATE(项目基本情况!L24,项目基本情况!L25,项目基本情况!L26),"——")</f>
        <v>（1）根据估价对象《不动产权证书》原件、《国有土地使用权》复印件，截至估价期日，估价对象抵押权未见登记。</v>
      </c>
      <c r="B11" s="3947"/>
      <c r="C11" s="3947"/>
      <c r="D11" s="3947"/>
    </row>
    <row r="12" spans="1:4" ht="168" customHeight="1">
      <c r="A12" s="3948" t="s">
        <v>2071</v>
      </c>
      <c r="B12" s="3948"/>
      <c r="C12" s="3948"/>
      <c r="D12" s="3948"/>
    </row>
    <row r="13" spans="1:4">
      <c r="A13" s="3946" t="s">
        <v>2754</v>
      </c>
      <c r="B13" s="3946"/>
      <c r="C13" s="3946"/>
      <c r="D13" s="3946"/>
    </row>
    <row r="14" spans="1:4">
      <c r="A14" s="3947" t="str">
        <f>IF(项目基本情况!B8="抵押","综上，"&amp;结果表!K47,"——")</f>
        <v>综上，本次评估不存在估价师知悉的法定优先受偿款</v>
      </c>
      <c r="B14" s="3947"/>
      <c r="C14" s="3947"/>
      <c r="D14" s="3947"/>
    </row>
    <row r="15" spans="1:4" ht="58.5" customHeight="1">
      <c r="A15" s="39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45"/>
      <c r="C15" s="3945"/>
      <c r="D15" s="3945"/>
    </row>
    <row r="16" spans="1:4" ht="70.5" customHeight="1">
      <c r="A16" s="39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45"/>
      <c r="C16" s="3945"/>
      <c r="D16" s="3945"/>
    </row>
    <row r="17" spans="1:4">
      <c r="A17" s="3945" t="s">
        <v>2710</v>
      </c>
      <c r="B17" s="3945"/>
      <c r="C17" s="3945"/>
      <c r="D17" s="3945"/>
    </row>
    <row r="18" spans="1:4">
      <c r="A18" s="3945" t="s">
        <v>2702</v>
      </c>
      <c r="B18" s="3945"/>
      <c r="C18" s="3945"/>
      <c r="D18" s="3945"/>
    </row>
    <row r="19" spans="1:4">
      <c r="A19" s="2896" t="s">
        <v>2703</v>
      </c>
      <c r="B19" s="2896" t="s">
        <v>2704</v>
      </c>
      <c r="C19" s="2896" t="s">
        <v>2705</v>
      </c>
      <c r="D19" s="2896" t="s">
        <v>2706</v>
      </c>
    </row>
    <row r="20" spans="1:4">
      <c r="A20" s="2896" t="str">
        <f>项目基本情况!B4</f>
        <v>刘梅</v>
      </c>
      <c r="B20" s="2896">
        <f ca="1">项目基本情况!C4</f>
        <v>2008110059</v>
      </c>
      <c r="C20" s="2898"/>
      <c r="D20" s="1802" t="s">
        <v>2711</v>
      </c>
    </row>
    <row r="21" spans="1:4">
      <c r="A21" s="2896" t="str">
        <f>项目基本情况!D4</f>
        <v>吴薇</v>
      </c>
      <c r="B21" s="2896">
        <f ca="1">项目基本情况!E4</f>
        <v>2002110125</v>
      </c>
      <c r="C21" s="2898"/>
      <c r="D21" s="1802" t="s">
        <v>2712</v>
      </c>
    </row>
    <row r="23" spans="1:4">
      <c r="A23" s="3945" t="s">
        <v>2707</v>
      </c>
      <c r="B23" s="3945"/>
      <c r="C23" s="3945"/>
      <c r="D23" s="3945"/>
    </row>
    <row r="24" spans="1:4">
      <c r="A24" s="2896" t="s">
        <v>2703</v>
      </c>
      <c r="B24" s="2896" t="s">
        <v>2708</v>
      </c>
      <c r="C24" s="2896" t="s">
        <v>2705</v>
      </c>
      <c r="D24" s="2896" t="s">
        <v>2706</v>
      </c>
    </row>
    <row r="25" spans="1:4">
      <c r="A25" s="2899" t="s">
        <v>2709</v>
      </c>
      <c r="B25" s="2896" t="s">
        <v>953</v>
      </c>
      <c r="C25" s="2898"/>
      <c r="D25" s="1802" t="s">
        <v>2712</v>
      </c>
    </row>
    <row r="29" spans="1:4">
      <c r="D29" s="2897" t="s">
        <v>2042</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957" t="s">
        <v>53</v>
      </c>
      <c r="B15" s="3958" t="s">
        <v>847</v>
      </c>
      <c r="C15" s="3954"/>
    </row>
    <row r="16" spans="1:7" ht="14.25">
      <c r="A16" s="3957"/>
      <c r="B16" s="3955" t="s">
        <v>54</v>
      </c>
      <c r="C16" s="1172" t="s">
        <v>53</v>
      </c>
    </row>
    <row r="17" spans="1:3" ht="14.25">
      <c r="A17" s="3957"/>
      <c r="B17" s="3955"/>
      <c r="C17" s="1172" t="s">
        <v>55</v>
      </c>
    </row>
    <row r="18" spans="1:3" ht="14.25">
      <c r="A18" s="3957"/>
      <c r="B18" s="3955"/>
      <c r="C18" s="1172" t="s">
        <v>56</v>
      </c>
    </row>
    <row r="19" spans="1:3" ht="14.25">
      <c r="A19" s="3957"/>
      <c r="B19" s="3953" t="s">
        <v>57</v>
      </c>
      <c r="C19" s="3954"/>
    </row>
    <row r="20" spans="1:3" ht="14.25">
      <c r="A20" s="1173" t="s">
        <v>58</v>
      </c>
      <c r="B20" s="1174"/>
      <c r="C20" s="1175"/>
    </row>
    <row r="21" spans="1:3" ht="14.25">
      <c r="A21" s="3956" t="s">
        <v>59</v>
      </c>
      <c r="B21" s="3953" t="s">
        <v>60</v>
      </c>
      <c r="C21" s="3954"/>
    </row>
    <row r="22" spans="1:3" ht="14.25">
      <c r="A22" s="3956"/>
      <c r="B22" s="3953" t="s">
        <v>61</v>
      </c>
      <c r="C22" s="3954"/>
    </row>
    <row r="23" spans="1:3" ht="14.25">
      <c r="A23" s="3956"/>
      <c r="B23" s="3953" t="s">
        <v>62</v>
      </c>
      <c r="C23" s="3954"/>
    </row>
    <row r="24" spans="1:3" ht="14.25">
      <c r="A24" s="3956"/>
      <c r="B24" s="3959" t="s">
        <v>63</v>
      </c>
      <c r="C24" s="1176" t="s">
        <v>838</v>
      </c>
    </row>
    <row r="25" spans="1:3" ht="14.25">
      <c r="A25" s="3956"/>
      <c r="B25" s="3960"/>
      <c r="C25" s="1176" t="s">
        <v>839</v>
      </c>
    </row>
    <row r="26" spans="1:3" ht="14.25">
      <c r="A26" s="3956"/>
      <c r="B26" s="3960"/>
      <c r="C26" s="1176" t="s">
        <v>840</v>
      </c>
    </row>
    <row r="27" spans="1:3" ht="14.25">
      <c r="A27" s="3956"/>
      <c r="B27" s="3960"/>
      <c r="C27" s="1176" t="s">
        <v>841</v>
      </c>
    </row>
    <row r="28" spans="1:3" ht="14.25">
      <c r="A28" s="3956"/>
      <c r="B28" s="3960"/>
      <c r="C28" s="1176" t="s">
        <v>842</v>
      </c>
    </row>
    <row r="29" spans="1:3" ht="14.25">
      <c r="A29" s="3956"/>
      <c r="B29" s="3960"/>
      <c r="C29" s="1176" t="s">
        <v>843</v>
      </c>
    </row>
    <row r="30" spans="1:3" ht="14.25">
      <c r="A30" s="3956"/>
      <c r="B30" s="3960"/>
      <c r="C30" s="1176" t="s">
        <v>844</v>
      </c>
    </row>
    <row r="31" spans="1:3" ht="14.25">
      <c r="A31" s="3956"/>
      <c r="B31" s="3960"/>
      <c r="C31" s="1176" t="s">
        <v>845</v>
      </c>
    </row>
    <row r="32" spans="1:3" ht="14.25">
      <c r="A32" s="3956"/>
      <c r="B32" s="3960"/>
      <c r="C32" s="1176" t="s">
        <v>1648</v>
      </c>
    </row>
    <row r="33" spans="1:3" ht="14.25">
      <c r="A33" s="3956"/>
      <c r="B33" s="3950" t="s">
        <v>1654</v>
      </c>
      <c r="C33" s="1176" t="s">
        <v>1649</v>
      </c>
    </row>
    <row r="34" spans="1:3" ht="14.25">
      <c r="A34" s="3956"/>
      <c r="B34" s="3951"/>
      <c r="C34" s="1181" t="s">
        <v>1650</v>
      </c>
    </row>
    <row r="35" spans="1:3" ht="14.25">
      <c r="A35" s="3956"/>
      <c r="B35" s="3951"/>
      <c r="C35" s="1182" t="s">
        <v>1651</v>
      </c>
    </row>
    <row r="36" spans="1:3" ht="14.25">
      <c r="A36" s="3956"/>
      <c r="B36" s="3951"/>
      <c r="C36" s="1182" t="s">
        <v>1652</v>
      </c>
    </row>
    <row r="37" spans="1:3" ht="14.25">
      <c r="A37" s="3956"/>
      <c r="B37" s="3952"/>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43068</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2580</v>
      </c>
      <c r="B15" s="2345">
        <v>1120070085</v>
      </c>
      <c r="C15" s="3033">
        <v>43814</v>
      </c>
      <c r="D15" s="2345" t="s">
        <v>2580</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2056</v>
      </c>
      <c r="B24" s="2347" t="s">
        <v>2056</v>
      </c>
      <c r="C24" s="3033"/>
      <c r="D24" s="3035" t="s">
        <v>2056</v>
      </c>
      <c r="E24" s="2347" t="s">
        <v>2056</v>
      </c>
      <c r="F24" s="2348"/>
    </row>
    <row r="25" spans="1:7" ht="20.25" customHeight="1">
      <c r="A25" s="3961" t="s">
        <v>1930</v>
      </c>
      <c r="B25" s="3961"/>
      <c r="C25" s="3961"/>
      <c r="D25" s="3961"/>
      <c r="E25" s="3961"/>
      <c r="F25" s="3961"/>
      <c r="G25" s="3961"/>
    </row>
    <row r="26" spans="1:7" ht="20.25" customHeight="1">
      <c r="A26" s="3962" t="s">
        <v>1931</v>
      </c>
      <c r="B26" s="3962"/>
      <c r="C26" s="3962"/>
      <c r="D26" s="3962" t="s">
        <v>1932</v>
      </c>
      <c r="E26" s="3962"/>
      <c r="F26" s="3962"/>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31" priority="71">
      <formula>AND($C24-TODAY()&lt;30,TODAY()&lt;$C24)</formula>
    </cfRule>
  </conditionalFormatting>
  <conditionalFormatting sqref="C28">
    <cfRule type="expression" dxfId="230" priority="70">
      <formula>AND($C28-TODAY()&lt;30,TODAY()&lt;$C28)</formula>
    </cfRule>
  </conditionalFormatting>
  <conditionalFormatting sqref="C28 F4">
    <cfRule type="cellIs" dxfId="229" priority="72" stopIfTrue="1" operator="lessThan">
      <formula>$B$2</formula>
    </cfRule>
  </conditionalFormatting>
  <conditionalFormatting sqref="F5">
    <cfRule type="cellIs" dxfId="228" priority="68" stopIfTrue="1" operator="lessThan">
      <formula>$B$2</formula>
    </cfRule>
  </conditionalFormatting>
  <conditionalFormatting sqref="F6 F8 F10">
    <cfRule type="cellIs" dxfId="227" priority="66" stopIfTrue="1" operator="lessThan">
      <formula>$B$2</formula>
    </cfRule>
  </conditionalFormatting>
  <conditionalFormatting sqref="C24:D24">
    <cfRule type="expression" dxfId="226" priority="64">
      <formula>AND($C24-TODAY()&lt;30,TODAY()&lt;$C24)</formula>
    </cfRule>
  </conditionalFormatting>
  <conditionalFormatting sqref="F7 F9 F11 C24:D24">
    <cfRule type="cellIs" dxfId="225" priority="65" stopIfTrue="1" operator="lessThan">
      <formula>$B$2</formula>
    </cfRule>
  </conditionalFormatting>
  <conditionalFormatting sqref="F16">
    <cfRule type="cellIs" dxfId="224" priority="38" stopIfTrue="1" operator="lessThan">
      <formula>$B$2</formula>
    </cfRule>
  </conditionalFormatting>
  <conditionalFormatting sqref="F18">
    <cfRule type="cellIs" dxfId="223" priority="37" stopIfTrue="1" operator="lessThan">
      <formula>$B$2</formula>
    </cfRule>
  </conditionalFormatting>
  <conditionalFormatting sqref="F22">
    <cfRule type="cellIs" dxfId="222" priority="36" stopIfTrue="1" operator="lessThan">
      <formula>$B$2</formula>
    </cfRule>
  </conditionalFormatting>
  <conditionalFormatting sqref="F21">
    <cfRule type="cellIs" dxfId="221" priority="35" stopIfTrue="1" operator="lessThan">
      <formula>$B$2</formula>
    </cfRule>
  </conditionalFormatting>
  <conditionalFormatting sqref="F17">
    <cfRule type="cellIs" dxfId="220" priority="34" stopIfTrue="1" operator="lessThan">
      <formula>$B$2</formula>
    </cfRule>
  </conditionalFormatting>
  <conditionalFormatting sqref="B4:B14 E4:E14 E16:E23 B16:B23">
    <cfRule type="cellIs" dxfId="219" priority="33" stopIfTrue="1" operator="equal">
      <formula>"已过期"</formula>
    </cfRule>
  </conditionalFormatting>
  <conditionalFormatting sqref="F28">
    <cfRule type="cellIs" dxfId="218" priority="30" stopIfTrue="1" operator="lessThan">
      <formula>$B$2</formula>
    </cfRule>
  </conditionalFormatting>
  <conditionalFormatting sqref="F29">
    <cfRule type="cellIs" dxfId="217" priority="28" stopIfTrue="1" operator="lessThan">
      <formula>$B$2</formula>
    </cfRule>
  </conditionalFormatting>
  <conditionalFormatting sqref="F28">
    <cfRule type="expression" dxfId="216" priority="74">
      <formula>AND($E28-TODAY()&lt;30,TODAY()&lt;$E28)</formula>
    </cfRule>
  </conditionalFormatting>
  <conditionalFormatting sqref="F29">
    <cfRule type="expression" dxfId="215" priority="75" stopIfTrue="1">
      <formula>AND($E29-TODAY()&lt;30,TODAY()&lt;$E29)</formula>
    </cfRule>
  </conditionalFormatting>
  <conditionalFormatting sqref="C5">
    <cfRule type="expression" dxfId="214" priority="25">
      <formula>AND($C5-TODAY()&lt;30,TODAY()&lt;$C5)</formula>
    </cfRule>
  </conditionalFormatting>
  <conditionalFormatting sqref="C5">
    <cfRule type="cellIs" dxfId="213" priority="26" stopIfTrue="1" operator="lessThan">
      <formula>$B$2</formula>
    </cfRule>
  </conditionalFormatting>
  <conditionalFormatting sqref="C4:C6">
    <cfRule type="expression" dxfId="212" priority="23">
      <formula>AND($C4-TODAY()&lt;30,TODAY()&lt;$C4)</formula>
    </cfRule>
  </conditionalFormatting>
  <conditionalFormatting sqref="C4:C6">
    <cfRule type="cellIs" dxfId="211" priority="24" stopIfTrue="1" operator="lessThan">
      <formula>$B$2</formula>
    </cfRule>
  </conditionalFormatting>
  <conditionalFormatting sqref="C8:C9">
    <cfRule type="expression" dxfId="210" priority="21">
      <formula>AND($C8-TODAY()&lt;30,TODAY()&lt;$C8)</formula>
    </cfRule>
  </conditionalFormatting>
  <conditionalFormatting sqref="C8:C9">
    <cfRule type="cellIs" dxfId="209" priority="22" stopIfTrue="1" operator="lessThan">
      <formula>$B$2</formula>
    </cfRule>
  </conditionalFormatting>
  <conditionalFormatting sqref="B15 E15">
    <cfRule type="cellIs" dxfId="208" priority="9" stopIfTrue="1" operator="equal">
      <formula>"已过期"</formula>
    </cfRule>
  </conditionalFormatting>
  <conditionalFormatting sqref="F15">
    <cfRule type="cellIs" dxfId="207" priority="6" stopIfTrue="1" operator="lessThan">
      <formula>$B$2</formula>
    </cfRule>
  </conditionalFormatting>
  <conditionalFormatting sqref="C7">
    <cfRule type="expression" dxfId="206" priority="4">
      <formula>AND($C7-TODAY()&lt;30,TODAY()&lt;$C7)</formula>
    </cfRule>
  </conditionalFormatting>
  <conditionalFormatting sqref="C7">
    <cfRule type="cellIs" dxfId="205" priority="5" stopIfTrue="1" operator="lessThan">
      <formula>$B$2</formula>
    </cfRule>
  </conditionalFormatting>
  <conditionalFormatting sqref="C10:C23">
    <cfRule type="expression" dxfId="204" priority="2">
      <formula>AND($C10-TODAY()&lt;30,TODAY()&lt;$C10)</formula>
    </cfRule>
  </conditionalFormatting>
  <conditionalFormatting sqref="C10:C23">
    <cfRule type="cellIs" dxfId="203" priority="3" stopIfTrue="1" operator="lessThan">
      <formula>$B$2</formula>
    </cfRule>
  </conditionalFormatting>
  <conditionalFormatting sqref="F13">
    <cfRule type="cellIs" dxfId="20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2551</v>
      </c>
      <c r="R1" s="2608" t="s">
        <v>2545</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2546</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2547</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2548</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2549</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2550</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2963</v>
      </c>
      <c r="C18" s="1555"/>
    </row>
    <row r="19" spans="1:3">
      <c r="A19" s="8" t="s">
        <v>120</v>
      </c>
      <c r="B19" s="3143" t="s">
        <v>2971</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金光华暮云房地产开发有限公司拟使用出让国有建设用地使用权作为抵押担保物，向大业信托有限公司办理贷款手续。大业信托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963"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24日，在规划利用条件下、设定土地开发程度为红线外“七通”、宗地内场地平整，设定用途为住宅、商业，剩余土地使用年限为住宅70年、商业50年的出让国有建设用地使用权价格。</v>
      </c>
      <c r="D53" s="1769"/>
      <c r="E53" s="1769"/>
    </row>
    <row r="54" spans="1:5">
      <c r="A54" s="3963"/>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963"/>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963"/>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963"/>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164</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(2)</vt:lpstr>
      <vt:lpstr>不动产比较法-商业 (2)</vt:lpstr>
      <vt:lpstr>剩余法-现房</vt:lpstr>
      <vt:lpstr>比较法-住宅、综合 (2)</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 (2)'!Print_Area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'比较法-住宅、综合 (2)'!套工交易情况</vt:lpstr>
      <vt:lpstr>套工交易情况</vt:lpstr>
      <vt:lpstr>套工土地级别</vt:lpstr>
      <vt:lpstr>套工用途</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2017-11-29T02:10:45Z</dcterms:modified>
</cp:coreProperties>
</file>