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2022\项目\荣华南路底商\过程\"/>
    </mc:Choice>
  </mc:AlternateContent>
  <xr:revisionPtr revIDLastSave="0" documentId="13_ncr:1_{59B4DDDA-82D6-442A-8313-9F575E52F7C3}" xr6:coauthVersionLast="47" xr6:coauthVersionMax="47" xr10:uidLastSave="{00000000-0000-0000-0000-000000000000}"/>
  <bookViews>
    <workbookView xWindow="-108" yWindow="-108" windowWidth="23256" windowHeight="12576" tabRatio="885" firstSheet="7" activeTab="11" xr2:uid="{00000000-000D-0000-FFFF-FFFF00000000}"/>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Sheet1" sheetId="64"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7" i="33" l="1"/>
  <c r="B40" i="1" l="1"/>
  <c r="E20" i="1"/>
  <c r="C38" i="1"/>
  <c r="I47" i="33"/>
  <c r="E36" i="33"/>
  <c r="D104" i="33"/>
  <c r="E104" i="33" s="1"/>
  <c r="F104" i="33" s="1"/>
  <c r="G104" i="33" s="1"/>
  <c r="H104" i="33" s="1"/>
  <c r="C33" i="33"/>
  <c r="F7" i="64" l="1"/>
  <c r="C36" i="33"/>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10" i="59"/>
  <c r="AG10" i="59"/>
  <c r="AE10" i="59"/>
  <c r="AF10" i="59" s="1"/>
  <c r="AD10" i="59"/>
  <c r="Q10" i="59"/>
  <c r="P10" i="59"/>
  <c r="O10" i="59"/>
  <c r="N10" i="59"/>
  <c r="D7" i="63" l="1"/>
  <c r="C26" i="63" s="1"/>
  <c r="C32" i="63"/>
  <c r="C38" i="63" s="1"/>
  <c r="C39" i="63" s="1"/>
  <c r="R25" i="63"/>
  <c r="R19" i="63"/>
  <c r="E26" i="63"/>
  <c r="E38" i="63"/>
  <c r="E39" i="63" s="1"/>
  <c r="C40" i="63" s="1"/>
  <c r="E29" i="63"/>
  <c r="AH11" i="59"/>
  <c r="AG11" i="59"/>
  <c r="AE11" i="59"/>
  <c r="AF11" i="59" s="1"/>
  <c r="AD11" i="59"/>
  <c r="Q11" i="59"/>
  <c r="P11" i="59"/>
  <c r="O11" i="59"/>
  <c r="N11" i="59"/>
  <c r="E32" i="63" l="1"/>
  <c r="R5" i="63"/>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E25" i="59" s="1"/>
  <c r="E24" i="59" s="1"/>
  <c r="E23" i="59" s="1"/>
  <c r="E22" i="59" s="1"/>
  <c r="E21" i="59" s="1"/>
  <c r="E20" i="59" s="1"/>
  <c r="E19" i="59" s="1"/>
  <c r="E18" i="59" s="1"/>
  <c r="E17" i="59" s="1"/>
  <c r="O25" i="59"/>
  <c r="C25" i="59" s="1"/>
  <c r="C24" i="59" s="1"/>
  <c r="D24" i="59" s="1"/>
  <c r="N25" i="59"/>
  <c r="Q26" i="59"/>
  <c r="P26" i="59"/>
  <c r="O26" i="59"/>
  <c r="N26" i="59"/>
  <c r="D26" i="59"/>
  <c r="A2" i="50"/>
  <c r="B16" i="60" s="1"/>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s="1"/>
  <c r="AF9" i="43"/>
  <c r="AF10" i="43" s="1"/>
  <c r="AF12" i="43"/>
  <c r="AE9" i="43"/>
  <c r="AE12" i="43" s="1"/>
  <c r="AD9" i="43"/>
  <c r="AD12" i="43" s="1"/>
  <c r="AC9" i="43"/>
  <c r="AC10" i="43" s="1"/>
  <c r="AB9" i="43"/>
  <c r="AB12" i="43" s="1"/>
  <c r="AA9" i="43"/>
  <c r="AA10" i="43" s="1"/>
  <c r="Z9" i="43"/>
  <c r="Z12" i="43" s="1"/>
  <c r="AI10" i="43"/>
  <c r="Z10" i="43"/>
  <c r="L51" i="57"/>
  <c r="L49" i="9"/>
  <c r="F112" i="57"/>
  <c r="A116" i="57"/>
  <c r="A129" i="57" s="1"/>
  <c r="A112" i="9"/>
  <c r="A125" i="9" s="1"/>
  <c r="A8" i="52" s="1"/>
  <c r="B65" i="60" s="1"/>
  <c r="F110" i="9"/>
  <c r="F116" i="57"/>
  <c r="A133" i="57" s="1"/>
  <c r="A120" i="57"/>
  <c r="A116" i="9"/>
  <c r="F114" i="57"/>
  <c r="A118" i="57"/>
  <c r="A131" i="57" s="1"/>
  <c r="A114" i="9"/>
  <c r="A127" i="9" s="1"/>
  <c r="F114" i="9"/>
  <c r="A129" i="9" s="1"/>
  <c r="F112" i="9"/>
  <c r="B18" i="50" s="1"/>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c r="B87" i="59" s="1"/>
  <c r="D86" i="59"/>
  <c r="F85" i="59"/>
  <c r="E85" i="59"/>
  <c r="E84" i="59" s="1"/>
  <c r="E83" i="59" s="1"/>
  <c r="C85" i="59"/>
  <c r="C84" i="59" s="1"/>
  <c r="D85" i="59"/>
  <c r="B85" i="59"/>
  <c r="B84" i="59" s="1"/>
  <c r="B83" i="59" s="1"/>
  <c r="F84" i="59"/>
  <c r="F83" i="59" s="1"/>
  <c r="D82" i="59"/>
  <c r="Q81" i="59"/>
  <c r="P81" i="59"/>
  <c r="O81" i="59"/>
  <c r="N81" i="59"/>
  <c r="F81" i="59"/>
  <c r="F80" i="59" s="1"/>
  <c r="F79" i="59" s="1"/>
  <c r="E81" i="59"/>
  <c r="U81" i="59" s="1"/>
  <c r="C81" i="59"/>
  <c r="C80" i="59" s="1"/>
  <c r="D80" i="59" s="1"/>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T77" i="59" s="1"/>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F69" i="59"/>
  <c r="V69" i="59" s="1"/>
  <c r="E69" i="59"/>
  <c r="E68" i="59" s="1"/>
  <c r="C69" i="59"/>
  <c r="T69" i="59" s="1"/>
  <c r="B69" i="59"/>
  <c r="N69" i="59" s="1"/>
  <c r="D66" i="59"/>
  <c r="Q65" i="59"/>
  <c r="P65" i="59"/>
  <c r="O65" i="59"/>
  <c r="N65" i="59"/>
  <c r="Q64" i="59"/>
  <c r="P64" i="59"/>
  <c r="O64" i="59"/>
  <c r="N64" i="59"/>
  <c r="Q63" i="59"/>
  <c r="P63" i="59"/>
  <c r="O63" i="59"/>
  <c r="N63" i="59"/>
  <c r="Q62" i="59"/>
  <c r="F63" i="59" s="1"/>
  <c r="P62" i="59"/>
  <c r="E63" i="59" s="1"/>
  <c r="O62" i="59"/>
  <c r="C63" i="59" s="1"/>
  <c r="N62" i="59"/>
  <c r="B63" i="59" s="1"/>
  <c r="B64"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Q50" i="59"/>
  <c r="F51" i="59" s="1"/>
  <c r="F52" i="59" s="1"/>
  <c r="F53" i="59" s="1"/>
  <c r="V53" i="59" s="1"/>
  <c r="P50" i="59"/>
  <c r="E51" i="59" s="1"/>
  <c r="O50" i="59"/>
  <c r="C51" i="59" s="1"/>
  <c r="C52" i="59" s="1"/>
  <c r="N50" i="59"/>
  <c r="B51" i="59" s="1"/>
  <c r="B52" i="59" s="1"/>
  <c r="B53" i="59" s="1"/>
  <c r="S53" i="59" s="1"/>
  <c r="D50" i="59"/>
  <c r="T49" i="59"/>
  <c r="Q49" i="59"/>
  <c r="P49" i="59"/>
  <c r="O49" i="59"/>
  <c r="N49" i="59"/>
  <c r="D49" i="59"/>
  <c r="Q48" i="59"/>
  <c r="P48" i="59"/>
  <c r="O48" i="59"/>
  <c r="N48" i="59"/>
  <c r="Q47" i="59"/>
  <c r="P47" i="59"/>
  <c r="O47" i="59"/>
  <c r="N47" i="59"/>
  <c r="Q46" i="59"/>
  <c r="F47" i="59" s="1"/>
  <c r="P46" i="59"/>
  <c r="E47" i="59" s="1"/>
  <c r="O46" i="59"/>
  <c r="C47" i="59" s="1"/>
  <c r="N46" i="59"/>
  <c r="B47" i="59" s="1"/>
  <c r="B48"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P40" i="59"/>
  <c r="AA40" i="59"/>
  <c r="O40" i="59"/>
  <c r="Y40" i="59" s="1"/>
  <c r="Z40" i="59" s="1"/>
  <c r="N40" i="59"/>
  <c r="Q39" i="59"/>
  <c r="P39" i="59"/>
  <c r="O39" i="59"/>
  <c r="N39" i="59"/>
  <c r="Q38" i="59"/>
  <c r="F39" i="59" s="1"/>
  <c r="P38" i="59"/>
  <c r="E39" i="59" s="1"/>
  <c r="O38" i="59"/>
  <c r="C39" i="59"/>
  <c r="C40" i="59" s="1"/>
  <c r="N38" i="59"/>
  <c r="D38" i="59"/>
  <c r="Q37" i="59"/>
  <c r="P37" i="59"/>
  <c r="O37" i="59"/>
  <c r="N37" i="59"/>
  <c r="Q36" i="59"/>
  <c r="P36" i="59"/>
  <c r="O36" i="59"/>
  <c r="N36" i="59"/>
  <c r="Q35" i="59"/>
  <c r="P35" i="59"/>
  <c r="AA35" i="59" s="1"/>
  <c r="O35" i="59"/>
  <c r="N35" i="59"/>
  <c r="Q34" i="59"/>
  <c r="F35" i="59" s="1"/>
  <c r="P34" i="59"/>
  <c r="O34" i="59"/>
  <c r="N34" i="59"/>
  <c r="B35" i="59" s="1"/>
  <c r="D34" i="59"/>
  <c r="Q33" i="59"/>
  <c r="P33" i="59"/>
  <c r="O33" i="59"/>
  <c r="N33" i="59"/>
  <c r="X33" i="59" s="1"/>
  <c r="Q32" i="59"/>
  <c r="P32" i="59"/>
  <c r="O32" i="59"/>
  <c r="N32" i="59"/>
  <c r="Q31" i="59"/>
  <c r="P31" i="59"/>
  <c r="O31" i="59"/>
  <c r="N31" i="59"/>
  <c r="Q30" i="59"/>
  <c r="F31" i="59" s="1"/>
  <c r="P30" i="59"/>
  <c r="O30" i="59"/>
  <c r="C31" i="59"/>
  <c r="D31" i="59" s="1"/>
  <c r="N30" i="59"/>
  <c r="B31" i="59" s="1"/>
  <c r="B32" i="59" s="1"/>
  <c r="D30" i="59"/>
  <c r="O29" i="59"/>
  <c r="N29" i="59"/>
  <c r="B29" i="59" s="1"/>
  <c r="P29" i="59"/>
  <c r="Q29" i="59"/>
  <c r="F29" i="59" s="1"/>
  <c r="C72" i="59"/>
  <c r="D72" i="59" s="1"/>
  <c r="C76" i="59"/>
  <c r="D76" i="59" s="1"/>
  <c r="E29" i="59"/>
  <c r="E28" i="59" s="1"/>
  <c r="E27" i="59" s="1"/>
  <c r="C71" i="59"/>
  <c r="D71" i="59" s="1"/>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Q21" i="33"/>
  <c r="Z21" i="33" s="1"/>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0" i="43" s="1"/>
  <c r="K99" i="43"/>
  <c r="K100" i="43" s="1"/>
  <c r="J99" i="43"/>
  <c r="J100" i="43" s="1"/>
  <c r="J108" i="43"/>
  <c r="I99" i="43"/>
  <c r="I100" i="43" s="1"/>
  <c r="H99" i="43"/>
  <c r="H108" i="43" s="1"/>
  <c r="G99" i="43"/>
  <c r="G108" i="43"/>
  <c r="F99" i="43"/>
  <c r="F108" i="43"/>
  <c r="E99" i="43"/>
  <c r="E100" i="43" s="1"/>
  <c r="D99" i="43"/>
  <c r="D100" i="43" s="1"/>
  <c r="C99" i="43"/>
  <c r="C100" i="43" s="1"/>
  <c r="C108" i="43"/>
  <c r="G100" i="43"/>
  <c r="F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c r="K73" i="43"/>
  <c r="J73" i="43" s="1"/>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s="1"/>
  <c r="R170" i="31"/>
  <c r="T170" i="31" s="1"/>
  <c r="R171" i="31"/>
  <c r="T171" i="31" s="1"/>
  <c r="R172" i="31"/>
  <c r="T172" i="31" s="1"/>
  <c r="R173" i="31"/>
  <c r="T173" i="31"/>
  <c r="R174" i="31"/>
  <c r="T174" i="31" s="1"/>
  <c r="R175" i="31"/>
  <c r="T175" i="31" s="1"/>
  <c r="R176" i="31"/>
  <c r="T176" i="31"/>
  <c r="R177" i="31"/>
  <c r="T177" i="31"/>
  <c r="R178" i="31"/>
  <c r="T178" i="31" s="1"/>
  <c r="R179" i="31"/>
  <c r="T179" i="31" s="1"/>
  <c r="R180" i="31"/>
  <c r="T180" i="31" s="1"/>
  <c r="R181" i="31"/>
  <c r="T181" i="31"/>
  <c r="R182" i="31"/>
  <c r="T182" i="31" s="1"/>
  <c r="R183" i="31"/>
  <c r="T183" i="31"/>
  <c r="R184" i="31"/>
  <c r="T184" i="31" s="1"/>
  <c r="R185" i="31"/>
  <c r="T185" i="31" s="1"/>
  <c r="R186" i="31"/>
  <c r="T186" i="31" s="1"/>
  <c r="R187" i="31"/>
  <c r="T187" i="31" s="1"/>
  <c r="R188" i="31"/>
  <c r="T188" i="31" s="1"/>
  <c r="R189" i="31"/>
  <c r="T189" i="31"/>
  <c r="R190" i="31"/>
  <c r="T190" i="3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c r="R203" i="31"/>
  <c r="T203" i="31" s="1"/>
  <c r="R204" i="31"/>
  <c r="T204" i="31" s="1"/>
  <c r="R205" i="31"/>
  <c r="T205" i="31"/>
  <c r="R206" i="31"/>
  <c r="T206" i="31"/>
  <c r="R207" i="31"/>
  <c r="T207" i="31" s="1"/>
  <c r="R208" i="31"/>
  <c r="T208" i="31" s="1"/>
  <c r="R209" i="31"/>
  <c r="T209" i="31"/>
  <c r="R210" i="31"/>
  <c r="T210" i="31" s="1"/>
  <c r="R211" i="31"/>
  <c r="T211" i="31" s="1"/>
  <c r="R212" i="31"/>
  <c r="T212" i="31" s="1"/>
  <c r="R213" i="31"/>
  <c r="T213" i="31"/>
  <c r="R214" i="31"/>
  <c r="T214" i="31" s="1"/>
  <c r="R215" i="31"/>
  <c r="T215" i="31"/>
  <c r="R216" i="31"/>
  <c r="T216" i="31" s="1"/>
  <c r="R217" i="31"/>
  <c r="T217" i="31" s="1"/>
  <c r="R218" i="31"/>
  <c r="T218" i="31"/>
  <c r="R219" i="31"/>
  <c r="T219" i="31" s="1"/>
  <c r="R220" i="31"/>
  <c r="T220" i="31" s="1"/>
  <c r="R221" i="31"/>
  <c r="T221" i="31" s="1"/>
  <c r="R222" i="31"/>
  <c r="T222" i="31" s="1"/>
  <c r="R223" i="31"/>
  <c r="T223" i="31"/>
  <c r="R224" i="31"/>
  <c r="T224" i="31" s="1"/>
  <c r="R225" i="31"/>
  <c r="T225" i="31" s="1"/>
  <c r="R226" i="31"/>
  <c r="T226" i="31"/>
  <c r="R227" i="31"/>
  <c r="T227" i="31" s="1"/>
  <c r="R228" i="31"/>
  <c r="T228" i="31" s="1"/>
  <c r="R229" i="31"/>
  <c r="T229" i="31" s="1"/>
  <c r="R230" i="31"/>
  <c r="T230" i="31" s="1"/>
  <c r="R231" i="31"/>
  <c r="T231" i="31"/>
  <c r="R232" i="31"/>
  <c r="T232" i="31" s="1"/>
  <c r="R233" i="31"/>
  <c r="T233" i="31" s="1"/>
  <c r="R234" i="31"/>
  <c r="T234" i="31" s="1"/>
  <c r="R235" i="31"/>
  <c r="T235" i="31" s="1"/>
  <c r="R236" i="31"/>
  <c r="T236" i="31" s="1"/>
  <c r="R237" i="31"/>
  <c r="T237" i="31" s="1"/>
  <c r="R238" i="31"/>
  <c r="T238" i="31" s="1"/>
  <c r="R239" i="31"/>
  <c r="T239" i="31"/>
  <c r="R240" i="31"/>
  <c r="T240" i="31" s="1"/>
  <c r="R241" i="31"/>
  <c r="T241" i="31" s="1"/>
  <c r="R242" i="31"/>
  <c r="T242" i="31"/>
  <c r="R243" i="31"/>
  <c r="T243" i="31" s="1"/>
  <c r="R244" i="31"/>
  <c r="T244" i="31"/>
  <c r="R245" i="31"/>
  <c r="T245" i="31"/>
  <c r="R246" i="31"/>
  <c r="T246" i="31" s="1"/>
  <c r="R247" i="31"/>
  <c r="T247" i="31" s="1"/>
  <c r="R248" i="31"/>
  <c r="T248" i="31" s="1"/>
  <c r="R249" i="31"/>
  <c r="T249" i="31" s="1"/>
  <c r="R250" i="31"/>
  <c r="T250" i="31" s="1"/>
  <c r="R251" i="31"/>
  <c r="T251" i="31" s="1"/>
  <c r="R252" i="31"/>
  <c r="T252" i="31" s="1"/>
  <c r="R253" i="31"/>
  <c r="T253" i="31" s="1"/>
  <c r="R254" i="31"/>
  <c r="T254" i="31" s="1"/>
  <c r="R255" i="31"/>
  <c r="T255" i="31"/>
  <c r="R256" i="31"/>
  <c r="T256" i="31" s="1"/>
  <c r="R257" i="31"/>
  <c r="T257" i="3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c r="L8" i="47"/>
  <c r="M8" i="47" s="1"/>
  <c r="J9" i="47"/>
  <c r="I9" i="47" s="1"/>
  <c r="L9" i="47"/>
  <c r="M9" i="47" s="1"/>
  <c r="J10" i="47"/>
  <c r="I10" i="47"/>
  <c r="D10" i="47" s="1"/>
  <c r="L10" i="47"/>
  <c r="M10" i="47" s="1"/>
  <c r="J11" i="47"/>
  <c r="I11" i="47" s="1"/>
  <c r="L11" i="47"/>
  <c r="M11" i="47"/>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AC30" i="36" s="1"/>
  <c r="H30" i="36"/>
  <c r="U30" i="36" s="1"/>
  <c r="F30" i="36"/>
  <c r="AA30" i="36" s="1"/>
  <c r="C79" i="35"/>
  <c r="F26" i="35" s="1"/>
  <c r="AA26" i="35" s="1"/>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AA40" i="33" s="1"/>
  <c r="J41" i="33"/>
  <c r="W41" i="33" s="1"/>
  <c r="D113" i="33"/>
  <c r="E113" i="33" s="1"/>
  <c r="F113" i="33" s="1"/>
  <c r="G113" i="33" s="1"/>
  <c r="H113" i="33" s="1"/>
  <c r="I113" i="33" s="1"/>
  <c r="J113" i="33" s="1"/>
  <c r="K113" i="33" s="1"/>
  <c r="L113" i="33" s="1"/>
  <c r="M113" i="33" s="1"/>
  <c r="D111" i="33"/>
  <c r="E111" i="33" s="1"/>
  <c r="F111" i="33" s="1"/>
  <c r="S518" i="31"/>
  <c r="S519"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F33" i="40" s="1"/>
  <c r="AA33" i="40" s="1"/>
  <c r="B102" i="40"/>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H13" i="40" s="1"/>
  <c r="U13" i="40" s="1"/>
  <c r="B76" i="40"/>
  <c r="J12" i="40"/>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D98" i="39"/>
  <c r="E98" i="39" s="1"/>
  <c r="F98" i="39" s="1"/>
  <c r="G98" i="39" s="1"/>
  <c r="Q39" i="39"/>
  <c r="Z39" i="39" s="1"/>
  <c r="Q40" i="39"/>
  <c r="Z40" i="39" s="1"/>
  <c r="Q41" i="39"/>
  <c r="Z41" i="39" s="1"/>
  <c r="Q42" i="39"/>
  <c r="Z42" i="39" s="1"/>
  <c r="Q43" i="39"/>
  <c r="Z43" i="39" s="1"/>
  <c r="Q44" i="39"/>
  <c r="Z44" i="39"/>
  <c r="Q45" i="39"/>
  <c r="Z45" i="39" s="1"/>
  <c r="Q38" i="39"/>
  <c r="Z38" i="39" s="1"/>
  <c r="Q36" i="39"/>
  <c r="Z36" i="39" s="1"/>
  <c r="Q37" i="39"/>
  <c r="Z37" i="39" s="1"/>
  <c r="M115" i="39"/>
  <c r="L115" i="39"/>
  <c r="K115" i="39"/>
  <c r="J115" i="39"/>
  <c r="I115" i="39"/>
  <c r="H115" i="39"/>
  <c r="G115" i="39"/>
  <c r="F115" i="39"/>
  <c r="E115" i="39"/>
  <c r="D115" i="39"/>
  <c r="C115" i="39"/>
  <c r="B130" i="39"/>
  <c r="J45" i="39" s="1"/>
  <c r="W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F31" i="39" s="1"/>
  <c r="AA31" i="39" s="1"/>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F25" i="37" s="1"/>
  <c r="AA25" i="37" s="1"/>
  <c r="B110" i="37"/>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U28" i="37" s="1"/>
  <c r="B84" i="37"/>
  <c r="B82" i="37"/>
  <c r="H26" i="37" s="1"/>
  <c r="D79" i="37"/>
  <c r="E79" i="37" s="1"/>
  <c r="F79" i="37" s="1"/>
  <c r="G79" i="37" s="1"/>
  <c r="D75" i="37"/>
  <c r="E75" i="37" s="1"/>
  <c r="F75" i="37" s="1"/>
  <c r="D73" i="37"/>
  <c r="E73" i="37" s="1"/>
  <c r="F73" i="37" s="1"/>
  <c r="G73" i="37" s="1"/>
  <c r="J17" i="37"/>
  <c r="D71" i="37"/>
  <c r="E71" i="37" s="1"/>
  <c r="F71" i="37" s="1"/>
  <c r="G71" i="37" s="1"/>
  <c r="B68" i="37"/>
  <c r="H14" i="37" s="1"/>
  <c r="AB14" i="37" s="1"/>
  <c r="B66" i="37"/>
  <c r="F13" i="37" s="1"/>
  <c r="S13" i="37" s="1"/>
  <c r="B64" i="37"/>
  <c r="H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H9" i="37" s="1"/>
  <c r="P43" i="37"/>
  <c r="P42" i="37"/>
  <c r="V41" i="37"/>
  <c r="T41" i="37"/>
  <c r="R41" i="37"/>
  <c r="P41" i="37"/>
  <c r="Q40" i="37"/>
  <c r="Z40" i="37" s="1"/>
  <c r="Q39" i="37"/>
  <c r="Z39" i="37" s="1"/>
  <c r="Q38" i="37"/>
  <c r="Z38" i="37" s="1"/>
  <c r="Q37" i="37"/>
  <c r="Z37" i="37"/>
  <c r="Q36" i="37"/>
  <c r="Z36" i="37"/>
  <c r="Q35" i="37"/>
  <c r="Z35" i="37" s="1"/>
  <c r="Q34" i="37"/>
  <c r="Z34" i="37"/>
  <c r="Q33" i="37"/>
  <c r="Z33" i="37" s="1"/>
  <c r="Q32" i="37"/>
  <c r="Z32" i="37" s="1"/>
  <c r="Q31" i="37"/>
  <c r="Z31" i="37"/>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Q23" i="37"/>
  <c r="Z23" i="37" s="1"/>
  <c r="Q19" i="37"/>
  <c r="Z19" i="37" s="1"/>
  <c r="Q17" i="37"/>
  <c r="Z17" i="37" s="1"/>
  <c r="Q15" i="37"/>
  <c r="Z15" i="37" s="1"/>
  <c r="Q14" i="37"/>
  <c r="Z14" i="37" s="1"/>
  <c r="Q13" i="37"/>
  <c r="Z13" i="37" s="1"/>
  <c r="Q12" i="37"/>
  <c r="Z12" i="37" s="1"/>
  <c r="Q11" i="37"/>
  <c r="Z11" i="37"/>
  <c r="Q10" i="37"/>
  <c r="Z10" i="37" s="1"/>
  <c r="Q9" i="37"/>
  <c r="Z9" i="37" s="1"/>
  <c r="J8" i="37"/>
  <c r="W8" i="37" s="1"/>
  <c r="H8" i="37"/>
  <c r="AB8" i="37" s="1"/>
  <c r="F8" i="37"/>
  <c r="S8" i="37" s="1"/>
  <c r="J31" i="36"/>
  <c r="W31" i="36" s="1"/>
  <c r="H31" i="36"/>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s="1"/>
  <c r="F81" i="36"/>
  <c r="G81" i="36" s="1"/>
  <c r="H81" i="36" s="1"/>
  <c r="I81" i="36" s="1"/>
  <c r="J81" i="36" s="1"/>
  <c r="K81" i="36" s="1"/>
  <c r="L81" i="36" s="1"/>
  <c r="M81" i="36" s="1"/>
  <c r="G79" i="36"/>
  <c r="F79" i="36"/>
  <c r="E79" i="36"/>
  <c r="D79" i="36"/>
  <c r="C79" i="36"/>
  <c r="B93" i="36"/>
  <c r="B91" i="36"/>
  <c r="F32" i="36" s="1"/>
  <c r="B95" i="36"/>
  <c r="D83" i="36"/>
  <c r="E83" i="36" s="1"/>
  <c r="F83" i="36" s="1"/>
  <c r="D78" i="36"/>
  <c r="E78" i="36" s="1"/>
  <c r="F78" i="36" s="1"/>
  <c r="G78" i="36" s="1"/>
  <c r="H78" i="36" s="1"/>
  <c r="I78" i="36" s="1"/>
  <c r="J78" i="36" s="1"/>
  <c r="K78" i="36" s="1"/>
  <c r="L78" i="36" s="1"/>
  <c r="M78" i="36" s="1"/>
  <c r="B75" i="36"/>
  <c r="J25" i="36" s="1"/>
  <c r="B73" i="36"/>
  <c r="H24" i="36" s="1"/>
  <c r="U24" i="36" s="1"/>
  <c r="B71" i="36"/>
  <c r="H23" i="36" s="1"/>
  <c r="D70" i="36"/>
  <c r="H22" i="36"/>
  <c r="AB22" i="36" s="1"/>
  <c r="D68" i="36"/>
  <c r="E68" i="36"/>
  <c r="F68" i="36" s="1"/>
  <c r="G68" i="36" s="1"/>
  <c r="D64" i="36"/>
  <c r="E64" i="36" s="1"/>
  <c r="F64" i="36" s="1"/>
  <c r="G64" i="36" s="1"/>
  <c r="J16" i="36"/>
  <c r="W16" i="36" s="1"/>
  <c r="D62" i="36"/>
  <c r="E62" i="36"/>
  <c r="F62" i="36" s="1"/>
  <c r="G62" i="36" s="1"/>
  <c r="H14" i="36"/>
  <c r="U14" i="36" s="1"/>
  <c r="AB14" i="36"/>
  <c r="B59" i="36"/>
  <c r="H13" i="36" s="1"/>
  <c r="AB13" i="36" s="1"/>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c r="Q28" i="36"/>
  <c r="Z28" i="36" s="1"/>
  <c r="J28" i="36"/>
  <c r="AC28" i="36" s="1"/>
  <c r="Q27" i="36"/>
  <c r="Z27" i="36"/>
  <c r="Q26" i="36"/>
  <c r="Z26" i="36" s="1"/>
  <c r="H26" i="36"/>
  <c r="AB26" i="36" s="1"/>
  <c r="Q25" i="36"/>
  <c r="Z25" i="36" s="1"/>
  <c r="Q24" i="36"/>
  <c r="Z24" i="36" s="1"/>
  <c r="Q23" i="36"/>
  <c r="Z23" i="36" s="1"/>
  <c r="Q22" i="36"/>
  <c r="Z22" i="36" s="1"/>
  <c r="J22" i="36"/>
  <c r="Q20" i="36"/>
  <c r="Z20" i="36"/>
  <c r="Q16" i="36"/>
  <c r="Z16" i="36" s="1"/>
  <c r="Q14" i="36"/>
  <c r="Z14" i="36" s="1"/>
  <c r="Q13" i="36"/>
  <c r="Z13" i="36" s="1"/>
  <c r="Q12" i="36"/>
  <c r="Z12" i="36" s="1"/>
  <c r="Q11" i="36"/>
  <c r="Z11" i="36"/>
  <c r="Q10" i="36"/>
  <c r="Z10" i="36" s="1"/>
  <c r="F10" i="36"/>
  <c r="AA10" i="36" s="1"/>
  <c r="Q9" i="36"/>
  <c r="Z9" i="36" s="1"/>
  <c r="F9" i="36"/>
  <c r="AA9" i="36" s="1"/>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F27" i="35"/>
  <c r="S27" i="35" s="1"/>
  <c r="AA27" i="35"/>
  <c r="J22" i="35"/>
  <c r="AC22" i="35" s="1"/>
  <c r="B101" i="35"/>
  <c r="B99" i="35"/>
  <c r="H35" i="35" s="1"/>
  <c r="AB35" i="35" s="1"/>
  <c r="B97" i="35"/>
  <c r="J34" i="35" s="1"/>
  <c r="AC34" i="35" s="1"/>
  <c r="B77" i="35"/>
  <c r="B75" i="35"/>
  <c r="J24" i="35" s="1"/>
  <c r="AC24" i="35" s="1"/>
  <c r="B73" i="35"/>
  <c r="F23" i="35" s="1"/>
  <c r="AA23" i="35" s="1"/>
  <c r="B57" i="35"/>
  <c r="B61" i="35"/>
  <c r="B59" i="35"/>
  <c r="B131" i="34"/>
  <c r="B129" i="34"/>
  <c r="B127" i="34"/>
  <c r="F45" i="34" s="1"/>
  <c r="B99" i="34"/>
  <c r="F32" i="34" s="1"/>
  <c r="S32" i="34" s="1"/>
  <c r="B97" i="34"/>
  <c r="F31" i="34" s="1"/>
  <c r="S31" i="34" s="1"/>
  <c r="B95" i="34"/>
  <c r="F30" i="34" s="1"/>
  <c r="S30" i="34" s="1"/>
  <c r="B93" i="34"/>
  <c r="F29" i="34" s="1"/>
  <c r="S29" i="34" s="1"/>
  <c r="B75" i="34"/>
  <c r="J14" i="34" s="1"/>
  <c r="W14" i="34" s="1"/>
  <c r="B73" i="34"/>
  <c r="B71" i="34"/>
  <c r="H12" i="34" s="1"/>
  <c r="B130" i="33"/>
  <c r="F46" i="33" s="1"/>
  <c r="AA46" i="33" s="1"/>
  <c r="B128" i="33"/>
  <c r="B126" i="33"/>
  <c r="B98" i="33"/>
  <c r="B96" i="33"/>
  <c r="B94" i="33"/>
  <c r="F29" i="33" s="1"/>
  <c r="S29" i="33" s="1"/>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F32" i="35"/>
  <c r="Q31" i="35"/>
  <c r="Z31" i="35" s="1"/>
  <c r="AA31" i="35"/>
  <c r="Q30" i="35"/>
  <c r="Z30" i="35" s="1"/>
  <c r="Q29" i="35"/>
  <c r="Z29" i="35" s="1"/>
  <c r="Q28" i="35"/>
  <c r="Z28" i="35"/>
  <c r="J28" i="35"/>
  <c r="AC28" i="35"/>
  <c r="H28" i="35"/>
  <c r="AB28" i="35" s="1"/>
  <c r="F28" i="35"/>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s="1"/>
  <c r="W27" i="34" s="1"/>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c r="Q41" i="34"/>
  <c r="Z41" i="34" s="1"/>
  <c r="Q40" i="34"/>
  <c r="Z40" i="34" s="1"/>
  <c r="Q39" i="34"/>
  <c r="Z39" i="34" s="1"/>
  <c r="H39" i="34"/>
  <c r="F39" i="34"/>
  <c r="Q38" i="34"/>
  <c r="Z38" i="34"/>
  <c r="Q37" i="34"/>
  <c r="Z37" i="34" s="1"/>
  <c r="Q36" i="34"/>
  <c r="Z36" i="34" s="1"/>
  <c r="Q35" i="34"/>
  <c r="Z35" i="34" s="1"/>
  <c r="Q34" i="34"/>
  <c r="Z34" i="34" s="1"/>
  <c r="J34" i="34"/>
  <c r="W34" i="34" s="1"/>
  <c r="H34" i="34"/>
  <c r="AB34" i="34" s="1"/>
  <c r="F34" i="34"/>
  <c r="AA34" i="34"/>
  <c r="Q33" i="34"/>
  <c r="Z33" i="34" s="1"/>
  <c r="Q32" i="34"/>
  <c r="Z32" i="34" s="1"/>
  <c r="Q31" i="34"/>
  <c r="Z31" i="34" s="1"/>
  <c r="Q30" i="34"/>
  <c r="Z30" i="34" s="1"/>
  <c r="Q29" i="34"/>
  <c r="Z29" i="34"/>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Q11" i="34"/>
  <c r="Z11" i="34"/>
  <c r="Q10" i="34"/>
  <c r="Z10" i="34" s="1"/>
  <c r="F10" i="34"/>
  <c r="Q9" i="34"/>
  <c r="Z9" i="34" s="1"/>
  <c r="J8" i="34"/>
  <c r="H8" i="34"/>
  <c r="U8" i="34" s="1"/>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F27" i="33" s="1"/>
  <c r="S27" i="33" s="1"/>
  <c r="D87" i="33"/>
  <c r="E87" i="33" s="1"/>
  <c r="F87" i="33" s="1"/>
  <c r="G87" i="33" s="1"/>
  <c r="H87" i="33" s="1"/>
  <c r="I87" i="33" s="1"/>
  <c r="J87" i="33" s="1"/>
  <c r="K87" i="33" s="1"/>
  <c r="L87" i="33" s="1"/>
  <c r="M87" i="33" s="1"/>
  <c r="D85" i="33"/>
  <c r="E85" i="33" s="1"/>
  <c r="F85" i="33" s="1"/>
  <c r="G85" i="33" s="1"/>
  <c r="D81" i="33"/>
  <c r="D79" i="33"/>
  <c r="E79" i="33" s="1"/>
  <c r="F79" i="33" s="1"/>
  <c r="G79" i="33" s="1"/>
  <c r="D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C63" i="33"/>
  <c r="H9" i="33" s="1"/>
  <c r="U9" i="33" s="1"/>
  <c r="P49" i="33"/>
  <c r="P48" i="33"/>
  <c r="V47" i="33"/>
  <c r="T47" i="33"/>
  <c r="R47" i="33"/>
  <c r="P47" i="33"/>
  <c r="Q46" i="33"/>
  <c r="Z46" i="33" s="1"/>
  <c r="Q45" i="33"/>
  <c r="Z45" i="33" s="1"/>
  <c r="Q44" i="33"/>
  <c r="Z44" i="33" s="1"/>
  <c r="Q43" i="33"/>
  <c r="Z43" i="33"/>
  <c r="Q42" i="33"/>
  <c r="Z42" i="33" s="1"/>
  <c r="Q41" i="33"/>
  <c r="Z41" i="33" s="1"/>
  <c r="Q40" i="33"/>
  <c r="Z40" i="33" s="1"/>
  <c r="J40" i="33"/>
  <c r="AC40" i="33" s="1"/>
  <c r="H40" i="33"/>
  <c r="U40" i="33" s="1"/>
  <c r="Q39" i="33"/>
  <c r="Z39" i="33" s="1"/>
  <c r="Q38" i="33"/>
  <c r="Z38" i="33" s="1"/>
  <c r="J38" i="33"/>
  <c r="AC38" i="33" s="1"/>
  <c r="Q37" i="33"/>
  <c r="Z37" i="33" s="1"/>
  <c r="Q36" i="33"/>
  <c r="Z36" i="33" s="1"/>
  <c r="Q35" i="33"/>
  <c r="Z35" i="33" s="1"/>
  <c r="H35" i="33"/>
  <c r="U35" i="33" s="1"/>
  <c r="F35" i="33"/>
  <c r="S35" i="33" s="1"/>
  <c r="Q34" i="33"/>
  <c r="Z34" i="33" s="1"/>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c r="Q23" i="33"/>
  <c r="Z23" i="33" s="1"/>
  <c r="Q19" i="33"/>
  <c r="Z19" i="33" s="1"/>
  <c r="Q17" i="33"/>
  <c r="Z17" i="33" s="1"/>
  <c r="Q15" i="33"/>
  <c r="Z15" i="33" s="1"/>
  <c r="Q14" i="33"/>
  <c r="Z14" i="33" s="1"/>
  <c r="Q13" i="33"/>
  <c r="Z13" i="33" s="1"/>
  <c r="Q12" i="33"/>
  <c r="Z12" i="33" s="1"/>
  <c r="J12" i="33"/>
  <c r="W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G18" i="20"/>
  <c r="C21" i="40" s="1"/>
  <c r="G19" i="20"/>
  <c r="B85" i="43" s="1"/>
  <c r="G16" i="20"/>
  <c r="B82" i="43" s="1"/>
  <c r="G15" i="20"/>
  <c r="B81" i="43" s="1"/>
  <c r="C24" i="20"/>
  <c r="B73" i="43" s="1"/>
  <c r="C21" i="20"/>
  <c r="C27" i="39" s="1"/>
  <c r="C20" i="20"/>
  <c r="C25" i="39" s="1"/>
  <c r="C18" i="20"/>
  <c r="B71" i="43" s="1"/>
  <c r="C17" i="20"/>
  <c r="B59" i="43" s="1"/>
  <c r="C16" i="20"/>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E119" i="21" s="1"/>
  <c r="F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B128" i="21"/>
  <c r="J45" i="21" s="1"/>
  <c r="W45" i="21" s="1"/>
  <c r="B126" i="21"/>
  <c r="J44" i="21" s="1"/>
  <c r="B98" i="21"/>
  <c r="H31" i="21" s="1"/>
  <c r="AB31" i="21" s="1"/>
  <c r="B96" i="21"/>
  <c r="B94" i="21"/>
  <c r="H29" i="21" s="1"/>
  <c r="U29" i="21" s="1"/>
  <c r="B92" i="21"/>
  <c r="B90" i="21"/>
  <c r="B74" i="21"/>
  <c r="B72" i="21"/>
  <c r="H13" i="21" s="1"/>
  <c r="B70" i="21"/>
  <c r="H12" i="21" s="1"/>
  <c r="F10" i="2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c r="Q31" i="21"/>
  <c r="Z31" i="21" s="1"/>
  <c r="Q32" i="21"/>
  <c r="Z32" i="21" s="1"/>
  <c r="Q33" i="21"/>
  <c r="Z33" i="21" s="1"/>
  <c r="Q34" i="21"/>
  <c r="Z34" i="21" s="1"/>
  <c r="J35" i="21"/>
  <c r="W35" i="21" s="1"/>
  <c r="Q35" i="21"/>
  <c r="Z35" i="21"/>
  <c r="Q36" i="21"/>
  <c r="Z36" i="2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S36" i="21"/>
  <c r="F39" i="21"/>
  <c r="S39" i="21" s="1"/>
  <c r="H35" i="21"/>
  <c r="AB35" i="21" s="1"/>
  <c r="J8" i="21"/>
  <c r="AC8" i="21" s="1"/>
  <c r="H8" i="21"/>
  <c r="U8" i="21" s="1"/>
  <c r="H10" i="21"/>
  <c r="AB10" i="21" s="1"/>
  <c r="H36" i="21"/>
  <c r="U36" i="21" s="1"/>
  <c r="F35" i="21"/>
  <c r="AA35" i="21"/>
  <c r="J33" i="21"/>
  <c r="W33" i="21" s="1"/>
  <c r="H33" i="21"/>
  <c r="U33" i="21" s="1"/>
  <c r="F33" i="21"/>
  <c r="J10" i="21"/>
  <c r="AC10" i="21" s="1"/>
  <c r="H26" i="21"/>
  <c r="AB26" i="21" s="1"/>
  <c r="F19" i="21"/>
  <c r="S19" i="21" s="1"/>
  <c r="H19" i="21"/>
  <c r="AB19" i="21" s="1"/>
  <c r="J19" i="21"/>
  <c r="W19" i="21" s="1"/>
  <c r="J26" i="21"/>
  <c r="F26" i="21"/>
  <c r="S26" i="21" s="1"/>
  <c r="AB41" i="21"/>
  <c r="U41" i="21"/>
  <c r="W41" i="21"/>
  <c r="F36" i="39"/>
  <c r="S36" i="39" s="1"/>
  <c r="H36" i="39"/>
  <c r="J36" i="39"/>
  <c r="AC36" i="39" s="1"/>
  <c r="S8" i="39"/>
  <c r="H32" i="37"/>
  <c r="AB32" i="37" s="1"/>
  <c r="U8" i="37"/>
  <c r="F29" i="36"/>
  <c r="AA29" i="36" s="1"/>
  <c r="F16" i="36"/>
  <c r="U22" i="36"/>
  <c r="AC31" i="36"/>
  <c r="H22" i="35"/>
  <c r="AB22" i="35" s="1"/>
  <c r="U31" i="35"/>
  <c r="W31" i="35"/>
  <c r="F36" i="34"/>
  <c r="AA36" i="34"/>
  <c r="S40" i="33"/>
  <c r="W8" i="21"/>
  <c r="F11" i="40"/>
  <c r="H11" i="40"/>
  <c r="U34" i="40"/>
  <c r="F42" i="39"/>
  <c r="AA42" i="39" s="1"/>
  <c r="F41" i="39"/>
  <c r="AA41" i="39" s="1"/>
  <c r="H40" i="39"/>
  <c r="AB40" i="39"/>
  <c r="H39" i="39"/>
  <c r="AB39" i="39" s="1"/>
  <c r="S38" i="39"/>
  <c r="H34" i="39"/>
  <c r="AB34" i="39" s="1"/>
  <c r="H19" i="39"/>
  <c r="AB19" i="39" s="1"/>
  <c r="F19" i="39"/>
  <c r="S19" i="39" s="1"/>
  <c r="H17" i="39"/>
  <c r="U17" i="39" s="1"/>
  <c r="F17" i="39"/>
  <c r="J23" i="40"/>
  <c r="AC23" i="40" s="1"/>
  <c r="H42" i="39"/>
  <c r="J34" i="39"/>
  <c r="AC34" i="39" s="1"/>
  <c r="F102" i="39"/>
  <c r="H29" i="39"/>
  <c r="U29" i="39" s="1"/>
  <c r="J19" i="39"/>
  <c r="AC19" i="39" s="1"/>
  <c r="J17" i="39"/>
  <c r="W17" i="39" s="1"/>
  <c r="J29" i="39"/>
  <c r="AC29" i="39" s="1"/>
  <c r="F29" i="39"/>
  <c r="AA29" i="39" s="1"/>
  <c r="F11" i="21"/>
  <c r="S11" i="21"/>
  <c r="H11" i="39"/>
  <c r="AB11" i="39" s="1"/>
  <c r="H11" i="21"/>
  <c r="U11" i="21" s="1"/>
  <c r="J11" i="21"/>
  <c r="AC11" i="21"/>
  <c r="H36" i="40"/>
  <c r="U36" i="40" s="1"/>
  <c r="F35" i="40"/>
  <c r="S35" i="40" s="1"/>
  <c r="J30" i="40"/>
  <c r="W30" i="40" s="1"/>
  <c r="F30" i="40"/>
  <c r="H23" i="40"/>
  <c r="J11" i="40"/>
  <c r="W11" i="40" s="1"/>
  <c r="F22" i="35"/>
  <c r="H10" i="35"/>
  <c r="U10" i="35"/>
  <c r="AB29" i="36"/>
  <c r="J29" i="36"/>
  <c r="W29" i="36" s="1"/>
  <c r="H20" i="36"/>
  <c r="J20" i="36"/>
  <c r="F14" i="35"/>
  <c r="J32" i="35"/>
  <c r="AC32" i="35" s="1"/>
  <c r="J16" i="35"/>
  <c r="W16" i="35" s="1"/>
  <c r="H14" i="35"/>
  <c r="H33" i="35"/>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F38" i="34"/>
  <c r="J19" i="34"/>
  <c r="J15" i="34"/>
  <c r="AC15" i="34" s="1"/>
  <c r="H15" i="34"/>
  <c r="AB15" i="34" s="1"/>
  <c r="J10" i="34"/>
  <c r="H10" i="34"/>
  <c r="AB10" i="34" s="1"/>
  <c r="F41" i="33"/>
  <c r="S41" i="33" s="1"/>
  <c r="J34" i="33"/>
  <c r="AC34" i="33" s="1"/>
  <c r="F36" i="33"/>
  <c r="S36" i="33" s="1"/>
  <c r="F25" i="33"/>
  <c r="J25" i="33"/>
  <c r="AC25" i="33" s="1"/>
  <c r="H25" i="33"/>
  <c r="J23" i="33"/>
  <c r="F23" i="33"/>
  <c r="AA23" i="33" s="1"/>
  <c r="H23" i="33"/>
  <c r="AB23" i="33" s="1"/>
  <c r="J17" i="33"/>
  <c r="AC17" i="33" s="1"/>
  <c r="H17" i="33"/>
  <c r="AB17" i="33" s="1"/>
  <c r="F11" i="33"/>
  <c r="AA11" i="33" s="1"/>
  <c r="F37" i="40"/>
  <c r="AA37" i="40"/>
  <c r="F36" i="40"/>
  <c r="F23" i="40"/>
  <c r="AC11" i="40"/>
  <c r="AB30" i="36"/>
  <c r="W32" i="35"/>
  <c r="F29" i="35"/>
  <c r="S29" i="35" s="1"/>
  <c r="AB42" i="34"/>
  <c r="H38" i="34"/>
  <c r="AB38" i="34" s="1"/>
  <c r="AB11" i="33"/>
  <c r="AC42" i="34"/>
  <c r="W42" i="34"/>
  <c r="W38" i="34"/>
  <c r="J36" i="33"/>
  <c r="AC36" i="33" s="1"/>
  <c r="J11" i="33"/>
  <c r="AC11" i="33" s="1"/>
  <c r="J42" i="21"/>
  <c r="AC42" i="21" s="1"/>
  <c r="H42" i="21"/>
  <c r="U42" i="21" s="1"/>
  <c r="AB42" i="21"/>
  <c r="J10" i="35"/>
  <c r="AC10" i="35"/>
  <c r="J14" i="21"/>
  <c r="H30" i="21"/>
  <c r="AB30" i="21" s="1"/>
  <c r="F44" i="21"/>
  <c r="G119" i="21"/>
  <c r="H119" i="21" s="1"/>
  <c r="I119" i="21" s="1"/>
  <c r="J119" i="21" s="1"/>
  <c r="K119" i="21" s="1"/>
  <c r="L119" i="21" s="1"/>
  <c r="M119" i="21" s="1"/>
  <c r="H28" i="33"/>
  <c r="AB28" i="33" s="1"/>
  <c r="J28" i="33"/>
  <c r="AC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H13" i="33"/>
  <c r="AB13" i="33" s="1"/>
  <c r="J29" i="33"/>
  <c r="H29" i="33"/>
  <c r="J31" i="33"/>
  <c r="W31" i="33" s="1"/>
  <c r="H31" i="33"/>
  <c r="AB31" i="33" s="1"/>
  <c r="F31" i="33"/>
  <c r="AA31" i="33" s="1"/>
  <c r="F45" i="33"/>
  <c r="S45" i="33" s="1"/>
  <c r="F14" i="34"/>
  <c r="AA14" i="34" s="1"/>
  <c r="H30" i="34"/>
  <c r="J30" i="34"/>
  <c r="H32" i="34"/>
  <c r="J32" i="34"/>
  <c r="H46" i="34"/>
  <c r="U46" i="34"/>
  <c r="F46" i="34"/>
  <c r="S46" i="34" s="1"/>
  <c r="J46" i="34"/>
  <c r="H11" i="35"/>
  <c r="U11" i="35" s="1"/>
  <c r="J11" i="35"/>
  <c r="AC11" i="35"/>
  <c r="F11" i="35"/>
  <c r="S11" i="35" s="1"/>
  <c r="J26" i="36"/>
  <c r="W26" i="36" s="1"/>
  <c r="H28" i="36"/>
  <c r="AB28" i="36" s="1"/>
  <c r="H32" i="36"/>
  <c r="J32" i="36"/>
  <c r="J11" i="36"/>
  <c r="W11" i="36" s="1"/>
  <c r="H11" i="36"/>
  <c r="AB11" i="36"/>
  <c r="F11" i="36"/>
  <c r="AA11" i="36" s="1"/>
  <c r="J13" i="36"/>
  <c r="F13" i="36"/>
  <c r="S13" i="36" s="1"/>
  <c r="H36" i="37"/>
  <c r="AB36" i="37" s="1"/>
  <c r="H37" i="37"/>
  <c r="AB37" i="37" s="1"/>
  <c r="U37" i="37"/>
  <c r="AC12" i="40"/>
  <c r="W12" i="40"/>
  <c r="J30" i="33"/>
  <c r="J46" i="33"/>
  <c r="W46" i="33" s="1"/>
  <c r="H46" i="33"/>
  <c r="H13" i="34"/>
  <c r="U13" i="34" s="1"/>
  <c r="J13" i="34"/>
  <c r="W13" i="34" s="1"/>
  <c r="F13" i="34"/>
  <c r="AA13" i="34" s="1"/>
  <c r="J29" i="34"/>
  <c r="AC29" i="34" s="1"/>
  <c r="J31" i="34"/>
  <c r="AC31" i="34" s="1"/>
  <c r="F35" i="35"/>
  <c r="S35" i="35" s="1"/>
  <c r="AC25" i="36"/>
  <c r="F25" i="36"/>
  <c r="S25" i="36" s="1"/>
  <c r="H25" i="36"/>
  <c r="U25" i="36" s="1"/>
  <c r="AB25" i="36"/>
  <c r="H38" i="37"/>
  <c r="AB38" i="37" s="1"/>
  <c r="J38" i="37"/>
  <c r="AC38" i="37" s="1"/>
  <c r="F38" i="37"/>
  <c r="F43" i="39"/>
  <c r="AA43" i="39" s="1"/>
  <c r="H43" i="39"/>
  <c r="U43" i="39" s="1"/>
  <c r="H14" i="39"/>
  <c r="AB14" i="39" s="1"/>
  <c r="F12" i="40"/>
  <c r="AA12" i="40" s="1"/>
  <c r="H12" i="40"/>
  <c r="H30" i="40"/>
  <c r="AB30" i="40" s="1"/>
  <c r="H33" i="40"/>
  <c r="AB33" i="40" s="1"/>
  <c r="J35" i="40"/>
  <c r="W35" i="40" s="1"/>
  <c r="J13" i="40"/>
  <c r="W13" i="40" s="1"/>
  <c r="F13" i="40"/>
  <c r="J13" i="39"/>
  <c r="H14" i="40"/>
  <c r="AB14" i="40" s="1"/>
  <c r="J14" i="40"/>
  <c r="W14" i="40" s="1"/>
  <c r="F14" i="40"/>
  <c r="AC14" i="34"/>
  <c r="J10" i="36"/>
  <c r="S46" i="33"/>
  <c r="AC11" i="36"/>
  <c r="J41" i="39"/>
  <c r="W41" i="39" s="1"/>
  <c r="AC45"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AA36" i="39"/>
  <c r="F39" i="33"/>
  <c r="AA39" i="33" s="1"/>
  <c r="F14" i="36"/>
  <c r="AA14" i="36" s="1"/>
  <c r="F22" i="36"/>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J36" i="40"/>
  <c r="W36" i="40" s="1"/>
  <c r="H42" i="33"/>
  <c r="U42" i="33" s="1"/>
  <c r="J23" i="37"/>
  <c r="W23" i="37" s="1"/>
  <c r="S30" i="31"/>
  <c r="S25" i="37"/>
  <c r="AC31" i="33"/>
  <c r="AC33" i="21"/>
  <c r="H37" i="21"/>
  <c r="J37" i="21"/>
  <c r="W37" i="21" s="1"/>
  <c r="H19" i="34"/>
  <c r="J9" i="37"/>
  <c r="AC9" i="37" s="1"/>
  <c r="F9" i="37"/>
  <c r="AA9" i="37" s="1"/>
  <c r="F11" i="37"/>
  <c r="S11" i="37" s="1"/>
  <c r="J42" i="39"/>
  <c r="W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F19" i="40"/>
  <c r="S19" i="40" s="1"/>
  <c r="AC43" i="39"/>
  <c r="W43" i="39"/>
  <c r="G102" i="39"/>
  <c r="AC37" i="39"/>
  <c r="H25" i="39"/>
  <c r="AB25" i="39" s="1"/>
  <c r="J25" i="39"/>
  <c r="W25" i="39" s="1"/>
  <c r="F25" i="39"/>
  <c r="F15" i="39"/>
  <c r="S15" i="39" s="1"/>
  <c r="H15" i="39"/>
  <c r="U15" i="39" s="1"/>
  <c r="J15" i="39"/>
  <c r="W15" i="39" s="1"/>
  <c r="H41" i="39"/>
  <c r="F11" i="39"/>
  <c r="AA11" i="39" s="1"/>
  <c r="H21" i="39"/>
  <c r="F32" i="39"/>
  <c r="S32" i="39" s="1"/>
  <c r="W19" i="39"/>
  <c r="U34" i="39"/>
  <c r="S42" i="39"/>
  <c r="W39" i="39"/>
  <c r="W8" i="39"/>
  <c r="W21" i="39"/>
  <c r="J11" i="39"/>
  <c r="W11" i="39" s="1"/>
  <c r="J32" i="39"/>
  <c r="AC32" i="39" s="1"/>
  <c r="E65" i="39"/>
  <c r="E60" i="40"/>
  <c r="F34" i="43"/>
  <c r="C21" i="11"/>
  <c r="C29" i="11" s="1"/>
  <c r="D27" i="11" s="1"/>
  <c r="H55" i="39"/>
  <c r="H16" i="44"/>
  <c r="D17" i="43"/>
  <c r="I17" i="43"/>
  <c r="D108" i="9"/>
  <c r="F22" i="43"/>
  <c r="G22" i="43"/>
  <c r="H14" i="44"/>
  <c r="W40" i="39"/>
  <c r="AC20" i="35"/>
  <c r="H23" i="34"/>
  <c r="U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W35" i="34" s="1"/>
  <c r="AC35" i="34"/>
  <c r="F27" i="34"/>
  <c r="AA27" i="34" s="1"/>
  <c r="J33" i="34"/>
  <c r="J37" i="34"/>
  <c r="S23" i="34"/>
  <c r="AB33" i="34"/>
  <c r="J26" i="35"/>
  <c r="AC26" i="35" s="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S23" i="21"/>
  <c r="T27" i="31"/>
  <c r="S27" i="31"/>
  <c r="B113" i="43"/>
  <c r="M101" i="43"/>
  <c r="K101" i="43"/>
  <c r="I101" i="43"/>
  <c r="I102" i="43" s="1"/>
  <c r="G101" i="43"/>
  <c r="G105" i="43" s="1"/>
  <c r="E101" i="43"/>
  <c r="C101" i="43"/>
  <c r="C104" i="43" s="1"/>
  <c r="N101" i="43"/>
  <c r="N107" i="43" s="1"/>
  <c r="L101" i="43"/>
  <c r="L104" i="43" s="1"/>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C37" i="37" s="1"/>
  <c r="U15" i="21"/>
  <c r="AB15" i="21"/>
  <c r="AA16" i="35"/>
  <c r="S14" i="39"/>
  <c r="AB29" i="35"/>
  <c r="U29" i="35"/>
  <c r="AA35" i="39"/>
  <c r="U36" i="37"/>
  <c r="AB46" i="34"/>
  <c r="F40" i="34"/>
  <c r="U13" i="21"/>
  <c r="F13" i="21"/>
  <c r="S42" i="21"/>
  <c r="B41" i="47"/>
  <c r="AC8" i="34"/>
  <c r="W8" i="34"/>
  <c r="S19" i="34"/>
  <c r="AB23" i="36"/>
  <c r="U23" i="36"/>
  <c r="J12" i="36"/>
  <c r="W12" i="36" s="1"/>
  <c r="AA9" i="39"/>
  <c r="S9" i="39"/>
  <c r="AB12" i="39"/>
  <c r="U12" i="39"/>
  <c r="J12" i="39"/>
  <c r="AC12" i="39" s="1"/>
  <c r="R29" i="31"/>
  <c r="T29" i="31" s="1"/>
  <c r="F15" i="21"/>
  <c r="S15" i="21" s="1"/>
  <c r="C106" i="9"/>
  <c r="H102" i="9" s="1"/>
  <c r="J36" i="34"/>
  <c r="J19" i="40"/>
  <c r="AC19" i="40"/>
  <c r="W9" i="39"/>
  <c r="U14" i="39"/>
  <c r="H32" i="39"/>
  <c r="U32" i="39" s="1"/>
  <c r="F21" i="39"/>
  <c r="AA21" i="39" s="1"/>
  <c r="F31" i="37"/>
  <c r="AA31" i="37" s="1"/>
  <c r="AC36" i="40"/>
  <c r="F17" i="37"/>
  <c r="AA17" i="37" s="1"/>
  <c r="AA29" i="33"/>
  <c r="AB13" i="40"/>
  <c r="U11" i="36"/>
  <c r="AB11" i="35"/>
  <c r="AA30" i="34"/>
  <c r="J14" i="36"/>
  <c r="AC14" i="36" s="1"/>
  <c r="S15" i="34"/>
  <c r="J40" i="34"/>
  <c r="S37" i="40"/>
  <c r="AA41" i="33"/>
  <c r="J23" i="34"/>
  <c r="W23" i="34" s="1"/>
  <c r="W22" i="35"/>
  <c r="S30" i="36"/>
  <c r="G106" i="21"/>
  <c r="H106" i="21" s="1"/>
  <c r="I106" i="21" s="1"/>
  <c r="J106" i="21" s="1"/>
  <c r="K106" i="21" s="1"/>
  <c r="L106" i="21" s="1"/>
  <c r="M106" i="21" s="1"/>
  <c r="F34" i="21"/>
  <c r="H34" i="21"/>
  <c r="U34" i="21" s="1"/>
  <c r="J34" i="21"/>
  <c r="AC34" i="21" s="1"/>
  <c r="AC36" i="21"/>
  <c r="W36" i="21"/>
  <c r="E101" i="33"/>
  <c r="F32" i="33"/>
  <c r="AA32" i="33" s="1"/>
  <c r="AC27" i="34"/>
  <c r="E116" i="34"/>
  <c r="F116" i="34" s="1"/>
  <c r="G116" i="34" s="1"/>
  <c r="H116" i="34" s="1"/>
  <c r="I116" i="34" s="1"/>
  <c r="J116" i="34" s="1"/>
  <c r="K116" i="34" s="1"/>
  <c r="L116" i="34" s="1"/>
  <c r="M116" i="34" s="1"/>
  <c r="J39" i="34"/>
  <c r="AC39" i="34" s="1"/>
  <c r="J27" i="36"/>
  <c r="AC27" i="36" s="1"/>
  <c r="F37" i="34"/>
  <c r="AA37" i="34" s="1"/>
  <c r="H37" i="34"/>
  <c r="U37" i="34" s="1"/>
  <c r="AA32" i="34"/>
  <c r="U10" i="36"/>
  <c r="W11" i="21"/>
  <c r="H27" i="21"/>
  <c r="AB27" i="21" s="1"/>
  <c r="J27" i="21"/>
  <c r="W27" i="21" s="1"/>
  <c r="F27" i="21"/>
  <c r="AA27" i="21" s="1"/>
  <c r="J29" i="21"/>
  <c r="AC29" i="21" s="1"/>
  <c r="J31" i="21"/>
  <c r="W31" i="21" s="1"/>
  <c r="F31" i="21"/>
  <c r="S31" i="21" s="1"/>
  <c r="AA31" i="21"/>
  <c r="H39" i="21"/>
  <c r="U39" i="21" s="1"/>
  <c r="J39" i="33"/>
  <c r="AC39" i="33" s="1"/>
  <c r="E125" i="33"/>
  <c r="F125" i="33" s="1"/>
  <c r="G125" i="33" s="1"/>
  <c r="H43" i="33"/>
  <c r="AB43" i="33" s="1"/>
  <c r="E91" i="33"/>
  <c r="F91" i="33"/>
  <c r="G91" i="33" s="1"/>
  <c r="H91" i="33" s="1"/>
  <c r="I91" i="33" s="1"/>
  <c r="J91" i="33" s="1"/>
  <c r="K91" i="33" s="1"/>
  <c r="L91" i="33" s="1"/>
  <c r="M91" i="33" s="1"/>
  <c r="H41" i="33"/>
  <c r="AA11" i="34"/>
  <c r="F80" i="34"/>
  <c r="H17" i="34"/>
  <c r="U17" i="34" s="1"/>
  <c r="H16" i="35"/>
  <c r="U16" i="35" s="1"/>
  <c r="F24" i="35"/>
  <c r="S24" i="35" s="1"/>
  <c r="H24" i="35"/>
  <c r="AB24" i="35" s="1"/>
  <c r="H34" i="35"/>
  <c r="U34" i="35" s="1"/>
  <c r="F34" i="35"/>
  <c r="S34" i="35" s="1"/>
  <c r="F10" i="37"/>
  <c r="AA10" i="37" s="1"/>
  <c r="J12" i="37"/>
  <c r="AC12" i="37" s="1"/>
  <c r="W12" i="37"/>
  <c r="F12" i="37"/>
  <c r="S12" i="37" s="1"/>
  <c r="H27" i="37"/>
  <c r="U27" i="37" s="1"/>
  <c r="F27" i="37"/>
  <c r="AA27" i="37" s="1"/>
  <c r="J27" i="37"/>
  <c r="W27" i="37" s="1"/>
  <c r="J29" i="37"/>
  <c r="W29" i="37" s="1"/>
  <c r="F29" i="37"/>
  <c r="S29" i="37" s="1"/>
  <c r="H31" i="37"/>
  <c r="J36" i="37"/>
  <c r="W36" i="37" s="1"/>
  <c r="U8" i="39"/>
  <c r="J29" i="35"/>
  <c r="W30" i="36"/>
  <c r="H35" i="39"/>
  <c r="U35" i="39" s="1"/>
  <c r="J35" i="39"/>
  <c r="AA19" i="39"/>
  <c r="H16" i="36"/>
  <c r="U32" i="37"/>
  <c r="E101" i="21"/>
  <c r="F101" i="21" s="1"/>
  <c r="G101" i="21" s="1"/>
  <c r="H101" i="21" s="1"/>
  <c r="I101" i="21" s="1"/>
  <c r="J101" i="21" s="1"/>
  <c r="K101" i="21" s="1"/>
  <c r="L101" i="21" s="1"/>
  <c r="M101" i="21" s="1"/>
  <c r="F32" i="21"/>
  <c r="S32" i="21" s="1"/>
  <c r="J32" i="21"/>
  <c r="AC32" i="21" s="1"/>
  <c r="W32" i="21"/>
  <c r="H32" i="21"/>
  <c r="U32" i="21"/>
  <c r="F40" i="21"/>
  <c r="AA40" i="21" s="1"/>
  <c r="H40" i="21"/>
  <c r="AB40" i="21" s="1"/>
  <c r="J40" i="21"/>
  <c r="B44" i="47"/>
  <c r="J9" i="33"/>
  <c r="AC9" i="33" s="1"/>
  <c r="F9" i="33"/>
  <c r="AA9" i="33" s="1"/>
  <c r="AA10" i="34"/>
  <c r="S10" i="34"/>
  <c r="F25" i="34"/>
  <c r="AA25" i="34" s="1"/>
  <c r="E126" i="34"/>
  <c r="F126" i="34" s="1"/>
  <c r="H44" i="34"/>
  <c r="U44" i="34" s="1"/>
  <c r="F20" i="36"/>
  <c r="AA20" i="36" s="1"/>
  <c r="AA32" i="36"/>
  <c r="S32" i="36"/>
  <c r="J26" i="37"/>
  <c r="AC26" i="37" s="1"/>
  <c r="F26" i="37"/>
  <c r="S26" i="37" s="1"/>
  <c r="AA26" i="37"/>
  <c r="J23" i="39"/>
  <c r="W23" i="39" s="1"/>
  <c r="E96" i="39"/>
  <c r="F96" i="39" s="1"/>
  <c r="G96" i="39" s="1"/>
  <c r="H15" i="37"/>
  <c r="F15" i="37"/>
  <c r="AA15" i="37"/>
  <c r="F38" i="40"/>
  <c r="AA38" i="40" s="1"/>
  <c r="J38" i="40"/>
  <c r="AC38" i="40" s="1"/>
  <c r="W38" i="40"/>
  <c r="H38" i="40"/>
  <c r="U38" i="40" s="1"/>
  <c r="N6" i="43"/>
  <c r="M1" i="43"/>
  <c r="F101" i="9"/>
  <c r="C25" i="57"/>
  <c r="G103" i="43"/>
  <c r="F59" i="43"/>
  <c r="H63" i="43" s="1"/>
  <c r="G15" i="47"/>
  <c r="H25" i="34"/>
  <c r="U25" i="34" s="1"/>
  <c r="S27" i="37"/>
  <c r="AA12" i="37"/>
  <c r="J17" i="34"/>
  <c r="AC17" i="34" s="1"/>
  <c r="G80" i="34"/>
  <c r="F17" i="34"/>
  <c r="AA17" i="34" s="1"/>
  <c r="H27" i="33"/>
  <c r="U27" i="33" s="1"/>
  <c r="F43" i="33"/>
  <c r="AA43" i="33" s="1"/>
  <c r="J43" i="33"/>
  <c r="W43" i="33" s="1"/>
  <c r="U31" i="21"/>
  <c r="AC27" i="21"/>
  <c r="S37" i="34"/>
  <c r="H27" i="36"/>
  <c r="U27" i="36" s="1"/>
  <c r="AB27" i="36"/>
  <c r="F27" i="36"/>
  <c r="S27" i="36" s="1"/>
  <c r="AA27" i="36"/>
  <c r="J28" i="34"/>
  <c r="AB34" i="21"/>
  <c r="H11" i="34"/>
  <c r="U11" i="34" s="1"/>
  <c r="J11" i="37"/>
  <c r="AC11" i="37"/>
  <c r="W12" i="39"/>
  <c r="AB13" i="21"/>
  <c r="F23" i="39"/>
  <c r="AA23" i="39" s="1"/>
  <c r="F44" i="34"/>
  <c r="AA44" i="34" s="1"/>
  <c r="G126" i="34"/>
  <c r="J44" i="34"/>
  <c r="W44" i="34" s="1"/>
  <c r="AC44" i="34"/>
  <c r="S40" i="21"/>
  <c r="H60" i="37"/>
  <c r="I60" i="37" s="1"/>
  <c r="H10" i="37"/>
  <c r="AA27" i="33"/>
  <c r="F101" i="33"/>
  <c r="G101" i="33" s="1"/>
  <c r="H101" i="33" s="1"/>
  <c r="I101" i="33" s="1"/>
  <c r="J101" i="33" s="1"/>
  <c r="K101" i="33" s="1"/>
  <c r="L101" i="33" s="1"/>
  <c r="M101" i="33" s="1"/>
  <c r="J32" i="33"/>
  <c r="W32" i="33" s="1"/>
  <c r="H32" i="33"/>
  <c r="AB32" i="33" s="1"/>
  <c r="AC45" i="21"/>
  <c r="S44" i="34"/>
  <c r="J10" i="37"/>
  <c r="H23" i="39"/>
  <c r="U23" i="39" s="1"/>
  <c r="AB23" i="39"/>
  <c r="J11" i="34"/>
  <c r="AC11" i="34" s="1"/>
  <c r="J27" i="33"/>
  <c r="W17" i="34"/>
  <c r="J25" i="34"/>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c r="D56" i="43"/>
  <c r="M56" i="43"/>
  <c r="N56" i="43" s="1"/>
  <c r="F43" i="15"/>
  <c r="F72" i="15" s="1"/>
  <c r="D37" i="11"/>
  <c r="C37" i="11" s="1"/>
  <c r="M29" i="15"/>
  <c r="P51" i="15"/>
  <c r="D10" i="11"/>
  <c r="C2" i="31"/>
  <c r="I23" i="31" s="1"/>
  <c r="P60" i="15"/>
  <c r="D3" i="35"/>
  <c r="D3" i="34"/>
  <c r="D78" i="9"/>
  <c r="D95" i="57"/>
  <c r="A16" i="55"/>
  <c r="B46" i="60" s="1"/>
  <c r="D3" i="33"/>
  <c r="D3" i="37"/>
  <c r="D3" i="36"/>
  <c r="C14" i="12"/>
  <c r="AB36" i="40"/>
  <c r="W31" i="40"/>
  <c r="AC9" i="40"/>
  <c r="S9" i="40"/>
  <c r="W34" i="40"/>
  <c r="J37" i="40"/>
  <c r="H35" i="40"/>
  <c r="H37" i="40"/>
  <c r="H28" i="40"/>
  <c r="U28" i="40" s="1"/>
  <c r="F28" i="40"/>
  <c r="AA28" i="40" s="1"/>
  <c r="J28" i="40"/>
  <c r="G97" i="40"/>
  <c r="H97" i="40" s="1"/>
  <c r="I97" i="40" s="1"/>
  <c r="J97" i="40" s="1"/>
  <c r="K97" i="40" s="1"/>
  <c r="L97" i="40" s="1"/>
  <c r="M97" i="40" s="1"/>
  <c r="F21" i="40"/>
  <c r="S21" i="40" s="1"/>
  <c r="H21" i="40"/>
  <c r="AB21" i="40" s="1"/>
  <c r="F89" i="40"/>
  <c r="G89" i="40" s="1"/>
  <c r="J21" i="40"/>
  <c r="W21" i="40" s="1"/>
  <c r="W19" i="40"/>
  <c r="F85" i="40"/>
  <c r="G85" i="40" s="1"/>
  <c r="H17" i="40"/>
  <c r="U17" i="40" s="1"/>
  <c r="J17" i="40"/>
  <c r="F17" i="40"/>
  <c r="S17" i="40" s="1"/>
  <c r="F83" i="40"/>
  <c r="G83" i="40" s="1"/>
  <c r="F15" i="40"/>
  <c r="J15" i="40"/>
  <c r="W15" i="40" s="1"/>
  <c r="H15" i="40"/>
  <c r="AB15" i="40" s="1"/>
  <c r="AC25" i="40"/>
  <c r="W25" i="40"/>
  <c r="U14" i="40"/>
  <c r="U8" i="40"/>
  <c r="AA19" i="40"/>
  <c r="AA35" i="40"/>
  <c r="AC17" i="39"/>
  <c r="AC25" i="39"/>
  <c r="W27" i="39"/>
  <c r="AC27" i="39"/>
  <c r="U19" i="39"/>
  <c r="AB27" i="39"/>
  <c r="U27" i="39"/>
  <c r="AA27" i="39"/>
  <c r="S27" i="39"/>
  <c r="S40" i="39"/>
  <c r="S31" i="39"/>
  <c r="S11" i="36"/>
  <c r="AC16" i="36"/>
  <c r="W14" i="36"/>
  <c r="AC26" i="36"/>
  <c r="S10" i="36"/>
  <c r="W18" i="36"/>
  <c r="AC18" i="36"/>
  <c r="W25" i="36"/>
  <c r="W28" i="36"/>
  <c r="W8" i="36"/>
  <c r="AB18" i="36"/>
  <c r="U18" i="36"/>
  <c r="S29" i="36"/>
  <c r="W11" i="35"/>
  <c r="W10" i="35"/>
  <c r="W34" i="35"/>
  <c r="W28" i="35"/>
  <c r="AC27" i="35"/>
  <c r="U35" i="35"/>
  <c r="AB10" i="35"/>
  <c r="U8" i="35"/>
  <c r="S34" i="37"/>
  <c r="W32" i="37"/>
  <c r="AB28"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J19" i="37"/>
  <c r="AC19" i="37" s="1"/>
  <c r="F19" i="37"/>
  <c r="S19" i="37" s="1"/>
  <c r="G75" i="37"/>
  <c r="H19" i="37"/>
  <c r="W17" i="37"/>
  <c r="AC17" i="37"/>
  <c r="S15" i="37"/>
  <c r="J15" i="37"/>
  <c r="AC15" i="37" s="1"/>
  <c r="AA11" i="37"/>
  <c r="AC21" i="37"/>
  <c r="W21" i="37"/>
  <c r="W11" i="37"/>
  <c r="S37" i="37"/>
  <c r="AB11" i="34"/>
  <c r="S36" i="34"/>
  <c r="U43" i="34"/>
  <c r="S43" i="34"/>
  <c r="AB17" i="34"/>
  <c r="W15" i="34"/>
  <c r="U36" i="34"/>
  <c r="U21" i="34"/>
  <c r="AB21" i="34"/>
  <c r="AC41" i="33"/>
  <c r="AA45" i="33"/>
  <c r="AC12" i="33"/>
  <c r="AC46" i="33"/>
  <c r="AA39" i="21"/>
  <c r="AC37" i="21"/>
  <c r="U30" i="21"/>
  <c r="AA36" i="21"/>
  <c r="AA43" i="21"/>
  <c r="AB32" i="21"/>
  <c r="AB21" i="21"/>
  <c r="U21" i="21"/>
  <c r="AC19" i="21"/>
  <c r="U17"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H102" i="43"/>
  <c r="D3" i="21"/>
  <c r="M6" i="43"/>
  <c r="M5" i="43"/>
  <c r="F81" i="43"/>
  <c r="H86" i="43" s="1"/>
  <c r="H13" i="44"/>
  <c r="H11" i="44"/>
  <c r="C51" i="10"/>
  <c r="A8" i="54" s="1"/>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D19" i="11"/>
  <c r="C20" i="12"/>
  <c r="C19" i="12"/>
  <c r="G22" i="11"/>
  <c r="G41" i="11"/>
  <c r="H113" i="43"/>
  <c r="X7" i="43"/>
  <c r="E59" i="43"/>
  <c r="B57" i="43"/>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4" i="9"/>
  <c r="D7" i="52"/>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K103" i="43"/>
  <c r="G104" i="43"/>
  <c r="B117" i="43"/>
  <c r="C117" i="43" s="1"/>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E105" i="43"/>
  <c r="F106" i="43"/>
  <c r="M12" i="43"/>
  <c r="M8" i="43"/>
  <c r="N7" i="43"/>
  <c r="M3" i="43"/>
  <c r="M11" i="43"/>
  <c r="N8" i="43"/>
  <c r="H8" i="44"/>
  <c r="H12" i="44"/>
  <c r="C62" i="39"/>
  <c r="M85" i="43"/>
  <c r="N85" i="43" s="1"/>
  <c r="K85" i="43"/>
  <c r="J85" i="43" s="1"/>
  <c r="D85" i="43"/>
  <c r="M82" i="43"/>
  <c r="N82" i="43"/>
  <c r="K83" i="43"/>
  <c r="J83" i="43" s="1"/>
  <c r="D83" i="43"/>
  <c r="F103" i="43"/>
  <c r="J104" i="43"/>
  <c r="E106" i="43"/>
  <c r="M107" i="43"/>
  <c r="M104" i="43"/>
  <c r="D118" i="43"/>
  <c r="E118" i="43" s="1"/>
  <c r="F118" i="43" s="1"/>
  <c r="M7" i="15"/>
  <c r="J6" i="15" s="1"/>
  <c r="F35" i="15"/>
  <c r="F64" i="15" s="1"/>
  <c r="E18" i="1"/>
  <c r="C34" i="11" s="1"/>
  <c r="C17" i="15"/>
  <c r="A2" i="9"/>
  <c r="W23" i="40"/>
  <c r="S38" i="40"/>
  <c r="S33" i="40"/>
  <c r="W34" i="39"/>
  <c r="S43" i="39"/>
  <c r="AA32" i="39"/>
  <c r="S29" i="39"/>
  <c r="U40" i="39"/>
  <c r="AC41" i="39"/>
  <c r="U11" i="39"/>
  <c r="W36" i="39"/>
  <c r="S34" i="39"/>
  <c r="S39" i="39"/>
  <c r="U9" i="39"/>
  <c r="S20" i="36"/>
  <c r="AA13" i="36"/>
  <c r="S8" i="36"/>
  <c r="AB34" i="35"/>
  <c r="W33" i="35"/>
  <c r="U22" i="35"/>
  <c r="AA29" i="35"/>
  <c r="U28" i="35"/>
  <c r="AC16" i="35"/>
  <c r="AC34" i="37"/>
  <c r="U29" i="37"/>
  <c r="U30" i="37"/>
  <c r="AC29" i="37"/>
  <c r="AA13" i="37"/>
  <c r="W25" i="37"/>
  <c r="G84" i="34"/>
  <c r="J21" i="34"/>
  <c r="AC21" i="34" s="1"/>
  <c r="AB37" i="34"/>
  <c r="W41" i="34"/>
  <c r="AB35" i="34"/>
  <c r="AB27" i="34"/>
  <c r="W29" i="34"/>
  <c r="W43" i="34"/>
  <c r="U34" i="34"/>
  <c r="S34" i="34"/>
  <c r="AB44" i="34"/>
  <c r="S35" i="34"/>
  <c r="AC13" i="34"/>
  <c r="S13" i="34"/>
  <c r="AA31" i="34"/>
  <c r="W40" i="33"/>
  <c r="G83" i="21"/>
  <c r="J21" i="21"/>
  <c r="W21" i="21" s="1"/>
  <c r="AC31" i="21"/>
  <c r="AA32" i="21"/>
  <c r="W23" i="21"/>
  <c r="AB25" i="21"/>
  <c r="U40" i="21"/>
  <c r="W10" i="21"/>
  <c r="S35" i="21"/>
  <c r="C19" i="39"/>
  <c r="C15" i="40"/>
  <c r="C17" i="40"/>
  <c r="B54" i="43"/>
  <c r="B65" i="43"/>
  <c r="U30" i="40"/>
  <c r="B49" i="43"/>
  <c r="B52" i="43"/>
  <c r="B56" i="43"/>
  <c r="B60" i="43"/>
  <c r="B63" i="43"/>
  <c r="U35" i="40"/>
  <c r="AB35" i="40"/>
  <c r="U37" i="40"/>
  <c r="AB37" i="40"/>
  <c r="AB17" i="40"/>
  <c r="U33" i="37"/>
  <c r="AA35" i="37"/>
  <c r="S35" i="37"/>
  <c r="AA19" i="37"/>
  <c r="W15" i="37"/>
  <c r="M86" i="43"/>
  <c r="N86" i="43"/>
  <c r="F34" i="11"/>
  <c r="E19" i="1"/>
  <c r="D20" i="1"/>
  <c r="D18" i="1"/>
  <c r="F50" i="11"/>
  <c r="F19" i="1"/>
  <c r="F18" i="1"/>
  <c r="C11" i="12" s="1"/>
  <c r="C15" i="12" s="1"/>
  <c r="D19" i="1"/>
  <c r="K87" i="43"/>
  <c r="J87" i="43" s="1"/>
  <c r="D87" i="43"/>
  <c r="J22" i="43"/>
  <c r="M84" i="43"/>
  <c r="N84" i="43" s="1"/>
  <c r="K84" i="43"/>
  <c r="J84" i="43"/>
  <c r="D84" i="43"/>
  <c r="M81" i="43"/>
  <c r="N81" i="43"/>
  <c r="K81" i="43"/>
  <c r="J81" i="43" s="1"/>
  <c r="D81" i="43"/>
  <c r="M88" i="43"/>
  <c r="N88" i="43" s="1"/>
  <c r="K88" i="43"/>
  <c r="J88" i="43" s="1"/>
  <c r="D88" i="43"/>
  <c r="C13" i="12"/>
  <c r="C36" i="11"/>
  <c r="D134" i="57"/>
  <c r="D130" i="9"/>
  <c r="D13" i="52" s="1"/>
  <c r="N46" i="9"/>
  <c r="H59" i="43"/>
  <c r="H9" i="44"/>
  <c r="H7" i="44"/>
  <c r="H10" i="44"/>
  <c r="N12" i="43"/>
  <c r="N4" i="43"/>
  <c r="M7" i="43"/>
  <c r="N1" i="43"/>
  <c r="M10" i="43"/>
  <c r="M2" i="43"/>
  <c r="H15" i="44"/>
  <c r="H5" i="44"/>
  <c r="N10" i="43"/>
  <c r="N2" i="43"/>
  <c r="N11" i="43"/>
  <c r="N9" i="43"/>
  <c r="M4" i="43"/>
  <c r="N5" i="43"/>
  <c r="N3" i="43"/>
  <c r="M9" i="43"/>
  <c r="E17" i="43"/>
  <c r="N17" i="43"/>
  <c r="L17" i="43"/>
  <c r="O17" i="43"/>
  <c r="M17" i="43"/>
  <c r="J1" i="61"/>
  <c r="J52" i="15"/>
  <c r="C23" i="59"/>
  <c r="D23" i="59" s="1"/>
  <c r="B25" i="59"/>
  <c r="AB25" i="59"/>
  <c r="U25" i="59"/>
  <c r="AA24" i="59"/>
  <c r="X24" i="59"/>
  <c r="AB24" i="59"/>
  <c r="AA23" i="59"/>
  <c r="Y23" i="59"/>
  <c r="Z23" i="59"/>
  <c r="Y21" i="59"/>
  <c r="Z21" i="59" s="1"/>
  <c r="AB21" i="59"/>
  <c r="AB19" i="59"/>
  <c r="X21" i="59"/>
  <c r="X19" i="59"/>
  <c r="AA21" i="59"/>
  <c r="AA19" i="59"/>
  <c r="AB20" i="59"/>
  <c r="X20" i="59"/>
  <c r="U21" i="59"/>
  <c r="J30" i="35"/>
  <c r="AC30" i="35" s="1"/>
  <c r="H30" i="35"/>
  <c r="AB30" i="35" s="1"/>
  <c r="AA30" i="35"/>
  <c r="X3" i="59"/>
  <c r="Y3" i="59"/>
  <c r="Z3" i="59" s="1"/>
  <c r="F48" i="43"/>
  <c r="H50" i="43" s="1"/>
  <c r="G4" i="47"/>
  <c r="S25" i="59"/>
  <c r="B24" i="59"/>
  <c r="B23" i="59" s="1"/>
  <c r="B22" i="59"/>
  <c r="B21" i="59" s="1"/>
  <c r="I116" i="57"/>
  <c r="D133" i="57" s="1"/>
  <c r="D120" i="57"/>
  <c r="I114" i="9"/>
  <c r="D129" i="9" s="1"/>
  <c r="D116" i="9"/>
  <c r="D20" i="57"/>
  <c r="F7" i="61"/>
  <c r="E2" i="37"/>
  <c r="F5" i="61"/>
  <c r="D19" i="57"/>
  <c r="C19" i="57"/>
  <c r="H23" i="31"/>
  <c r="E2" i="36"/>
  <c r="C20" i="57"/>
  <c r="F3" i="61"/>
  <c r="E2" i="21"/>
  <c r="D7" i="61"/>
  <c r="E2" i="11"/>
  <c r="F6" i="61"/>
  <c r="E2" i="35"/>
  <c r="E2" i="34"/>
  <c r="F4" i="61"/>
  <c r="D4" i="61"/>
  <c r="AC42" i="39" l="1"/>
  <c r="U23" i="37"/>
  <c r="AB23" i="37"/>
  <c r="AA13" i="40"/>
  <c r="S13" i="40"/>
  <c r="AC29" i="36"/>
  <c r="H28" i="21"/>
  <c r="J28" i="21"/>
  <c r="H9" i="21"/>
  <c r="AB9" i="21" s="1"/>
  <c r="F9" i="21"/>
  <c r="AA9" i="21" s="1"/>
  <c r="E77" i="33"/>
  <c r="F77" i="33" s="1"/>
  <c r="G77" i="33" s="1"/>
  <c r="H15" i="33"/>
  <c r="U15" i="33" s="1"/>
  <c r="J15" i="33"/>
  <c r="W15" i="33" s="1"/>
  <c r="F12" i="36"/>
  <c r="H12" i="36"/>
  <c r="AA11" i="35"/>
  <c r="AC35" i="40"/>
  <c r="F30" i="21"/>
  <c r="J30" i="21"/>
  <c r="C17" i="39"/>
  <c r="B48" i="43"/>
  <c r="AA28" i="35"/>
  <c r="S28" i="35"/>
  <c r="J32" i="40"/>
  <c r="W32" i="40" s="1"/>
  <c r="F32" i="40"/>
  <c r="S32" i="40" s="1"/>
  <c r="H32" i="40"/>
  <c r="S33" i="37"/>
  <c r="AA33" i="35"/>
  <c r="C9" i="11"/>
  <c r="S23" i="35"/>
  <c r="AA25" i="36"/>
  <c r="AA13" i="21"/>
  <c r="S13" i="21"/>
  <c r="W13" i="36"/>
  <c r="AC13" i="36"/>
  <c r="U34" i="37"/>
  <c r="J39" i="37"/>
  <c r="H39" i="37"/>
  <c r="W25" i="34"/>
  <c r="AC25" i="34"/>
  <c r="AB16" i="36"/>
  <c r="U16" i="36"/>
  <c r="AA24" i="35"/>
  <c r="AA32" i="37"/>
  <c r="S27" i="34"/>
  <c r="AB41" i="39"/>
  <c r="U41" i="39"/>
  <c r="W9" i="37"/>
  <c r="U46" i="33"/>
  <c r="AB46" i="33"/>
  <c r="W19" i="34"/>
  <c r="AC19" i="34"/>
  <c r="AB33" i="35"/>
  <c r="U33" i="35"/>
  <c r="AA39" i="34"/>
  <c r="S39" i="34"/>
  <c r="H14" i="33"/>
  <c r="U14" i="33" s="1"/>
  <c r="F14" i="33"/>
  <c r="S14" i="33" s="1"/>
  <c r="H34" i="36"/>
  <c r="AB34" i="36" s="1"/>
  <c r="F34" i="36"/>
  <c r="AA34" i="36" s="1"/>
  <c r="S31" i="36"/>
  <c r="AA31" i="36"/>
  <c r="AA35" i="35"/>
  <c r="U29" i="33"/>
  <c r="AB29" i="33"/>
  <c r="F46" i="21"/>
  <c r="H46" i="21"/>
  <c r="U39" i="34"/>
  <c r="AB39" i="34"/>
  <c r="F36" i="35"/>
  <c r="AA36" i="35" s="1"/>
  <c r="J36" i="35"/>
  <c r="H36" i="35"/>
  <c r="U8" i="36"/>
  <c r="AB8" i="36"/>
  <c r="AB13" i="34"/>
  <c r="W28" i="40"/>
  <c r="AC28" i="40"/>
  <c r="AB19" i="40"/>
  <c r="U19" i="40"/>
  <c r="U19" i="21"/>
  <c r="AC23" i="39"/>
  <c r="AB24" i="36"/>
  <c r="J24" i="36"/>
  <c r="U38" i="34"/>
  <c r="AB23" i="40"/>
  <c r="U23" i="40"/>
  <c r="AB26" i="37"/>
  <c r="U26" i="37"/>
  <c r="AA21" i="40"/>
  <c r="C105" i="43"/>
  <c r="C120" i="57"/>
  <c r="H116" i="57" s="1"/>
  <c r="U27" i="21"/>
  <c r="W31" i="34"/>
  <c r="S23" i="39"/>
  <c r="W11" i="34"/>
  <c r="AB29" i="21"/>
  <c r="U33" i="40"/>
  <c r="S14" i="34"/>
  <c r="AA22" i="36"/>
  <c r="S22" i="36"/>
  <c r="AA14" i="40"/>
  <c r="S14" i="40"/>
  <c r="J35" i="35"/>
  <c r="J14" i="33"/>
  <c r="W32" i="34"/>
  <c r="AC32" i="34"/>
  <c r="J46" i="21"/>
  <c r="AA23" i="40"/>
  <c r="S23" i="40"/>
  <c r="AB36" i="39"/>
  <c r="U36" i="39"/>
  <c r="AA33" i="21"/>
  <c r="S33" i="21"/>
  <c r="AB12" i="21"/>
  <c r="U12" i="21"/>
  <c r="W38" i="39"/>
  <c r="AC38" i="39"/>
  <c r="AB36" i="21"/>
  <c r="F24" i="36"/>
  <c r="AA24" i="36" s="1"/>
  <c r="U19" i="34"/>
  <c r="AB19" i="34"/>
  <c r="AC21" i="21"/>
  <c r="AC11" i="39"/>
  <c r="U26" i="36"/>
  <c r="W39" i="34"/>
  <c r="AA28" i="36"/>
  <c r="S28" i="36"/>
  <c r="AA42" i="34"/>
  <c r="S14" i="35"/>
  <c r="AA14" i="35"/>
  <c r="H13" i="39"/>
  <c r="F13" i="39"/>
  <c r="H44" i="39"/>
  <c r="J44" i="39"/>
  <c r="W10" i="37"/>
  <c r="AC10" i="37"/>
  <c r="S10" i="35"/>
  <c r="AC15" i="40"/>
  <c r="S15" i="40"/>
  <c r="AA15" i="40"/>
  <c r="AC13" i="40"/>
  <c r="AA9" i="34"/>
  <c r="W17" i="40"/>
  <c r="AC17" i="40"/>
  <c r="U10" i="37"/>
  <c r="AB10" i="37"/>
  <c r="S17" i="37"/>
  <c r="C114" i="57"/>
  <c r="H109" i="57" s="1"/>
  <c r="S41" i="39"/>
  <c r="W20" i="36"/>
  <c r="AC20" i="36"/>
  <c r="F15" i="33"/>
  <c r="AA15" i="33" s="1"/>
  <c r="H66" i="33"/>
  <c r="I66" i="33" s="1"/>
  <c r="J10" i="33"/>
  <c r="AC10" i="33" s="1"/>
  <c r="H10" i="33"/>
  <c r="U10" i="33" s="1"/>
  <c r="F10" i="33"/>
  <c r="S10" i="33" s="1"/>
  <c r="U27" i="35"/>
  <c r="AB27" i="35"/>
  <c r="H40" i="37"/>
  <c r="J40" i="37"/>
  <c r="F40" i="37"/>
  <c r="U38" i="37"/>
  <c r="U10" i="34"/>
  <c r="AC23" i="37"/>
  <c r="H45" i="34"/>
  <c r="J45" i="34"/>
  <c r="AC45" i="34" s="1"/>
  <c r="U21" i="40"/>
  <c r="AB31" i="40"/>
  <c r="I103" i="43"/>
  <c r="AA15" i="21"/>
  <c r="AC12" i="36"/>
  <c r="H26" i="35"/>
  <c r="W13" i="39"/>
  <c r="AC13" i="39"/>
  <c r="H31" i="34"/>
  <c r="J13" i="35"/>
  <c r="H13" i="35"/>
  <c r="F13" i="35"/>
  <c r="I105" i="9"/>
  <c r="B60" i="59"/>
  <c r="H25" i="37"/>
  <c r="J33" i="40"/>
  <c r="AC33" i="40" s="1"/>
  <c r="T81" i="59"/>
  <c r="J14" i="39"/>
  <c r="U28" i="36"/>
  <c r="H44" i="21"/>
  <c r="B88" i="43"/>
  <c r="AC34" i="34"/>
  <c r="I107" i="57"/>
  <c r="D127" i="57" s="1"/>
  <c r="E108" i="43"/>
  <c r="E109" i="43" s="1"/>
  <c r="L108" i="43"/>
  <c r="L109" i="43" s="1"/>
  <c r="D77" i="59"/>
  <c r="B33" i="59"/>
  <c r="S33" i="59" s="1"/>
  <c r="X38" i="59"/>
  <c r="E52" i="59"/>
  <c r="P69" i="59"/>
  <c r="AB10" i="43"/>
  <c r="AB3" i="59"/>
  <c r="S14" i="36"/>
  <c r="AC30" i="40"/>
  <c r="J13" i="21"/>
  <c r="Y28" i="59"/>
  <c r="Z28" i="59" s="1"/>
  <c r="Y38" i="59"/>
  <c r="Z38" i="59" s="1"/>
  <c r="B65" i="59"/>
  <c r="S65" i="59" s="1"/>
  <c r="C68" i="59"/>
  <c r="C67" i="59" s="1"/>
  <c r="E40" i="59"/>
  <c r="AG10" i="43"/>
  <c r="F32" i="59"/>
  <c r="F40" i="59"/>
  <c r="F41" i="59" s="1"/>
  <c r="V41" i="59" s="1"/>
  <c r="F48" i="59"/>
  <c r="F49" i="59" s="1"/>
  <c r="V49" i="59" s="1"/>
  <c r="E64" i="59"/>
  <c r="E65" i="59" s="1"/>
  <c r="U65" i="59" s="1"/>
  <c r="F4" i="47"/>
  <c r="B2" i="47" s="1"/>
  <c r="H14" i="34"/>
  <c r="H39" i="33"/>
  <c r="AB39" i="33" s="1"/>
  <c r="J23" i="36"/>
  <c r="E72" i="59"/>
  <c r="E71" i="59" s="1"/>
  <c r="X39" i="59"/>
  <c r="E56" i="59"/>
  <c r="E57" i="59" s="1"/>
  <c r="U57" i="59" s="1"/>
  <c r="F64" i="59"/>
  <c r="AA12" i="43"/>
  <c r="AA13" i="43" s="1"/>
  <c r="C30" i="1"/>
  <c r="C37" i="1"/>
  <c r="C5" i="1"/>
  <c r="B36" i="59"/>
  <c r="AB36" i="59"/>
  <c r="X26" i="59"/>
  <c r="AB43" i="39"/>
  <c r="U26" i="21"/>
  <c r="F29" i="21"/>
  <c r="H37" i="39"/>
  <c r="U37" i="39" s="1"/>
  <c r="I108" i="43"/>
  <c r="D39" i="59"/>
  <c r="B68" i="59"/>
  <c r="N68" i="59" s="1"/>
  <c r="B67" i="43"/>
  <c r="C6" i="43"/>
  <c r="C15" i="39"/>
  <c r="AB40" i="34"/>
  <c r="E102" i="43"/>
  <c r="U43" i="21"/>
  <c r="W14" i="35"/>
  <c r="F12" i="39"/>
  <c r="S12" i="39" s="1"/>
  <c r="F17" i="33"/>
  <c r="AA17" i="33" s="1"/>
  <c r="C21" i="39"/>
  <c r="U38" i="39"/>
  <c r="AB39" i="59"/>
  <c r="S39" i="33"/>
  <c r="W39" i="33"/>
  <c r="F38" i="33"/>
  <c r="AA38" i="33" s="1"/>
  <c r="H38" i="33"/>
  <c r="AB38" i="33" s="1"/>
  <c r="J37" i="33"/>
  <c r="AC37" i="33" s="1"/>
  <c r="H37" i="33"/>
  <c r="AB37" i="33" s="1"/>
  <c r="F37" i="33"/>
  <c r="K56" i="9"/>
  <c r="K57" i="9" s="1"/>
  <c r="K59" i="9" s="1"/>
  <c r="K61" i="9" s="1"/>
  <c r="O56" i="9"/>
  <c r="K58" i="57"/>
  <c r="K59" i="57" s="1"/>
  <c r="K61" i="57" s="1"/>
  <c r="K63" i="57" s="1"/>
  <c r="L58" i="57"/>
  <c r="O58" i="57"/>
  <c r="N58" i="57"/>
  <c r="N56" i="9"/>
  <c r="U17" i="33"/>
  <c r="AC40" i="40"/>
  <c r="W40" i="40"/>
  <c r="D43" i="59"/>
  <c r="C44" i="59"/>
  <c r="AA17" i="39"/>
  <c r="S17" i="39"/>
  <c r="W35" i="37"/>
  <c r="S20" i="35"/>
  <c r="AB35" i="39"/>
  <c r="F40" i="40"/>
  <c r="J26" i="33"/>
  <c r="H26" i="33"/>
  <c r="F26" i="33"/>
  <c r="J9" i="34"/>
  <c r="H9" i="34"/>
  <c r="H45" i="33"/>
  <c r="J45" i="33"/>
  <c r="H12" i="35"/>
  <c r="F12" i="35"/>
  <c r="S12" i="35" s="1"/>
  <c r="F28" i="37"/>
  <c r="J28" i="37"/>
  <c r="H31" i="39"/>
  <c r="AB31" i="39" s="1"/>
  <c r="J31" i="39"/>
  <c r="W31" i="39" s="1"/>
  <c r="D84" i="59"/>
  <c r="C83" i="59"/>
  <c r="D83" i="59" s="1"/>
  <c r="S36" i="35"/>
  <c r="AC14" i="40"/>
  <c r="W33" i="37"/>
  <c r="S27" i="21"/>
  <c r="W24" i="35"/>
  <c r="AB17" i="39"/>
  <c r="W37" i="37"/>
  <c r="U31" i="33"/>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D40" i="59"/>
  <c r="C41" i="59"/>
  <c r="U15" i="37"/>
  <c r="AB15" i="37"/>
  <c r="S31" i="37"/>
  <c r="U20" i="36"/>
  <c r="AB20" i="36"/>
  <c r="C22" i="59"/>
  <c r="C21" i="59" s="1"/>
  <c r="D21" i="59" s="1"/>
  <c r="H61" i="43"/>
  <c r="H66" i="43"/>
  <c r="W34" i="21"/>
  <c r="W17" i="33"/>
  <c r="W27" i="36"/>
  <c r="H64" i="43"/>
  <c r="H67" i="43"/>
  <c r="AB28" i="40"/>
  <c r="W19" i="37"/>
  <c r="AA12" i="39"/>
  <c r="W33" i="40"/>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S13" i="33" s="1"/>
  <c r="AA8" i="40"/>
  <c r="S8" i="40"/>
  <c r="AC10" i="34"/>
  <c r="W10" i="34"/>
  <c r="H27" i="40"/>
  <c r="AB27" i="40" s="1"/>
  <c r="J27" i="40"/>
  <c r="W27" i="40" s="1"/>
  <c r="F27" i="40"/>
  <c r="S27" i="40" s="1"/>
  <c r="E81" i="43"/>
  <c r="B79" i="43" s="1"/>
  <c r="U9" i="21"/>
  <c r="AB29" i="39"/>
  <c r="S9" i="21"/>
  <c r="W15" i="21"/>
  <c r="U21" i="39"/>
  <c r="AB21" i="39"/>
  <c r="W30" i="33"/>
  <c r="AC30" i="33"/>
  <c r="S16" i="36"/>
  <c r="AA16" i="36"/>
  <c r="AA41" i="21"/>
  <c r="J12" i="35"/>
  <c r="AB32" i="35"/>
  <c r="U32" i="35"/>
  <c r="AC30" i="34"/>
  <c r="W30" i="34"/>
  <c r="W26" i="37"/>
  <c r="AA8" i="34"/>
  <c r="S8" i="34"/>
  <c r="AB39" i="21"/>
  <c r="AA44" i="21"/>
  <c r="S44" i="21"/>
  <c r="W21" i="34"/>
  <c r="AA36" i="33"/>
  <c r="AB37" i="39"/>
  <c r="AA46" i="34"/>
  <c r="AB41" i="34"/>
  <c r="AA34" i="35"/>
  <c r="S9" i="36"/>
  <c r="F37" i="47"/>
  <c r="B35" i="47" s="1"/>
  <c r="AB14" i="33"/>
  <c r="J47" i="34"/>
  <c r="AB33" i="21"/>
  <c r="G111" i="33"/>
  <c r="H111" i="33" s="1"/>
  <c r="I111" i="33" s="1"/>
  <c r="J111" i="33" s="1"/>
  <c r="K111" i="33" s="1"/>
  <c r="L111" i="33" s="1"/>
  <c r="M111" i="33" s="1"/>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B49" i="59"/>
  <c r="S49" i="59" s="1"/>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E13" i="1"/>
  <c r="C8" i="11" s="1"/>
  <c r="D108" i="43"/>
  <c r="U21" i="37"/>
  <c r="D81" i="59"/>
  <c r="C60" i="59"/>
  <c r="D60" i="59" s="1"/>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W36" i="33"/>
  <c r="U43" i="33"/>
  <c r="AC43" i="33"/>
  <c r="AA35" i="33"/>
  <c r="AB35" i="33"/>
  <c r="U34" i="33"/>
  <c r="W25" i="33"/>
  <c r="AA28" i="33"/>
  <c r="W28" i="33"/>
  <c r="S38" i="33"/>
  <c r="U38" i="33"/>
  <c r="W38" i="33"/>
  <c r="W37" i="33"/>
  <c r="AB42" i="33"/>
  <c r="W35" i="33"/>
  <c r="S34" i="33"/>
  <c r="W34" i="33"/>
  <c r="AC33" i="33"/>
  <c r="U33" i="33"/>
  <c r="S33" i="33"/>
  <c r="S32" i="33"/>
  <c r="U32" i="33"/>
  <c r="AC32" i="33"/>
  <c r="U23" i="33"/>
  <c r="S23" i="33"/>
  <c r="AC21" i="33"/>
  <c r="S17" i="33"/>
  <c r="AC15" i="33"/>
  <c r="S15" i="33"/>
  <c r="W10" i="33"/>
  <c r="AA10" i="33"/>
  <c r="AB10" i="33"/>
  <c r="W8" i="33"/>
  <c r="U8" i="33"/>
  <c r="S8" i="33"/>
  <c r="W9" i="33"/>
  <c r="AB9" i="33"/>
  <c r="C5" i="11"/>
  <c r="M60" i="15"/>
  <c r="A132" i="9"/>
  <c r="F117" i="9"/>
  <c r="D32" i="9"/>
  <c r="C110" i="57"/>
  <c r="H104" i="57" s="1"/>
  <c r="H60" i="43"/>
  <c r="F70" i="43"/>
  <c r="H75" i="43" s="1"/>
  <c r="B15" i="50"/>
  <c r="B36" i="50" s="1"/>
  <c r="D42" i="50"/>
  <c r="D43" i="50" s="1"/>
  <c r="B21" i="50"/>
  <c r="AB25" i="33"/>
  <c r="U25" i="33"/>
  <c r="U27" i="40"/>
  <c r="AC28" i="34"/>
  <c r="W28" i="34"/>
  <c r="AC35" i="39"/>
  <c r="W35" i="39"/>
  <c r="AA29" i="21"/>
  <c r="S29" i="21"/>
  <c r="S17" i="21"/>
  <c r="AA17" i="21"/>
  <c r="AC31" i="39"/>
  <c r="S45" i="34"/>
  <c r="AA45" i="34"/>
  <c r="C20" i="59"/>
  <c r="T21" i="59"/>
  <c r="W40" i="21"/>
  <c r="AC40" i="21"/>
  <c r="W13" i="37"/>
  <c r="AC13" i="37"/>
  <c r="W27" i="33"/>
  <c r="AC27" i="33"/>
  <c r="U23" i="21"/>
  <c r="AB23" i="21"/>
  <c r="S38" i="37"/>
  <c r="AA38" i="37"/>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AC13" i="35"/>
  <c r="J25" i="35"/>
  <c r="F25" i="35"/>
  <c r="H25" i="35"/>
  <c r="B20" i="59"/>
  <c r="B19" i="59" s="1"/>
  <c r="B18" i="59" s="1"/>
  <c r="B17" i="59" s="1"/>
  <c r="S21" i="59"/>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D22" i="59"/>
  <c r="AB28" i="34"/>
  <c r="H85" i="43"/>
  <c r="H81" i="43"/>
  <c r="H84" i="43"/>
  <c r="H87" i="43"/>
  <c r="U13" i="39"/>
  <c r="AB13" i="39"/>
  <c r="AC32" i="36"/>
  <c r="W32" i="36"/>
  <c r="AC30" i="21"/>
  <c r="W30" i="21"/>
  <c r="AC39" i="21"/>
  <c r="W39" i="21"/>
  <c r="U32" i="36"/>
  <c r="AB32" i="36"/>
  <c r="W30" i="35"/>
  <c r="S34" i="21"/>
  <c r="AA34" i="21"/>
  <c r="W37" i="34"/>
  <c r="AC37" i="34"/>
  <c r="AB9" i="37"/>
  <c r="U9" i="37"/>
  <c r="AC23" i="33"/>
  <c r="W23" i="33"/>
  <c r="AA32" i="35"/>
  <c r="S32" i="35"/>
  <c r="S26" i="36"/>
  <c r="AA27" i="40"/>
  <c r="W40" i="37"/>
  <c r="AC40" i="37"/>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AA13" i="33"/>
  <c r="I14" i="62"/>
  <c r="B8" i="62" s="1"/>
  <c r="C8" i="62" s="1"/>
  <c r="W32" i="39"/>
  <c r="C114" i="9"/>
  <c r="H112" i="9" s="1"/>
  <c r="W29" i="39"/>
  <c r="U32" i="40"/>
  <c r="AB32" i="40"/>
  <c r="J34" i="36"/>
  <c r="H30" i="33"/>
  <c r="F30" i="33"/>
  <c r="AC30" i="37"/>
  <c r="W30" i="37"/>
  <c r="D52" i="59"/>
  <c r="C53" i="59"/>
  <c r="E16" i="59"/>
  <c r="E15" i="59" s="1"/>
  <c r="E14" i="59" s="1"/>
  <c r="E13" i="59" s="1"/>
  <c r="U17" i="59"/>
  <c r="AB12" i="33"/>
  <c r="J9" i="21"/>
  <c r="T144" i="31"/>
  <c r="S144" i="31"/>
  <c r="T96" i="31"/>
  <c r="S96" i="31"/>
  <c r="T84" i="31"/>
  <c r="S84" i="31"/>
  <c r="T60" i="31"/>
  <c r="S60" i="31"/>
  <c r="D67" i="59"/>
  <c r="O66" i="59"/>
  <c r="O67" i="59"/>
  <c r="C48" i="59"/>
  <c r="D48" i="59" s="1"/>
  <c r="D47" i="59"/>
  <c r="U39" i="39"/>
  <c r="F28" i="59"/>
  <c r="F27" i="59" s="1"/>
  <c r="V29" i="59"/>
  <c r="J9" i="36"/>
  <c r="H9" i="36"/>
  <c r="E67" i="59"/>
  <c r="P68" i="59"/>
  <c r="C56" i="59"/>
  <c r="D55" i="59"/>
  <c r="C61"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D68" i="59"/>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F24" i="59"/>
  <c r="F23" i="59" s="1"/>
  <c r="F22" i="59" s="1"/>
  <c r="F21" i="59" s="1"/>
  <c r="X23" i="59"/>
  <c r="AB16" i="59"/>
  <c r="Y12" i="59"/>
  <c r="Z12" i="59" s="1"/>
  <c r="AA14" i="59"/>
  <c r="AB27" i="59"/>
  <c r="Y11" i="59"/>
  <c r="Z11" i="59" s="1"/>
  <c r="AA12" i="59"/>
  <c r="U27" i="31"/>
  <c r="U25" i="31" s="1"/>
  <c r="C36" i="57" s="1"/>
  <c r="D125" i="57" s="1"/>
  <c r="L108" i="57" s="1"/>
  <c r="N108" i="43"/>
  <c r="N109" i="43" s="1"/>
  <c r="AA21" i="37"/>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A10" i="52"/>
  <c r="B66" i="60" s="1"/>
  <c r="C14" i="15"/>
  <c r="C15" i="15" s="1"/>
  <c r="D12" i="52"/>
  <c r="H70" i="43"/>
  <c r="H76" i="43"/>
  <c r="H78"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C116" i="57"/>
  <c r="H112" i="57" s="1"/>
  <c r="C17" i="12"/>
  <c r="B56" i="60"/>
  <c r="H53" i="43"/>
  <c r="N60" i="15"/>
  <c r="C12" i="12"/>
  <c r="C16" i="12" s="1"/>
  <c r="J20" i="15"/>
  <c r="C6" i="15"/>
  <c r="F51" i="15"/>
  <c r="D62" i="40"/>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C94" i="57"/>
  <c r="C96" i="57"/>
  <c r="C113" i="57"/>
  <c r="H108" i="57" s="1"/>
  <c r="C115" i="57"/>
  <c r="H110" i="57" s="1"/>
  <c r="C23" i="12"/>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4" i="57"/>
  <c r="D104" i="57"/>
  <c r="D3" i="61"/>
  <c r="D5" i="61"/>
  <c r="G1" i="61"/>
  <c r="D6" i="61"/>
  <c r="U39" i="33" l="1"/>
  <c r="AA13" i="35"/>
  <c r="S13" i="35"/>
  <c r="AC36" i="35"/>
  <c r="W36" i="35"/>
  <c r="W45" i="34"/>
  <c r="C87" i="59"/>
  <c r="D87" i="59" s="1"/>
  <c r="U45" i="34"/>
  <c r="AB45" i="34"/>
  <c r="S34" i="36"/>
  <c r="AB31" i="34"/>
  <c r="U31" i="34"/>
  <c r="AC14" i="33"/>
  <c r="W14" i="33"/>
  <c r="AB36" i="35"/>
  <c r="U36" i="35"/>
  <c r="AB14" i="34"/>
  <c r="U14" i="34"/>
  <c r="C20" i="11"/>
  <c r="C28" i="11" s="1"/>
  <c r="C27" i="11" s="1"/>
  <c r="AB15" i="33"/>
  <c r="U44" i="21"/>
  <c r="AB44" i="21"/>
  <c r="AC35" i="35"/>
  <c r="W35" i="35"/>
  <c r="AC28" i="21"/>
  <c r="W28" i="21"/>
  <c r="T25" i="31"/>
  <c r="AA40" i="37"/>
  <c r="S40" i="37"/>
  <c r="AB28" i="21"/>
  <c r="U28" i="21"/>
  <c r="U31" i="39"/>
  <c r="W14" i="39"/>
  <c r="AC14" i="39"/>
  <c r="U26" i="35"/>
  <c r="AB26" i="35"/>
  <c r="AA46" i="21"/>
  <c r="S46" i="21"/>
  <c r="S30" i="21"/>
  <c r="AA30" i="21"/>
  <c r="U40" i="37"/>
  <c r="AB40" i="37"/>
  <c r="W46" i="21"/>
  <c r="AC46" i="21"/>
  <c r="W13" i="21"/>
  <c r="AC13" i="21"/>
  <c r="AC24" i="36"/>
  <c r="W24" i="36"/>
  <c r="AC44" i="39"/>
  <c r="W44" i="39"/>
  <c r="S24" i="36"/>
  <c r="U25" i="37"/>
  <c r="AB25" i="37"/>
  <c r="AB44" i="39"/>
  <c r="U44" i="39"/>
  <c r="AB12" i="36"/>
  <c r="U12" i="36"/>
  <c r="AC32" i="40"/>
  <c r="AA13" i="39"/>
  <c r="S13" i="39"/>
  <c r="S12" i="36"/>
  <c r="AA12" i="36"/>
  <c r="U34" i="36"/>
  <c r="D31" i="50"/>
  <c r="D32" i="50" s="1"/>
  <c r="D10" i="50"/>
  <c r="D123" i="9"/>
  <c r="AC39" i="37"/>
  <c r="W39" i="37"/>
  <c r="U37" i="33"/>
  <c r="D11" i="48"/>
  <c r="C3" i="4"/>
  <c r="B4" i="55" s="1"/>
  <c r="AC42" i="33"/>
  <c r="S42" i="33"/>
  <c r="U19" i="33"/>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B23" i="31" s="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C50" i="15"/>
  <c r="F60" i="15"/>
  <c r="R25" i="31"/>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D11" i="50" l="1"/>
  <c r="B25" i="60" s="1"/>
  <c r="B23" i="60"/>
  <c r="D6" i="52"/>
  <c r="L106" i="9"/>
  <c r="A18" i="55" s="1"/>
  <c r="B48" i="60" s="1"/>
  <c r="B53" i="60"/>
  <c r="AC7" i="35"/>
  <c r="V38" i="35" s="1"/>
  <c r="I38" i="35" s="1"/>
  <c r="AA7" i="37"/>
  <c r="R42" i="37" s="1"/>
  <c r="R48" i="33"/>
  <c r="E48" i="33" s="1"/>
  <c r="T45" i="59"/>
  <c r="D45" i="59"/>
  <c r="AA7" i="35"/>
  <c r="R38" i="35" s="1"/>
  <c r="R39"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E7" i="59"/>
  <c r="H7" i="36"/>
  <c r="U7" i="36" s="1"/>
  <c r="C20" i="43"/>
  <c r="C29" i="43" s="1"/>
  <c r="B5" i="55"/>
  <c r="B18" i="4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F7" i="36"/>
  <c r="I42" i="35"/>
  <c r="J42" i="35" s="1"/>
  <c r="F59" i="34"/>
  <c r="G58" i="21"/>
  <c r="I46" i="37"/>
  <c r="J46" i="37" s="1"/>
  <c r="G47" i="37"/>
  <c r="H47" i="37" s="1"/>
  <c r="C39" i="43"/>
  <c r="G39" i="43" s="1"/>
  <c r="I39" i="43" s="1"/>
  <c r="C38" i="43"/>
  <c r="C10" i="15"/>
  <c r="C5" i="15" s="1"/>
  <c r="C54" i="15"/>
  <c r="C49" i="15" s="1"/>
  <c r="J24" i="15"/>
  <c r="F22" i="11"/>
  <c r="F41" i="11" s="1"/>
  <c r="F24" i="15"/>
  <c r="F25" i="12"/>
  <c r="E38" i="35" l="1"/>
  <c r="I43" i="35" s="1"/>
  <c r="J43" i="35" s="1"/>
  <c r="B4" i="60"/>
  <c r="B55" i="60"/>
  <c r="R43" i="37"/>
  <c r="E42" i="37"/>
  <c r="R49" i="33"/>
  <c r="C49" i="33" s="1"/>
  <c r="G53" i="33"/>
  <c r="H53" i="33" s="1"/>
  <c r="AC7" i="36"/>
  <c r="V36" i="36" s="1"/>
  <c r="I36" i="36" s="1"/>
  <c r="I40" i="36" s="1"/>
  <c r="J40" i="36" s="1"/>
  <c r="AB7" i="36"/>
  <c r="T36" i="36" s="1"/>
  <c r="G36" i="36" s="1"/>
  <c r="S9" i="59"/>
  <c r="B8" i="59"/>
  <c r="B7" i="59" s="1"/>
  <c r="B6" i="59" s="1"/>
  <c r="I67" i="39"/>
  <c r="H69" i="39"/>
  <c r="F12" i="59"/>
  <c r="F11" i="59" s="1"/>
  <c r="F10" i="59" s="1"/>
  <c r="F9" i="59" s="1"/>
  <c r="V13" i="59"/>
  <c r="T37" i="59"/>
  <c r="D37" i="5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D118" i="57" s="1"/>
  <c r="D119" i="57" s="1"/>
  <c r="I115" i="57" s="1"/>
  <c r="D132" i="57" s="1"/>
  <c r="H126" i="57"/>
  <c r="C107" i="57"/>
  <c r="I104" i="57"/>
  <c r="I114" i="57" s="1"/>
  <c r="D131" i="57" s="1"/>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E39" i="43"/>
  <c r="E38" i="43"/>
  <c r="G38" i="43"/>
  <c r="I38" i="43" s="1"/>
  <c r="C27" i="12"/>
  <c r="C25" i="12" s="1"/>
  <c r="C26" i="12"/>
  <c r="D25" i="12" s="1"/>
  <c r="C23" i="15"/>
  <c r="C24" i="15"/>
  <c r="C43" i="11"/>
  <c r="C23" i="11"/>
  <c r="C44" i="11"/>
  <c r="D41" i="11" s="1"/>
  <c r="C25" i="11"/>
  <c r="C42" i="11"/>
  <c r="C26" i="11"/>
  <c r="D22" i="11" s="1"/>
  <c r="C24" i="11"/>
  <c r="C61" i="15"/>
  <c r="C67" i="15"/>
  <c r="C38" i="15"/>
  <c r="G41" i="36" l="1"/>
  <c r="H41" i="36" s="1"/>
  <c r="F41" i="15"/>
  <c r="F70" i="15" s="1"/>
  <c r="B41" i="1"/>
  <c r="M27" i="15" s="1"/>
  <c r="I47" i="37"/>
  <c r="J47" i="37" s="1"/>
  <c r="E47" i="37"/>
  <c r="F47" i="37" s="1"/>
  <c r="E46" i="37"/>
  <c r="F46" i="37" s="1"/>
  <c r="C43" i="37"/>
  <c r="B2" i="37" s="1"/>
  <c r="B3" i="37" s="1"/>
  <c r="C42" i="37"/>
  <c r="C48" i="33"/>
  <c r="C16" i="59"/>
  <c r="T17" i="59"/>
  <c r="D17" i="59"/>
  <c r="G40" i="36"/>
  <c r="H40" i="36" s="1"/>
  <c r="V9" i="59"/>
  <c r="F8" i="59"/>
  <c r="F7" i="59" s="1"/>
  <c r="F6" i="59" s="1"/>
  <c r="F5" i="59" s="1"/>
  <c r="V5" i="59" s="1"/>
  <c r="I69" i="39"/>
  <c r="J67" i="39"/>
  <c r="E5" i="59"/>
  <c r="U5" i="59" s="1"/>
  <c r="B5" i="59"/>
  <c r="S5" i="59" s="1"/>
  <c r="E33" i="43"/>
  <c r="G36" i="43"/>
  <c r="I36" i="43" s="1"/>
  <c r="E35" i="43"/>
  <c r="E34" i="43"/>
  <c r="G37" i="43"/>
  <c r="I37" i="43" s="1"/>
  <c r="I112" i="57"/>
  <c r="D47" i="57"/>
  <c r="N50" i="57"/>
  <c r="D116" i="57"/>
  <c r="D117" i="57" s="1"/>
  <c r="I113" i="57" s="1"/>
  <c r="D130" i="57" s="1"/>
  <c r="D121" i="57"/>
  <c r="I117" i="57" s="1"/>
  <c r="G64" i="40"/>
  <c r="H62" i="40"/>
  <c r="B3" i="35"/>
  <c r="B2" i="35"/>
  <c r="H59" i="34"/>
  <c r="R37" i="36"/>
  <c r="E36" i="36"/>
  <c r="I58" i="21"/>
  <c r="C41" i="11"/>
  <c r="C49" i="11" s="1"/>
  <c r="C51" i="11" s="1"/>
  <c r="C29" i="15"/>
  <c r="J14" i="15" s="1"/>
  <c r="C22" i="11"/>
  <c r="C31" i="11" s="1"/>
  <c r="C32" i="12"/>
  <c r="C15" i="59" l="1"/>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J26" i="15" s="1"/>
  <c r="J29" i="15" s="1"/>
  <c r="C56" i="11"/>
  <c r="C57" i="11" s="1"/>
  <c r="B2" i="11"/>
  <c r="B3" i="11"/>
  <c r="C83" i="57" l="1"/>
  <c r="C98" i="57"/>
  <c r="E98" i="57" s="1"/>
  <c r="E99" i="57" s="1"/>
  <c r="C13" i="59"/>
  <c r="D14" i="59"/>
  <c r="L69" i="39"/>
  <c r="M67" i="3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E2" i="33"/>
  <c r="B2" i="33" l="1"/>
  <c r="C11" i="59"/>
  <c r="D12" i="59"/>
  <c r="N69" i="39"/>
  <c r="O67" i="39"/>
  <c r="O69" i="39" s="1"/>
  <c r="D35" i="9"/>
  <c r="D34" i="9" s="1"/>
  <c r="L64" i="40"/>
  <c r="M62" i="40"/>
  <c r="M59" i="34"/>
  <c r="N59" i="34" s="1"/>
  <c r="O59" i="34" s="1"/>
  <c r="H7" i="34" s="1"/>
  <c r="L58" i="15"/>
  <c r="L61" i="15" s="1"/>
  <c r="C19" i="9"/>
  <c r="C101" i="9" l="1"/>
  <c r="B3" i="33"/>
  <c r="J7" i="39"/>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C20" i="9"/>
  <c r="C102" i="9" l="1"/>
  <c r="D10" i="59"/>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G20" i="9"/>
  <c r="G23" i="9" s="1"/>
  <c r="D101" i="9"/>
  <c r="G19" i="9"/>
  <c r="D22" i="9"/>
  <c r="E53" i="34"/>
  <c r="F53" i="34" s="1"/>
  <c r="E54" i="34"/>
  <c r="F54" i="34" s="1"/>
  <c r="G52" i="39"/>
  <c r="H52" i="39" s="1"/>
  <c r="C8" i="59"/>
  <c r="D9" i="59"/>
  <c r="T9" i="59"/>
  <c r="R48" i="39"/>
  <c r="E47" i="39"/>
  <c r="R50" i="34"/>
  <c r="C50" i="34" s="1"/>
  <c r="B2" i="34" s="1"/>
  <c r="B3" i="34" s="1"/>
  <c r="I53" i="34"/>
  <c r="J53" i="34" s="1"/>
  <c r="I54" i="34"/>
  <c r="J54" i="34" s="1"/>
  <c r="H7" i="40"/>
  <c r="J7" i="40"/>
  <c r="F7" i="40"/>
  <c r="C32" i="9" l="1"/>
  <c r="C35" i="9" s="1"/>
  <c r="C34" i="9" s="1"/>
  <c r="E52" i="39"/>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I121" i="9" l="1"/>
  <c r="E121" i="9"/>
  <c r="G121" i="9"/>
  <c r="D121" i="9" l="1"/>
  <c r="E4" i="52"/>
  <c r="I103" i="9"/>
  <c r="I4" i="52"/>
  <c r="F121" i="9"/>
  <c r="G4" i="52"/>
  <c r="D107" i="9"/>
  <c r="H121" i="9"/>
  <c r="H4" i="52" s="1"/>
  <c r="C104" i="9"/>
  <c r="B41" i="60" l="1"/>
  <c r="B38" i="60"/>
  <c r="F122" i="9"/>
  <c r="F5" i="52" s="1"/>
  <c r="F4" i="52"/>
  <c r="D30" i="50"/>
  <c r="D9" i="50"/>
  <c r="D122" i="9"/>
  <c r="D5" i="52" s="1"/>
  <c r="D4" i="52"/>
  <c r="I102" i="9"/>
  <c r="I112" i="9" s="1"/>
  <c r="D14" i="62"/>
  <c r="C103" i="9"/>
  <c r="D106" i="9"/>
  <c r="H122" i="9"/>
  <c r="H5" i="52" s="1"/>
  <c r="B21" i="60" l="1"/>
  <c r="B37" i="60"/>
  <c r="B40" i="60"/>
  <c r="B39" i="60"/>
  <c r="B42" i="60"/>
  <c r="D112" i="9"/>
  <c r="D113" i="9" s="1"/>
  <c r="D117" i="9" s="1"/>
  <c r="D114" i="9"/>
  <c r="D115" i="9" s="1"/>
  <c r="D127" i="9"/>
  <c r="D39" i="50"/>
  <c r="D40" i="50" s="1"/>
  <c r="D18" i="50"/>
  <c r="D28" i="50"/>
  <c r="D29" i="50" s="1"/>
  <c r="D7" i="50"/>
  <c r="B5" i="62"/>
  <c r="F14" i="62"/>
  <c r="E14" i="62"/>
  <c r="D45" i="9"/>
  <c r="N48" i="9"/>
  <c r="I110" i="9"/>
  <c r="B31" i="60" l="1"/>
  <c r="D19" i="50"/>
  <c r="H14" i="62"/>
  <c r="B7" i="62" s="1"/>
  <c r="D10" i="52"/>
  <c r="I113" i="9"/>
  <c r="D41" i="50"/>
  <c r="I115" i="9"/>
  <c r="D23" i="50" s="1"/>
  <c r="D44" i="50"/>
  <c r="I111" i="9"/>
  <c r="D38" i="50"/>
  <c r="D15" i="50"/>
  <c r="D36" i="50"/>
  <c r="D37" i="50" s="1"/>
  <c r="B19" i="60"/>
  <c r="D8" i="50"/>
  <c r="D125" i="9"/>
  <c r="N49" i="9"/>
  <c r="D5" i="62"/>
  <c r="C5" i="62"/>
  <c r="D52" i="9"/>
  <c r="C72" i="9"/>
  <c r="C85" i="9"/>
  <c r="C78" i="9"/>
  <c r="C73" i="9" s="1"/>
  <c r="C93" i="9"/>
  <c r="C86" i="9" s="1"/>
  <c r="D53" i="9"/>
  <c r="D48" i="9" s="1"/>
  <c r="N52" i="9" s="1"/>
  <c r="O57" i="9" s="1"/>
  <c r="C64" i="9"/>
  <c r="C63" i="9" s="1"/>
  <c r="C67" i="9" s="1"/>
  <c r="C68" i="9" s="1"/>
  <c r="D54" i="9" s="1"/>
  <c r="B62" i="60" l="1"/>
  <c r="B34" i="60"/>
  <c r="B63" i="60"/>
  <c r="B32" i="60"/>
  <c r="B22" i="60"/>
  <c r="D128" i="9"/>
  <c r="D11" i="52" s="1"/>
  <c r="D20" i="50"/>
  <c r="C7" i="62"/>
  <c r="D7" i="62"/>
  <c r="G14" i="62"/>
  <c r="B6" i="62" s="1"/>
  <c r="D6" i="62" s="1"/>
  <c r="D8" i="52"/>
  <c r="B29" i="60"/>
  <c r="D16" i="50"/>
  <c r="B30" i="60" s="1"/>
  <c r="D126" i="9"/>
  <c r="D9" i="52" s="1"/>
  <c r="D17" i="50"/>
  <c r="C95" i="9"/>
  <c r="M66" i="9"/>
  <c r="N66" i="9" s="1"/>
  <c r="O59" i="9"/>
  <c r="M63" i="9"/>
  <c r="N63" i="9" s="1"/>
  <c r="M64" i="9"/>
  <c r="N64" i="9" s="1"/>
  <c r="M68" i="9"/>
  <c r="N68" i="9" s="1"/>
  <c r="M67" i="9"/>
  <c r="N67" i="9" s="1"/>
  <c r="M65" i="9"/>
  <c r="N65" i="9" s="1"/>
  <c r="Q57" i="9"/>
  <c r="O58" i="9"/>
  <c r="C79" i="9"/>
  <c r="N69" i="9" l="1"/>
  <c r="O69" i="9" s="1"/>
  <c r="C6" i="62"/>
  <c r="O61" i="9"/>
  <c r="O60" i="9"/>
  <c r="C80" i="9"/>
  <c r="E80" i="9" s="1"/>
  <c r="E81" i="9" s="1"/>
  <c r="C96" i="9"/>
  <c r="E96" i="9" s="1"/>
  <c r="E97"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<sst xmlns="http://schemas.openxmlformats.org/spreadsheetml/2006/main" count="7024" uniqueCount="3094">
  <si>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</si>
  <si>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</si>
  <si>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</si>
  <si>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</si>
  <si>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</si>
  <si>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</si>
  <si>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</si>
  <si>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</si>
  <si>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</si>
  <si>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</si>
  <si>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</si>
  <si>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</si>
  <si>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</si>
  <si>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</si>
  <si>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</si>
  <si>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</si>
  <si>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</si>
  <si>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</si>
  <si>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</si>
  <si>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</si>
  <si>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</si>
  <si>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</si>
  <si>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</si>
  <si>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</si>
  <si>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</si>
  <si>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</si>
  <si>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</si>
  <si>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</si>
  <si>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</si>
  <si>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</si>
  <si>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</si>
  <si>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</si>
  <si>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</si>
  <si>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</si>
  <si>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</si>
  <si>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</si>
  <si>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</si>
  <si>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</si>
  <si>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</si>
  <si>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</si>
  <si>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</si>
  <si>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</si>
  <si>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</si>
  <si>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</si>
  <si>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</si>
  <si>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</si>
  <si>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</si>
  <si>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</si>
  <si>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</si>
  <si>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</si>
  <si>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</si>
  <si>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</si>
  <si>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</si>
  <si>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</si>
  <si>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</si>
  <si>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</si>
  <si>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</si>
  <si>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</si>
  <si>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</si>
  <si>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</si>
  <si>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</si>
  <si>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</si>
  <si>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</si>
  <si>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</si>
  <si>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</si>
  <si>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</si>
  <si>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</si>
  <si>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</si>
  <si>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</si>
  <si>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</si>
  <si>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</si>
  <si>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</si>
  <si>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</si>
  <si>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</si>
  <si>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</si>
  <si>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</si>
  <si>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</si>
  <si>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</si>
  <si>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</si>
  <si>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</si>
  <si>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</si>
  <si>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</si>
  <si>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</si>
  <si>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</si>
  <si>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</si>
  <si>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</si>
  <si>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</si>
  <si>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</si>
  <si>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</si>
  <si>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</si>
  <si>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</si>
  <si>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</si>
  <si>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</si>
  <si>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</si>
  <si>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</si>
  <si>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</si>
  <si>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</si>
  <si>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</si>
  <si>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</si>
  <si>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</si>
  <si>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</si>
  <si>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</si>
  <si>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</si>
  <si>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</si>
  <si>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</si>
  <si>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</si>
  <si>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</si>
  <si>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</si>
  <si>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</si>
  <si>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</si>
  <si>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</si>
  <si>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</si>
  <si>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</si>
  <si>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</si>
  <si>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</si>
  <si>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</si>
  <si>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</si>
  <si>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</si>
  <si>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</si>
  <si>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</si>
  <si>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</si>
  <si>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</si>
  <si>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</si>
  <si>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</si>
  <si>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</si>
  <si>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</si>
  <si>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</si>
  <si>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</si>
  <si>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</si>
  <si>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</si>
  <si>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</si>
  <si>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</si>
  <si>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</si>
  <si>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</si>
  <si>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</si>
  <si>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</si>
  <si>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</si>
  <si>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</si>
  <si>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</si>
  <si>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</si>
  <si>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</si>
  <si>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</si>
  <si>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</si>
  <si>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</si>
  <si>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</si>
  <si>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</si>
  <si>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</si>
  <si>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</si>
  <si>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</si>
  <si>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</si>
  <si>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</si>
  <si>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</si>
  <si>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</si>
  <si>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</si>
  <si>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</si>
  <si>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</si>
  <si>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</si>
  <si>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</si>
  <si>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</si>
  <si>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</si>
  <si>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</si>
  <si>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</si>
  <si>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</si>
  <si>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</si>
  <si>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</si>
  <si>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</si>
  <si>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</si>
  <si>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</si>
  <si>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</si>
  <si>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</si>
  <si>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</si>
  <si>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</si>
  <si>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</si>
  <si>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</si>
  <si>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</si>
  <si>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</si>
  <si>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</si>
  <si>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</si>
  <si>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</si>
  <si>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</si>
  <si>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</si>
  <si>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</si>
  <si>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</si>
  <si>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</si>
  <si>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</si>
  <si>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</si>
  <si>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</si>
  <si>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</si>
  <si>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</si>
  <si>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</si>
  <si>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</si>
  <si>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</si>
  <si>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</si>
  <si>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</si>
  <si>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</si>
  <si>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</si>
  <si>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</si>
  <si>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</si>
  <si>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</si>
  <si>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</si>
  <si>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</si>
  <si>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</si>
  <si>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</si>
  <si>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</si>
  <si>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</si>
  <si>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</si>
  <si>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</si>
  <si>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</si>
  <si>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</si>
  <si>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</si>
  <si>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</si>
  <si>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</si>
  <si>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</si>
  <si>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</si>
  <si>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</si>
  <si>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</si>
  <si>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</si>
  <si>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</si>
  <si>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</si>
  <si>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</si>
  <si>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</si>
  <si>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</si>
  <si>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</si>
  <si>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</si>
  <si>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</si>
  <si>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</si>
  <si>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</si>
  <si>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</si>
  <si>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</si>
  <si>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</si>
  <si>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</si>
  <si>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</si>
  <si>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</si>
  <si>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</si>
  <si>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</si>
  <si>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</si>
  <si>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</si>
  <si>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</si>
  <si>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</si>
  <si>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</si>
  <si>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</si>
  <si>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</si>
  <si>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</si>
  <si>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</si>
  <si>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</si>
  <si>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</si>
  <si>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</si>
  <si>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</si>
  <si>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</si>
  <si>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</si>
  <si>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</si>
  <si>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</si>
  <si>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</si>
  <si>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</si>
  <si>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</si>
  <si>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</si>
  <si>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</si>
  <si>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</si>
  <si>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</si>
  <si>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</si>
  <si>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</si>
  <si>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</si>
  <si>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</si>
  <si>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</si>
  <si>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</si>
  <si>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</si>
  <si>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</si>
  <si>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</si>
  <si>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</si>
  <si>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</si>
  <si>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</si>
  <si>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</si>
  <si>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</si>
  <si>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</si>
  <si>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</si>
  <si>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</si>
  <si>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</si>
  <si>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</si>
  <si>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</si>
  <si>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</si>
  <si>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</si>
  <si>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</si>
  <si>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</si>
  <si>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</si>
  <si>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</si>
  <si>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</si>
  <si>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</si>
  <si>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</si>
  <si>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</si>
  <si>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</si>
  <si>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</si>
  <si>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</si>
  <si>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</si>
  <si>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</si>
  <si>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</si>
  <si>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</si>
  <si>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</si>
  <si>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</si>
  <si>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</si>
  <si>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</si>
  <si>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</si>
  <si>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</si>
  <si>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</si>
  <si>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</si>
  <si>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</si>
  <si>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</si>
  <si>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</si>
  <si>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</si>
  <si>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</si>
  <si>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</si>
  <si>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</si>
  <si>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</si>
  <si>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</si>
  <si>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</si>
  <si>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</si>
  <si>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</si>
  <si>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</si>
  <si>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</si>
  <si>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</si>
  <si>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</si>
  <si>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</si>
  <si>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</si>
  <si>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</si>
  <si>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</si>
  <si>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</si>
  <si>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</si>
  <si>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</si>
  <si>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</si>
  <si>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</si>
  <si>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</si>
  <si>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</si>
  <si>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</si>
  <si>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</si>
  <si>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</si>
  <si>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</si>
  <si>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</si>
  <si>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</si>
  <si>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</si>
  <si>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</si>
  <si>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</si>
  <si>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</si>
  <si>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</si>
  <si>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</si>
  <si>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</si>
  <si>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</si>
  <si>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</si>
  <si>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</si>
  <si>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</si>
  <si>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</si>
  <si>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</si>
  <si>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</si>
  <si>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</si>
  <si>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</si>
  <si>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</si>
  <si>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</si>
  <si>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</si>
  <si>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</si>
  <si>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</si>
  <si>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</si>
  <si>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</si>
  <si>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</si>
  <si>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</si>
  <si>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</si>
  <si>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</si>
  <si>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</si>
  <si>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</si>
  <si>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</si>
  <si>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</si>
  <si>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</si>
  <si>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</si>
  <si>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</si>
  <si>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</si>
  <si>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</si>
  <si>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</si>
  <si>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</si>
  <si>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</si>
  <si>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</si>
  <si>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</si>
  <si>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</si>
  <si>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</si>
  <si>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</si>
  <si>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</si>
  <si>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</si>
  <si>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</si>
  <si>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</si>
  <si>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</si>
  <si>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</si>
  <si>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</si>
  <si>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</si>
  <si>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</si>
  <si>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</si>
  <si>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</si>
  <si>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</si>
  <si>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</si>
  <si>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</si>
  <si>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</si>
  <si>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</si>
  <si>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</si>
  <si>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</si>
  <si>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</si>
  <si>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</si>
  <si>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</si>
  <si>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</si>
  <si>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</si>
  <si>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</si>
  <si>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</si>
  <si>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</si>
  <si>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</si>
  <si>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</si>
  <si>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</si>
  <si>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</si>
  <si>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</si>
  <si>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</si>
  <si>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</si>
  <si>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</si>
  <si>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</si>
  <si>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</si>
  <si>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</si>
  <si>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</si>
  <si>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</si>
  <si>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</si>
  <si>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</si>
  <si>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</si>
  <si>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</si>
  <si>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</si>
  <si>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</si>
  <si>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</si>
  <si>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</si>
  <si>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</si>
  <si>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</si>
  <si>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</si>
  <si>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</si>
  <si>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</si>
  <si>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</si>
  <si>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</si>
  <si>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</si>
  <si>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</si>
  <si>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</si>
  <si>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</si>
  <si>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</si>
  <si>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</si>
  <si>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</si>
  <si>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</si>
  <si>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</si>
  <si>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</si>
  <si>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</si>
  <si>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</si>
  <si>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</si>
  <si>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</si>
  <si>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</si>
  <si>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</si>
  <si>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</si>
  <si>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</si>
  <si>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</si>
  <si>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</si>
  <si>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</si>
  <si>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</si>
  <si>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</si>
  <si>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</si>
  <si>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</si>
  <si>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</si>
  <si>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</si>
  <si>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</si>
  <si>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</si>
  <si>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</si>
  <si>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</si>
  <si>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</si>
  <si>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</si>
  <si>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</si>
  <si>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</si>
  <si>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</si>
  <si>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</si>
  <si>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</si>
  <si>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</si>
  <si>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</si>
  <si>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</si>
  <si>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</si>
  <si>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</si>
  <si>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</si>
  <si>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</si>
  <si>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</si>
  <si>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</si>
  <si>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</si>
  <si>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</si>
  <si>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</si>
  <si>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</si>
  <si>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</si>
  <si>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</si>
  <si>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</si>
  <si>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</si>
  <si>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</si>
  <si>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</si>
  <si>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</si>
  <si>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</si>
  <si>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</si>
  <si>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</si>
  <si>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</si>
  <si>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</si>
  <si>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</si>
  <si>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</si>
  <si>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</si>
  <si>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</si>
  <si>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</si>
  <si>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</si>
  <si>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</si>
  <si>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</si>
  <si>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</si>
  <si>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</si>
  <si>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</si>
  <si>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</si>
  <si>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</si>
  <si>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</si>
  <si>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</si>
  <si>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</si>
  <si>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</si>
  <si>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</si>
  <si>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</si>
  <si>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</si>
  <si>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</si>
  <si>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</si>
  <si>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</si>
  <si>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</si>
  <si>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</si>
  <si>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</si>
  <si>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</si>
  <si>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</si>
  <si>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</si>
  <si>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</si>
  <si>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</si>
  <si>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</si>
  <si>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</si>
  <si>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</si>
  <si>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</si>
  <si>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</si>
  <si>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</si>
  <si>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</si>
  <si>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</si>
  <si>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</si>
  <si>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</si>
  <si>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</si>
  <si>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</si>
  <si>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</si>
  <si>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</si>
  <si>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</si>
  <si>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</si>
  <si>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</si>
  <si>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</si>
  <si>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</si>
  <si>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</si>
  <si>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</si>
  <si>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</si>
  <si>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</si>
  <si>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</si>
  <si>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</si>
  <si>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</si>
  <si>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</si>
  <si>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</si>
  <si>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</si>
  <si>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</si>
  <si>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</si>
  <si>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</si>
  <si>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</si>
  <si>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</si>
  <si>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</si>
  <si>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</si>
  <si>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</si>
  <si>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</si>
  <si>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</si>
  <si>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</si>
  <si>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</si>
  <si>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</si>
  <si>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</si>
  <si>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</si>
  <si>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</si>
  <si>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</si>
  <si>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</si>
  <si>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</si>
  <si>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</si>
  <si>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</si>
  <si>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</si>
  <si>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</si>
  <si>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</si>
  <si>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</si>
  <si>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</si>
  <si>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</si>
  <si>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</si>
  <si>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</si>
  <si>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</si>
  <si>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</si>
  <si>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</si>
  <si>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</si>
  <si>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</si>
  <si>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</si>
  <si>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</si>
  <si>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</si>
  <si>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</si>
  <si>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</si>
  <si>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</si>
  <si>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</si>
  <si>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</si>
  <si>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</si>
  <si>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</si>
  <si>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</si>
  <si>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</si>
  <si>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</si>
  <si>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</si>
  <si>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</si>
  <si>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</si>
  <si>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</si>
  <si>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</si>
  <si>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</si>
  <si>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</si>
  <si>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</si>
  <si>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</si>
  <si>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</si>
  <si>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</si>
  <si>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</si>
  <si>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</si>
  <si>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</si>
  <si>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</si>
  <si>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</si>
  <si>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</si>
  <si>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</si>
  <si>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</si>
  <si>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</si>
  <si>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</si>
  <si>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</si>
  <si>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</si>
  <si>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</si>
  <si>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</si>
  <si>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</si>
  <si>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</si>
  <si>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</si>
  <si>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</si>
  <si>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</si>
  <si>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</si>
  <si>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</si>
  <si>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</si>
  <si>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</si>
  <si>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</si>
  <si>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</si>
  <si>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</si>
  <si>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</si>
  <si>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</si>
  <si>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</si>
  <si>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</si>
  <si>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</si>
  <si>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</si>
  <si>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</si>
  <si>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</si>
  <si>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</si>
  <si>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</si>
  <si>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</si>
  <si>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</si>
  <si>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</si>
  <si>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</si>
  <si>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</si>
  <si>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</si>
  <si>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</si>
  <si>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</si>
  <si>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</si>
  <si>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</si>
  <si>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</si>
  <si>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</si>
  <si>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</si>
  <si>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</si>
  <si>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</si>
  <si>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</si>
  <si>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</si>
  <si>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</si>
  <si>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</si>
  <si>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</si>
  <si>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</si>
  <si>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</si>
  <si>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</si>
  <si>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</si>
  <si>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</si>
  <si>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</si>
  <si>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</si>
  <si>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</si>
  <si>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</si>
  <si>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</si>
  <si>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</si>
  <si>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</si>
  <si>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</si>
  <si>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</si>
  <si>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</si>
  <si>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</si>
  <si>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</si>
  <si>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</si>
  <si>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</si>
  <si>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</si>
  <si>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</si>
  <si>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</si>
  <si>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</si>
  <si>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</si>
  <si>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</si>
  <si>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</si>
  <si>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</si>
  <si>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</si>
  <si>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</si>
  <si>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</si>
  <si>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</si>
  <si>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</si>
  <si>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</si>
  <si>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</si>
  <si>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</si>
  <si>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</si>
  <si>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</si>
  <si>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</si>
  <si>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</si>
  <si>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</si>
  <si>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</si>
  <si>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</si>
  <si>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</si>
  <si>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</si>
  <si>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</si>
  <si>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</si>
  <si>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</si>
  <si>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</si>
  <si>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</si>
  <si>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</si>
  <si>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</si>
  <si>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</si>
  <si>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</si>
  <si>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</si>
  <si>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</si>
  <si>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</si>
  <si>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</si>
  <si>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</si>
  <si>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</si>
  <si>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</si>
  <si>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</si>
  <si>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</si>
  <si>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</si>
  <si>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</si>
  <si>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</si>
  <si>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</si>
  <si>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</si>
  <si>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</si>
  <si>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</si>
  <si>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</si>
  <si>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</si>
  <si>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</si>
  <si>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</si>
  <si>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</si>
  <si>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</si>
  <si>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</si>
  <si>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</si>
  <si>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</si>
  <si>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</si>
  <si>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</si>
  <si>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</si>
  <si>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</si>
  <si>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</si>
  <si>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</si>
  <si>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</si>
  <si>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</si>
  <si>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</si>
  <si>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</si>
  <si>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</si>
  <si>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</si>
  <si>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</si>
  <si>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</si>
  <si>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</si>
  <si>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</si>
  <si>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</si>
  <si>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</si>
  <si>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</si>
  <si>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</si>
  <si>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</si>
  <si>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</si>
  <si>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</si>
  <si>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</si>
  <si>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</si>
  <si>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</si>
  <si>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</si>
  <si>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</si>
  <si>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</si>
  <si>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</si>
  <si>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</si>
  <si>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</si>
  <si>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</si>
  <si>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</si>
  <si>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</si>
  <si>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</si>
  <si>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</si>
  <si>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</si>
  <si>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</si>
  <si>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</si>
  <si>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</si>
  <si>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</si>
  <si>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</si>
  <si>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</si>
  <si>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</si>
  <si>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</si>
  <si>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</si>
  <si>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</si>
  <si>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</si>
  <si>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</si>
  <si>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</si>
  <si>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</si>
  <si>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</si>
  <si>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</si>
  <si>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</si>
  <si>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</si>
  <si>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</si>
  <si>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</si>
  <si>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</si>
  <si>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</si>
  <si>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</si>
  <si>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</si>
  <si>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</si>
  <si>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</si>
  <si>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</si>
  <si>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</si>
  <si>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</si>
  <si>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</si>
  <si>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</si>
  <si>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</si>
  <si>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</si>
  <si>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</si>
  <si>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</si>
  <si>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</si>
  <si>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</si>
  <si>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</si>
  <si>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</si>
  <si>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</si>
  <si>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</si>
  <si>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</si>
  <si>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</si>
  <si>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</si>
  <si>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</si>
  <si>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</si>
  <si>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</si>
  <si>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</si>
  <si>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</si>
  <si>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</si>
  <si>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</si>
  <si>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</si>
  <si>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</si>
  <si>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</si>
  <si>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</si>
  <si>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</si>
  <si>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</si>
  <si>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</si>
  <si>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</si>
  <si>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</si>
  <si>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</si>
  <si>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</si>
  <si>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</si>
  <si>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</si>
  <si>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</si>
  <si>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</si>
  <si>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</si>
  <si>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</si>
  <si>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</si>
  <si>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</si>
  <si>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</si>
  <si>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</si>
  <si>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</si>
  <si>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</si>
  <si>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</si>
  <si>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</si>
  <si>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</si>
  <si>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</si>
  <si>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</si>
  <si>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</si>
  <si>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</si>
  <si>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</si>
  <si>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</si>
  <si>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</si>
  <si>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</si>
  <si>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</si>
  <si>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</si>
  <si>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</si>
  <si>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</si>
  <si>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</si>
  <si>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</si>
  <si>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</si>
  <si>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</si>
  <si>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</si>
  <si>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</si>
  <si>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</si>
  <si>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</si>
  <si>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</si>
  <si>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</si>
  <si>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</si>
  <si>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</si>
  <si>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</si>
  <si>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</si>
  <si>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</si>
  <si>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</si>
  <si>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</si>
  <si>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</si>
  <si>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</si>
  <si>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</si>
  <si>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</si>
  <si>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</si>
  <si>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</si>
  <si>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</si>
  <si>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</si>
  <si>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</si>
  <si>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</si>
  <si>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</si>
  <si>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</si>
  <si>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</si>
  <si>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</si>
  <si>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</si>
  <si>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</si>
  <si>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</si>
  <si>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</si>
  <si>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</si>
  <si>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</si>
  <si>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</si>
  <si>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</si>
  <si>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</si>
  <si>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</si>
  <si>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</si>
  <si>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</si>
  <si>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</si>
  <si>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</si>
  <si>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</si>
  <si>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</si>
  <si>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</si>
  <si>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</si>
  <si>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</si>
  <si>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</si>
  <si>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</si>
  <si>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</si>
  <si>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</si>
  <si>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</si>
  <si>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</si>
  <si>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</si>
  <si>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</si>
  <si>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</si>
  <si>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</si>
  <si>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</si>
  <si>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</si>
  <si>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</si>
  <si>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</si>
  <si>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</si>
  <si>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</si>
  <si>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</si>
  <si>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</si>
  <si>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</si>
  <si>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</si>
  <si>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</si>
  <si>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</si>
  <si>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</si>
  <si>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</si>
  <si>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</si>
  <si>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</si>
  <si>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</si>
  <si>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</si>
  <si>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</si>
  <si>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</si>
  <si>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</si>
  <si>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</si>
  <si>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</si>
  <si>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</si>
  <si>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</si>
  <si>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</si>
  <si>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</si>
  <si>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</si>
  <si>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</si>
  <si>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</si>
  <si>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</si>
  <si>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</si>
  <si>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</si>
  <si>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</si>
  <si>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</si>
  <si>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</si>
  <si>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</si>
  <si>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</si>
  <si>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</si>
  <si>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</si>
  <si>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</si>
  <si>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</si>
  <si>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</si>
  <si>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</si>
  <si>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</si>
  <si>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</si>
  <si>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</si>
  <si>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</si>
  <si>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</si>
  <si>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</si>
  <si>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</si>
  <si>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</si>
  <si>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</si>
  <si>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</si>
  <si>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</si>
  <si>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</si>
  <si>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</si>
  <si>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</si>
  <si>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</si>
  <si>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</si>
  <si>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</si>
  <si>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</si>
  <si>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</si>
  <si>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</si>
  <si>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</si>
  <si>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</si>
  <si>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</si>
  <si>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</si>
  <si>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</si>
  <si>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</si>
  <si>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</si>
  <si>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</si>
  <si>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</si>
  <si>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</si>
  <si>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</si>
  <si>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</si>
  <si>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</si>
  <si>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</si>
  <si>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</si>
  <si>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</si>
  <si>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</si>
  <si>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</si>
  <si>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</si>
  <si>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</si>
  <si>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</si>
  <si>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</si>
  <si>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</si>
  <si>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</si>
  <si>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</si>
  <si>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</si>
  <si>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</si>
  <si>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</si>
  <si>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</si>
  <si>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</si>
  <si>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</si>
  <si>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</si>
  <si>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</si>
  <si>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</si>
  <si>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</si>
  <si>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</si>
  <si>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</si>
  <si>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</si>
  <si>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</si>
  <si>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</si>
  <si>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</si>
  <si>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</si>
  <si>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</si>
  <si>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</si>
  <si>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</si>
  <si>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</si>
  <si>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</si>
  <si>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</si>
  <si>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</si>
  <si>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</si>
  <si>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</si>
  <si>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</si>
  <si>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</si>
  <si>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</si>
  <si>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</si>
  <si>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</si>
  <si>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</si>
  <si>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</si>
  <si>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</si>
  <si>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</si>
  <si>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</si>
  <si>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</si>
  <si>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</si>
  <si>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</si>
  <si>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</si>
  <si>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</si>
  <si>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</si>
  <si>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</si>
  <si>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</si>
  <si>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</si>
  <si>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</si>
  <si>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</si>
  <si>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</si>
  <si>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</si>
  <si>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</si>
  <si>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</si>
  <si>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</si>
  <si>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</si>
  <si>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</si>
  <si>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</si>
  <si>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</si>
  <si>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</si>
  <si>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</si>
  <si>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</si>
  <si>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</si>
  <si>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</si>
  <si>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</si>
  <si>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</si>
  <si>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</si>
  <si>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</si>
  <si>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</si>
  <si>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</si>
  <si>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</si>
  <si>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</si>
  <si>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</si>
  <si>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</si>
  <si>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</si>
  <si>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</si>
  <si>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</si>
  <si>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</si>
  <si>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</si>
  <si>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</si>
  <si>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</si>
  <si>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</si>
  <si>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</si>
  <si>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</si>
  <si>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</si>
  <si>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</si>
  <si>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</si>
  <si>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</si>
  <si>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</si>
  <si>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</si>
  <si>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</si>
  <si>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</si>
  <si>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</si>
  <si>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</si>
  <si>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</si>
  <si>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</si>
  <si>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</si>
  <si>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</si>
  <si>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</si>
  <si>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</si>
  <si>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</si>
  <si>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</si>
  <si>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</si>
  <si>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</si>
  <si>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</si>
  <si>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</si>
  <si>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</si>
  <si>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</si>
  <si>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</si>
  <si>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</si>
  <si>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</si>
  <si>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</si>
  <si>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</si>
  <si>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</si>
  <si>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</si>
  <si>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</si>
  <si>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</si>
  <si>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</si>
  <si>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</si>
  <si>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</si>
  <si>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</si>
  <si>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</si>
  <si>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</si>
  <si>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</si>
  <si>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</si>
  <si>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</si>
  <si>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</si>
  <si>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</si>
  <si>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</si>
  <si>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</si>
  <si>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</si>
  <si>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</si>
  <si>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</si>
  <si>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</si>
  <si>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</si>
  <si>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</si>
  <si>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</si>
  <si>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</si>
  <si>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</si>
  <si>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</si>
  <si>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</si>
  <si>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</si>
  <si>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</si>
  <si>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</si>
  <si>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</si>
  <si>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</si>
  <si>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</si>
  <si>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</si>
  <si>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</si>
  <si>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</si>
  <si>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</si>
  <si>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</si>
  <si>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</si>
  <si>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</si>
  <si>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</si>
  <si>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</si>
  <si>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</si>
  <si>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</si>
  <si>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</si>
  <si>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</si>
  <si>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</si>
  <si>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</si>
  <si>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</si>
  <si>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</si>
  <si>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</si>
  <si>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</si>
  <si>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</si>
  <si>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</si>
  <si>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</si>
  <si>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</si>
  <si>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</si>
  <si>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</si>
  <si>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</si>
  <si>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</si>
  <si>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</si>
  <si>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</si>
  <si>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</si>
  <si>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</si>
  <si>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</si>
  <si>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</si>
  <si>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</si>
  <si>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</si>
  <si>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</si>
  <si>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</si>
  <si>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</si>
  <si>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</si>
  <si>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</si>
  <si>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</si>
  <si>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</si>
  <si>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</si>
  <si>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</si>
  <si>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</si>
  <si>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</si>
  <si>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</si>
  <si>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</si>
  <si>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</si>
  <si>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</si>
  <si>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</si>
  <si>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</si>
  <si>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</si>
  <si>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</si>
  <si>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</si>
  <si>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</si>
  <si>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</si>
  <si>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</si>
  <si>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</si>
  <si>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</si>
  <si>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</si>
  <si>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</si>
  <si>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</si>
  <si>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</si>
  <si>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</si>
  <si>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</si>
  <si>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</si>
  <si>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</si>
  <si>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</si>
  <si>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</si>
  <si>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</si>
  <si>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</si>
  <si>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</si>
  <si>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</si>
  <si>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</si>
  <si>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</si>
  <si>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</si>
  <si>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</si>
  <si>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</si>
  <si>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</si>
  <si>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</si>
  <si>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</si>
  <si>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</si>
  <si>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</si>
  <si>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</si>
  <si>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</si>
  <si>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</si>
  <si>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</si>
  <si>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</si>
  <si>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</si>
  <si>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</si>
  <si>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</si>
  <si>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</si>
  <si>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</si>
  <si>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</si>
  <si>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</si>
  <si>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</si>
  <si>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</si>
  <si>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</si>
  <si>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</si>
  <si>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</si>
  <si>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</si>
  <si>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</si>
  <si>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</si>
  <si>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</si>
  <si>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</si>
  <si>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</si>
  <si>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</si>
  <si>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</si>
  <si>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</si>
  <si>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</si>
  <si>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</si>
  <si>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</si>
  <si>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</si>
  <si>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</si>
  <si>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</si>
  <si>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</si>
  <si>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</si>
  <si>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</si>
  <si>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</si>
  <si>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</si>
  <si>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</si>
  <si>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</si>
  <si>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</si>
  <si>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</si>
  <si>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</si>
  <si>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</si>
  <si>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</si>
  <si>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</si>
  <si>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</si>
  <si>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</si>
  <si>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</si>
  <si>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</si>
  <si>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</si>
  <si>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</si>
  <si>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</si>
  <si>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</si>
  <si>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</si>
  <si>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</si>
  <si>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</si>
  <si>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</si>
  <si>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</si>
  <si>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</si>
  <si>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</si>
  <si>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</si>
  <si>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</si>
  <si>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</si>
  <si>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</si>
  <si>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</si>
  <si>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</si>
  <si>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</si>
  <si>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</si>
  <si>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</si>
  <si>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</si>
  <si>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</si>
  <si>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</si>
  <si>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</si>
  <si>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</si>
  <si>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</si>
  <si>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</si>
  <si>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</si>
  <si>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</si>
  <si>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</si>
  <si>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</si>
  <si>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</si>
  <si>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</si>
  <si>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</si>
  <si>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</si>
  <si>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</si>
  <si>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</si>
  <si>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</si>
  <si>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</si>
  <si>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</si>
  <si>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</si>
  <si>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</si>
  <si>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</si>
  <si>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</si>
  <si>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</si>
  <si>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</si>
  <si>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</si>
  <si>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</si>
  <si>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</si>
  <si>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</si>
  <si>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</si>
  <si>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</si>
  <si>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</si>
  <si>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</si>
  <si>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</si>
  <si>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</si>
  <si>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</si>
  <si>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</si>
  <si>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</si>
  <si>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</si>
  <si>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</si>
  <si>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</si>
  <si>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</si>
  <si>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</si>
  <si>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</si>
  <si>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</si>
  <si>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</si>
  <si>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</si>
  <si>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</si>
  <si>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</si>
  <si>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</si>
  <si>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</si>
  <si>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</si>
  <si>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</si>
  <si>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</si>
  <si>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</si>
  <si>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</si>
  <si>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</si>
  <si>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</si>
  <si>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</si>
  <si>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</si>
  <si>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</si>
  <si>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</si>
  <si>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</si>
  <si>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</si>
  <si>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</si>
  <si>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</si>
  <si>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</si>
  <si>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</si>
  <si>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</si>
  <si>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</si>
  <si>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</si>
  <si>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</si>
  <si>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</si>
  <si>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</si>
  <si>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</si>
  <si>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</si>
  <si>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</si>
  <si>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</si>
  <si>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</si>
  <si>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</si>
  <si>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</si>
  <si>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</si>
  <si>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</si>
  <si>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</si>
  <si>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</si>
  <si>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</si>
  <si>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</si>
  <si>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</si>
  <si>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</si>
  <si>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</si>
  <si>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</si>
  <si>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</si>
  <si>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</si>
  <si>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</si>
  <si>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</si>
  <si>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</si>
  <si>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</si>
  <si>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</si>
  <si>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</si>
  <si>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</si>
  <si>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</si>
  <si>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</si>
  <si>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</si>
  <si>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</si>
  <si>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</si>
  <si>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</si>
  <si>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</si>
  <si>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</si>
  <si>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</si>
  <si>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</si>
  <si>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</si>
  <si>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</si>
  <si>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</si>
  <si>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</si>
  <si>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</si>
  <si>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</si>
  <si>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</si>
  <si>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</si>
  <si>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</si>
  <si>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</si>
  <si>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</si>
  <si>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</si>
  <si>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</si>
  <si>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</si>
  <si>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</si>
  <si>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</si>
  <si>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</si>
  <si>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</si>
  <si>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</si>
  <si>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</si>
  <si>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</si>
  <si>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</si>
  <si>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</si>
  <si>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</si>
  <si>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</si>
  <si>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</si>
  <si>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</si>
  <si>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</si>
  <si>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</si>
  <si>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</si>
  <si>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</si>
  <si>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</si>
  <si>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</si>
  <si>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</si>
  <si>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</si>
  <si>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</si>
  <si>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</si>
  <si>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</si>
  <si>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</si>
  <si>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</si>
  <si>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</si>
  <si>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</si>
  <si>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</si>
  <si>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</si>
  <si>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</si>
  <si>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</si>
  <si>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</si>
  <si>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</si>
  <si>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</si>
  <si>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</si>
  <si>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</si>
  <si>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</si>
  <si>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</si>
  <si>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</si>
  <si>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</si>
  <si>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</si>
  <si>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</si>
  <si>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</si>
  <si>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</si>
  <si>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</si>
  <si>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</si>
  <si>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</si>
  <si>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</si>
  <si>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</si>
  <si>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</si>
  <si>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</si>
  <si>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</si>
  <si>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</si>
  <si>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</si>
  <si>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</si>
  <si>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</si>
  <si>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</si>
  <si>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</si>
  <si>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</si>
  <si>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</si>
  <si>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</si>
  <si>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</si>
  <si>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</si>
  <si>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</si>
  <si>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</si>
  <si>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</si>
  <si>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</si>
  <si>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</si>
  <si>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</si>
  <si>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</si>
  <si>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</si>
  <si>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</si>
  <si>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</si>
  <si>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</si>
  <si>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</si>
  <si>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</si>
  <si>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</si>
  <si>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</si>
  <si>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</si>
  <si>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</si>
  <si>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</si>
  <si>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</si>
  <si>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</si>
  <si>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</si>
  <si>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</si>
  <si>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</si>
  <si>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</si>
  <si>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</si>
  <si>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</si>
  <si>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</si>
  <si>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</si>
  <si>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</si>
  <si>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</si>
  <si>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</si>
  <si>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</si>
  <si>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</si>
  <si>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</si>
  <si>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</si>
  <si>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</si>
  <si>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</si>
  <si>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</si>
  <si>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</si>
  <si>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</si>
  <si>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</si>
  <si>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</si>
  <si>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</si>
  <si>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</si>
  <si>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</si>
  <si>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</si>
  <si>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</si>
  <si>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</si>
  <si>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</si>
  <si>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</si>
  <si>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</si>
  <si>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</si>
  <si>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</si>
  <si>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</si>
  <si>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</si>
  <si>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</si>
  <si>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</si>
  <si>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</si>
  <si>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</si>
  <si>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</si>
  <si>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</si>
  <si>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</si>
  <si>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</si>
  <si>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</si>
  <si>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</si>
  <si>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</si>
  <si>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</si>
  <si>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</si>
  <si>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</si>
  <si>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</si>
  <si>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</si>
  <si>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</si>
  <si>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</si>
  <si>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</si>
  <si>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</si>
  <si>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</si>
  <si>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</si>
  <si>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</si>
  <si>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</si>
  <si>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</si>
  <si>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</si>
  <si>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</si>
  <si>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</si>
  <si>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</si>
  <si>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</si>
  <si>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</si>
  <si>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</si>
  <si>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</si>
  <si>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</si>
  <si>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</si>
  <si>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</si>
  <si>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</si>
  <si>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</si>
  <si>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</si>
  <si>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</si>
  <si>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</si>
  <si>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</si>
  <si>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</si>
  <si>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</si>
  <si>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</si>
  <si>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</si>
  <si>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</si>
  <si>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</si>
  <si>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</si>
  <si>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</si>
  <si>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</si>
  <si>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</si>
  <si>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</si>
  <si>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</si>
  <si>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</si>
  <si>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</si>
  <si>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</si>
  <si>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</si>
  <si>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</si>
  <si>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</si>
  <si>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</si>
  <si>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</si>
  <si>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</si>
  <si>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</si>
  <si>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</si>
  <si>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</si>
  <si>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</si>
  <si>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</si>
  <si>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</si>
  <si>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</si>
  <si>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</si>
  <si>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</si>
  <si>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</si>
  <si>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</si>
  <si>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</si>
  <si>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</si>
  <si>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</si>
  <si>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</si>
  <si>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</si>
  <si>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</si>
  <si>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</si>
  <si>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</si>
  <si>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</si>
  <si>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</si>
  <si>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</si>
  <si>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</si>
  <si>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</si>
  <si>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</si>
  <si>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</si>
  <si>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</si>
  <si>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</si>
  <si>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</si>
  <si>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</si>
  <si>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</si>
  <si>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</si>
  <si>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</si>
  <si>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</si>
  <si>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</si>
  <si>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</si>
  <si>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</si>
  <si>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</si>
  <si>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</si>
  <si>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</si>
  <si>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</si>
  <si>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</si>
  <si>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</si>
  <si>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</si>
  <si>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</si>
  <si>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</si>
  <si>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</si>
  <si>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</si>
  <si>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</si>
  <si>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</si>
  <si>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</si>
  <si>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</si>
  <si>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</si>
  <si>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</si>
  <si>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</si>
  <si>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</si>
  <si>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</si>
  <si>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</si>
  <si>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</si>
  <si>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</si>
  <si>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</si>
  <si>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</si>
  <si>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</si>
  <si>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</si>
  <si>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</si>
  <si>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</si>
  <si>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</si>
  <si>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</si>
  <si>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</si>
  <si>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</si>
  <si>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</si>
  <si>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</si>
  <si>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</si>
  <si>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</si>
  <si>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</si>
  <si>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</si>
  <si>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</si>
  <si>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</si>
  <si>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</si>
  <si>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</si>
  <si>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</si>
  <si>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</si>
  <si>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</si>
  <si>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</si>
  <si>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</si>
  <si>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</si>
  <si>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</si>
  <si>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</si>
  <si>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</si>
  <si>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</si>
  <si>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</si>
  <si>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</si>
  <si>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</si>
  <si>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</si>
  <si>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</si>
  <si>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</si>
  <si>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</si>
  <si>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</si>
  <si>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</si>
  <si>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</si>
  <si>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</si>
  <si>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</si>
  <si>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</si>
  <si>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</si>
  <si>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</si>
  <si>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</si>
  <si>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</si>
  <si>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</si>
  <si>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</si>
  <si>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</si>
  <si>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</si>
  <si>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</si>
  <si>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</si>
  <si>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</si>
  <si>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</si>
  <si>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</si>
  <si>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</si>
  <si>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</si>
  <si>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</si>
  <si>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</si>
  <si>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</si>
  <si>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</si>
  <si>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</si>
  <si>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</si>
  <si>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</si>
  <si>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</si>
  <si>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</si>
  <si>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</si>
  <si>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</si>
  <si>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</si>
  <si>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</si>
  <si>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</si>
  <si>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</si>
  <si>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</si>
  <si>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</si>
  <si>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</si>
  <si>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</si>
  <si>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</si>
  <si>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</si>
  <si>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</si>
  <si>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</si>
  <si>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</si>
  <si>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</si>
  <si>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</si>
  <si>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</si>
  <si>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</si>
  <si>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</si>
  <si>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</si>
  <si>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</si>
  <si>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</si>
  <si>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</si>
  <si>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</si>
  <si>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</si>
  <si>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</si>
  <si>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</si>
  <si>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</si>
  <si>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</si>
  <si>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</si>
  <si>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</si>
  <si>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</si>
  <si>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</si>
  <si>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</si>
  <si>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</si>
  <si>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</si>
  <si>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</si>
  <si>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</si>
  <si>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</si>
  <si>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</si>
  <si>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</si>
  <si>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</si>
  <si>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</si>
  <si>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</si>
  <si>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</si>
  <si>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</si>
  <si>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</si>
  <si>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</si>
  <si>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</si>
  <si>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</si>
  <si>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</si>
  <si>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</si>
  <si>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</si>
  <si>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</si>
  <si>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</si>
  <si>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</si>
  <si>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</si>
  <si>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</si>
  <si>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</si>
  <si>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</si>
  <si>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</si>
  <si>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</si>
  <si>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</si>
  <si>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</si>
  <si>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</si>
  <si>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</si>
  <si>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</si>
  <si>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</si>
  <si>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</si>
  <si>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</si>
  <si>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</si>
  <si>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</si>
  <si>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</si>
  <si>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</si>
  <si>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</si>
  <si>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</si>
  <si>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</si>
  <si>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</si>
  <si>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</si>
  <si>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</si>
  <si>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</si>
  <si>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</si>
  <si>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</si>
  <si>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</si>
  <si>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</si>
  <si>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</si>
  <si>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</si>
  <si>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</si>
  <si>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</si>
  <si>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</si>
  <si>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</si>
  <si>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</si>
  <si>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</si>
  <si>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</si>
  <si>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</si>
  <si>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</si>
  <si>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</si>
  <si>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</si>
  <si>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</si>
  <si>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</si>
  <si>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</si>
  <si>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</si>
  <si>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</si>
  <si>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</si>
  <si>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</si>
  <si>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</si>
  <si>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</si>
  <si>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</si>
  <si>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</si>
  <si>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</si>
  <si>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</si>
  <si>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</si>
  <si>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</si>
  <si>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</si>
  <si>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</si>
  <si>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</si>
  <si>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</si>
  <si>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</si>
  <si>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</si>
  <si>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</si>
  <si>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</si>
  <si>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</si>
  <si>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</si>
  <si>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</si>
  <si>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</si>
  <si>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</si>
  <si>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</si>
  <si>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</si>
  <si>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</si>
  <si>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</si>
  <si>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</si>
  <si>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</si>
  <si>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</si>
  <si>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</si>
  <si>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</si>
  <si>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</si>
  <si>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</si>
  <si>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</si>
  <si>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</si>
  <si>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</si>
  <si>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</si>
  <si>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</si>
  <si>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</si>
  <si>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</si>
  <si>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</si>
  <si>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</si>
  <si>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</si>
  <si>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</si>
  <si>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</si>
  <si>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</si>
  <si>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</si>
  <si>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</si>
  <si>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</si>
  <si>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</si>
  <si>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</si>
  <si>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</si>
  <si>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</si>
  <si>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</si>
  <si>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</si>
  <si>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</si>
  <si>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</si>
  <si>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</si>
  <si>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</si>
  <si>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</si>
  <si>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</si>
  <si>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</si>
  <si>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</si>
  <si>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</si>
  <si>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</si>
  <si>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</si>
  <si>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</si>
  <si>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</si>
  <si>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</si>
  <si>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</si>
  <si>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</si>
  <si>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</si>
  <si>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</si>
  <si>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</si>
  <si>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</si>
  <si>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</si>
  <si>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</si>
  <si>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</si>
  <si>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</si>
  <si>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</si>
  <si>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</si>
  <si>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</si>
  <si>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</si>
  <si>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</si>
  <si>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</si>
  <si>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</si>
  <si>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</si>
  <si>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</si>
  <si>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</si>
  <si>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</si>
  <si>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</si>
  <si>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</si>
  <si>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</si>
  <si>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</si>
  <si>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</si>
  <si>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</si>
  <si>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</si>
  <si>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</si>
  <si>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</si>
  <si>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</si>
  <si>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</si>
  <si>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</si>
  <si>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</si>
  <si>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</si>
  <si>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</si>
  <si>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</si>
  <si>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</si>
  <si>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</si>
  <si>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</si>
  <si>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</si>
  <si>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</si>
  <si>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</si>
  <si>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</si>
  <si>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</si>
  <si>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</si>
  <si>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</si>
  <si>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</si>
  <si>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</si>
  <si>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</si>
  <si>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</si>
  <si>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</si>
  <si>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</si>
  <si>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</si>
  <si>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</si>
  <si>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</si>
  <si>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</si>
  <si>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</si>
  <si>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</si>
  <si>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</si>
  <si>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</si>
  <si>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</si>
  <si>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</si>
  <si>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</si>
  <si>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</si>
  <si>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</si>
  <si>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</si>
  <si>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</si>
  <si>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</si>
  <si>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</si>
  <si>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</si>
  <si>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</si>
  <si>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</si>
  <si>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</si>
  <si>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</si>
  <si>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</si>
  <si>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</si>
  <si>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</si>
  <si>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</si>
  <si>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</si>
  <si>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</si>
  <si>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</si>
  <si>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</si>
  <si>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</si>
  <si>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</si>
  <si>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</si>
  <si>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</si>
  <si>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</si>
  <si>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</si>
  <si>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</si>
  <si>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</si>
  <si>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</si>
  <si>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</si>
  <si>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</si>
  <si>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</si>
  <si>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</si>
  <si>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</si>
  <si>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</si>
  <si>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</si>
  <si>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</si>
  <si>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</si>
  <si>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</si>
  <si>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</si>
  <si>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</si>
  <si>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</si>
  <si>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</si>
  <si>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</si>
  <si>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</si>
  <si>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</si>
  <si>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</si>
  <si>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</si>
  <si>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</si>
  <si>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</si>
  <si>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</si>
  <si>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</si>
  <si>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</si>
  <si>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</si>
  <si>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</si>
  <si>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</si>
  <si>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</si>
  <si>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</si>
  <si>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</si>
  <si>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</si>
  <si>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</si>
  <si>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</si>
  <si>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</si>
  <si>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</si>
  <si>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</si>
  <si>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</si>
  <si>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</si>
  <si>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</si>
  <si>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</si>
  <si>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</si>
  <si>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</si>
  <si>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</si>
  <si>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</si>
  <si>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</si>
  <si>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</si>
  <si>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</si>
  <si>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</si>
  <si>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</si>
  <si>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</si>
  <si>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</si>
  <si>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</si>
  <si>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</si>
  <si>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</si>
  <si>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</si>
  <si>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</si>
  <si>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</si>
  <si>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</si>
  <si>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</si>
  <si>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</si>
  <si>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</si>
  <si>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</si>
  <si>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</si>
  <si>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</si>
  <si>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</si>
  <si>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</si>
  <si>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</si>
  <si>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</si>
  <si>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</si>
  <si>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</si>
  <si>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</si>
  <si>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</si>
  <si>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</si>
  <si>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</si>
  <si>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</si>
  <si>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</si>
  <si>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</si>
  <si>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</si>
  <si>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</si>
  <si>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</si>
  <si>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</si>
  <si>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</si>
  <si>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</si>
  <si>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</si>
  <si>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</si>
  <si>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</si>
  <si>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</si>
  <si>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</si>
  <si>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</si>
  <si>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</si>
  <si>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</si>
  <si>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</si>
  <si>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</si>
  <si>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</si>
  <si>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</si>
  <si>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</si>
  <si>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</si>
  <si>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</si>
  <si>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</si>
  <si>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</si>
  <si>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</si>
  <si>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</si>
  <si>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</si>
  <si>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</si>
  <si>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</si>
  <si>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</si>
  <si>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</si>
  <si>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</si>
  <si>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</si>
  <si>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</si>
  <si>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</si>
  <si>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</si>
  <si>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</si>
  <si>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</si>
  <si>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</si>
  <si>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</si>
  <si>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</si>
  <si>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</si>
  <si>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</si>
  <si>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</si>
  <si>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</si>
  <si>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</si>
  <si>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</si>
  <si>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</si>
  <si>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</si>
  <si>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</si>
  <si>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</si>
  <si>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</si>
  <si>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</si>
  <si>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</si>
  <si>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</si>
  <si>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</si>
  <si>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</si>
  <si>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</si>
  <si>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</si>
  <si>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</si>
  <si>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</si>
  <si>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</si>
  <si>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</si>
  <si>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</si>
  <si>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</si>
  <si>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</si>
  <si>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</si>
  <si>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</si>
  <si>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</si>
  <si>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</si>
  <si>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</si>
  <si>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</si>
  <si>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</si>
  <si>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</si>
  <si>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</si>
  <si>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</si>
  <si>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</si>
  <si>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</si>
  <si>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</si>
  <si>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</si>
  <si>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</si>
  <si>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</si>
  <si>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</si>
  <si>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</si>
  <si>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</si>
  <si>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</si>
  <si>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</si>
  <si>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</si>
  <si>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</si>
  <si>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</si>
  <si>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</si>
  <si>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</si>
  <si>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</si>
  <si>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</si>
  <si>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</si>
  <si>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</si>
  <si>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</si>
  <si>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</si>
  <si>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</si>
  <si>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</si>
  <si>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</si>
  <si>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</si>
  <si>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</si>
  <si>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</si>
  <si>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</si>
  <si>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</si>
  <si>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</si>
  <si>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</si>
  <si>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</si>
  <si>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</si>
  <si>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</si>
  <si>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</si>
  <si>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</si>
  <si>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</si>
  <si>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</si>
  <si>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</si>
  <si>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</si>
  <si>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</si>
  <si>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</si>
  <si>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</si>
  <si>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</si>
  <si>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</si>
  <si>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</si>
  <si>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</si>
  <si>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</si>
  <si>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</si>
  <si>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</si>
  <si>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</si>
  <si>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</si>
  <si>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</si>
  <si>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</si>
  <si>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</si>
  <si>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</si>
  <si>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</si>
  <si>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</si>
  <si>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</si>
  <si>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</si>
  <si>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</si>
  <si>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</si>
  <si>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</si>
  <si>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</si>
  <si>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</si>
  <si>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</si>
  <si>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</si>
  <si>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</si>
  <si>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</si>
  <si>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</si>
  <si>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</si>
  <si>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</si>
  <si>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</si>
  <si>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</si>
  <si>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</si>
  <si>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</si>
  <si>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</si>
  <si>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</si>
  <si>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</si>
  <si>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</si>
  <si>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</si>
  <si>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</si>
  <si>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</si>
  <si>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</si>
  <si>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</si>
  <si>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</si>
  <si>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</si>
  <si>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</si>
  <si>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</si>
  <si>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</si>
  <si>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</si>
  <si>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</si>
  <si>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</si>
  <si>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</si>
  <si>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</si>
  <si>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</si>
  <si>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</si>
  <si>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</si>
  <si>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</si>
  <si>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</si>
  <si>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</si>
  <si>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</si>
  <si>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</si>
  <si>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</si>
  <si>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</si>
  <si>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</si>
  <si>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</si>
  <si>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</si>
  <si>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</si>
  <si>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</si>
  <si>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</si>
  <si>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</si>
  <si>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</si>
  <si>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</si>
  <si>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</si>
  <si>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</si>
  <si>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</si>
  <si>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</si>
  <si>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</si>
  <si>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</si>
  <si>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</si>
  <si>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</si>
  <si>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</si>
  <si>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</si>
  <si>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</si>
  <si>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</si>
  <si>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</si>
  <si>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</si>
  <si>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</si>
  <si>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</si>
  <si>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</si>
  <si>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</si>
  <si>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</si>
  <si>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</si>
  <si>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</si>
  <si>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</si>
  <si>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</si>
  <si>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</si>
  <si>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</si>
  <si>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</si>
  <si>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</si>
  <si>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</si>
  <si>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</si>
  <si>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</si>
  <si>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</si>
  <si>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</si>
  <si>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</si>
  <si>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</si>
  <si>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</si>
  <si>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</si>
  <si>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</si>
  <si>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</si>
  <si>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</si>
  <si>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</si>
  <si>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</si>
  <si>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</si>
  <si>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</si>
  <si>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</si>
  <si>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</si>
  <si>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</si>
  <si>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</si>
  <si>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</si>
  <si>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</si>
  <si>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</si>
  <si>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</si>
  <si>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</si>
  <si>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</si>
  <si>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</si>
  <si>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</si>
  <si>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</si>
  <si>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</si>
  <si>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</si>
  <si>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</si>
  <si>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</si>
  <si>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</si>
  <si>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</si>
  <si>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</si>
  <si>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</si>
  <si>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</si>
  <si>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</si>
  <si>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</si>
  <si>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</si>
  <si>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</si>
  <si>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</si>
  <si>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</si>
  <si>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</si>
  <si>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</si>
  <si>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</si>
  <si>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</si>
  <si>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</si>
  <si>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</si>
  <si>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</si>
  <si>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</si>
  <si>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</si>
  <si>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</si>
  <si>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</si>
  <si>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</si>
  <si>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</si>
  <si>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</si>
  <si>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</si>
  <si>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</si>
  <si>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</si>
  <si>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</si>
  <si>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</si>
  <si>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</si>
  <si>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</si>
  <si>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</si>
  <si>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</si>
  <si>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</si>
  <si>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</si>
  <si>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</si>
  <si>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</si>
  <si>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</si>
  <si>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</si>
  <si>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</si>
  <si>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</si>
  <si>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</si>
  <si>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</si>
  <si>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</si>
  <si>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</si>
  <si>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</si>
  <si>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</si>
  <si>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</si>
  <si>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</si>
  <si>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</si>
  <si>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</si>
  <si>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</si>
  <si>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</si>
  <si>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</si>
  <si>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</si>
  <si>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</si>
  <si>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</si>
  <si>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</si>
  <si>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</si>
  <si>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</si>
  <si>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</si>
  <si>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</si>
  <si>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</si>
  <si>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</si>
  <si>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</si>
  <si>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</si>
  <si>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</si>
  <si>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</si>
  <si>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</si>
  <si>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</si>
  <si>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</si>
  <si>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</si>
  <si>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</si>
  <si>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</si>
  <si>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</si>
  <si>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</si>
  <si>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</si>
  <si>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</si>
  <si>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</si>
  <si>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</si>
  <si>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</si>
  <si>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</si>
  <si>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</si>
  <si>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</si>
  <si>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</si>
  <si>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</si>
  <si>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</si>
  <si>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</si>
  <si>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</si>
  <si>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</si>
  <si>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</si>
  <si>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</si>
  <si>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</si>
  <si>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</si>
  <si>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</si>
  <si>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</si>
  <si>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</si>
  <si>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</si>
  <si>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</si>
  <si>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</si>
  <si>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</si>
  <si>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</si>
  <si>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</si>
  <si>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</si>
  <si>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</si>
  <si>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</si>
  <si>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</si>
  <si>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</si>
  <si>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</si>
  <si>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</si>
  <si>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</si>
  <si>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</si>
  <si>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</si>
  <si>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</si>
  <si>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</si>
  <si>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</si>
  <si>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</si>
  <si>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</si>
  <si>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</si>
  <si>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</si>
  <si>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</si>
  <si>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</si>
  <si>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</si>
  <si>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</si>
  <si>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</si>
  <si>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</si>
  <si>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</si>
  <si>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</si>
  <si>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</si>
  <si>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</si>
  <si>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</si>
  <si>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</si>
  <si>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</si>
  <si>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</si>
  <si>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</si>
  <si>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</si>
  <si>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</si>
  <si>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</si>
  <si>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</si>
  <si>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</si>
  <si>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</si>
  <si>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</si>
  <si>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</si>
  <si>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</si>
  <si>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</si>
  <si>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</si>
  <si>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</si>
  <si>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</si>
  <si>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</si>
  <si>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</si>
  <si>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</si>
  <si>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</si>
  <si>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</si>
  <si>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</si>
  <si>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</si>
  <si>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</si>
  <si>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</si>
  <si>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</si>
  <si>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</si>
  <si>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</si>
  <si>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</si>
  <si>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</si>
  <si>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</si>
  <si>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</si>
  <si>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</si>
  <si>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</si>
  <si>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</si>
  <si>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</si>
  <si>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</si>
  <si>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</si>
  <si>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</si>
  <si>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</si>
  <si>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</si>
  <si>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</si>
  <si>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</si>
  <si>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</si>
  <si>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</si>
  <si>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</si>
  <si>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</si>
  <si>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</si>
  <si>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</si>
  <si>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</si>
  <si>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</si>
  <si>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</si>
  <si>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</si>
  <si>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</si>
  <si>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</si>
  <si>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</si>
  <si>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</si>
  <si>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</si>
  <si>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</si>
  <si>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</si>
  <si>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</si>
  <si>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</si>
  <si>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</si>
  <si>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</si>
  <si>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</si>
  <si>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</si>
  <si>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</si>
  <si>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</si>
  <si>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</si>
  <si>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</si>
  <si>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</si>
  <si>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</si>
  <si>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</si>
  <si>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</si>
  <si>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</si>
  <si>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</si>
  <si>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</si>
  <si>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</si>
  <si>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</si>
  <si>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</si>
  <si>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</si>
  <si>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</si>
  <si>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</si>
  <si>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</si>
  <si>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</si>
  <si>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</si>
  <si>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</si>
  <si>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</si>
  <si>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</si>
  <si>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</si>
  <si>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</si>
  <si>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</si>
  <si>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</si>
  <si>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</si>
  <si>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</si>
  <si>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</si>
  <si>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</si>
  <si>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</si>
  <si>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</si>
  <si>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</si>
  <si>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</si>
  <si>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</si>
  <si>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</si>
  <si>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</si>
  <si>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</si>
  <si>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</si>
  <si>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</si>
  <si>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</si>
  <si>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</si>
  <si>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</si>
  <si>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</si>
  <si>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</si>
  <si>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</si>
  <si>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</si>
  <si>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</si>
  <si>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</si>
  <si>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</si>
  <si>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</si>
  <si>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</si>
  <si>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</si>
  <si>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</si>
  <si>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</si>
  <si>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</si>
  <si>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</si>
  <si>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</si>
  <si>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</si>
  <si>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</si>
  <si>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</si>
  <si>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</si>
  <si>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</si>
  <si>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</si>
  <si>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</si>
  <si>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</si>
  <si>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</si>
  <si>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</si>
  <si>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</si>
  <si>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</si>
  <si>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</si>
  <si>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</si>
  <si>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</si>
  <si>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</si>
  <si>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</si>
  <si>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</si>
  <si>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</si>
  <si>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</si>
  <si>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</si>
  <si>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</si>
  <si>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</si>
  <si>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</si>
  <si>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</si>
  <si>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</si>
  <si>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</si>
  <si>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</si>
  <si>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</si>
  <si>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</si>
  <si>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</si>
  <si>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</si>
  <si>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</si>
  <si>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</si>
  <si>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</si>
  <si>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</si>
  <si>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</si>
  <si>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</si>
  <si>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</si>
  <si>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</si>
  <si>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</si>
  <si>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</si>
  <si>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</si>
  <si>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</si>
  <si>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</si>
  <si>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</si>
  <si>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</si>
  <si>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</si>
  <si>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</si>
  <si>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</si>
  <si>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</si>
  <si>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</si>
  <si>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</si>
  <si>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</si>
  <si>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</si>
  <si>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</si>
  <si>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</si>
  <si>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</si>
  <si>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</si>
  <si>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</si>
  <si>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</si>
  <si>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</si>
  <si>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</si>
  <si>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</si>
  <si>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</si>
  <si>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</si>
  <si>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</si>
  <si>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</si>
  <si>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</si>
  <si>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</si>
  <si>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</si>
  <si>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</si>
  <si>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</si>
  <si>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</si>
  <si>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</si>
  <si>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</si>
  <si>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</si>
  <si>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</si>
  <si>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</si>
  <si>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</si>
  <si>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</si>
  <si>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</si>
  <si>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</si>
  <si>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</si>
  <si>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</si>
  <si>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</si>
  <si>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</si>
  <si>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</si>
  <si>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</si>
  <si>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</si>
  <si>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</si>
  <si>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</si>
  <si>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</si>
  <si>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</si>
  <si>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</si>
  <si>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</si>
  <si>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</si>
  <si>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</si>
  <si>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</si>
  <si>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</si>
  <si>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</si>
  <si>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</si>
  <si>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</si>
  <si>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</si>
  <si>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</si>
  <si>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</si>
  <si>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</si>
  <si>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</si>
  <si>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</si>
  <si>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</si>
  <si>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</si>
  <si>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</si>
  <si>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</si>
  <si>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</si>
  <si>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</si>
  <si>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</si>
  <si>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</si>
  <si>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</si>
  <si>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</si>
  <si>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</si>
  <si>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</si>
  <si>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</si>
  <si>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</si>
  <si>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</si>
  <si>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</si>
  <si>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</si>
  <si>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</si>
  <si>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</si>
  <si>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</si>
  <si>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</si>
  <si>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</si>
  <si>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</si>
  <si>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</si>
  <si>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</si>
  <si>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</si>
  <si>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</si>
  <si>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</si>
  <si>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</si>
  <si>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</si>
  <si>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</si>
  <si>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</si>
  <si>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</si>
  <si>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</si>
  <si>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</si>
  <si>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</si>
  <si>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</si>
  <si>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</si>
  <si>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</si>
  <si>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</si>
  <si>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</si>
  <si>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</si>
  <si>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</si>
  <si>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</si>
  <si>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</si>
  <si>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</si>
  <si>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</si>
  <si>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</si>
  <si>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</si>
  <si>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</si>
  <si>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</si>
  <si>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</si>
  <si>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</si>
  <si>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</si>
  <si>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</si>
  <si>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</si>
  <si>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</si>
  <si>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</si>
  <si>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</si>
  <si>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</si>
  <si>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</si>
  <si>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</si>
  <si>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</si>
  <si>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</si>
  <si>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</si>
  <si>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</si>
  <si>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</si>
  <si>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</si>
  <si>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</si>
  <si>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</si>
  <si>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</si>
  <si>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</si>
  <si>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</si>
  <si>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</si>
  <si>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</si>
  <si>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</si>
  <si>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</si>
  <si>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</si>
  <si>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</si>
  <si>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</si>
  <si>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</si>
  <si>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</si>
  <si>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</si>
  <si>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</si>
  <si>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</si>
  <si>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</si>
  <si>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</si>
  <si>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</si>
  <si>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</si>
  <si>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</si>
  <si>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</si>
  <si>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</si>
  <si>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</si>
  <si>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</si>
  <si>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</si>
  <si>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</si>
  <si>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</si>
  <si>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</si>
  <si>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</si>
  <si>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</si>
  <si>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</si>
  <si>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</si>
  <si>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</si>
  <si>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</si>
  <si>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</si>
  <si>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</si>
  <si>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</si>
  <si>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</si>
  <si>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</si>
  <si>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</si>
  <si>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</si>
  <si>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</si>
  <si>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</si>
  <si>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</si>
  <si>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</si>
  <si>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</si>
  <si>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</si>
  <si>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</si>
  <si>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</si>
  <si>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</si>
  <si>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</si>
  <si>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</si>
  <si>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</si>
  <si>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</si>
  <si>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</si>
  <si>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</si>
  <si>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</si>
  <si>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</si>
  <si>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</si>
  <si>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</si>
  <si>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</si>
  <si>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</si>
  <si>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</si>
  <si>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</si>
  <si>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</si>
  <si>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</si>
  <si>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</si>
  <si>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</si>
  <si>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</si>
  <si>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</si>
  <si>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</si>
  <si>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</si>
  <si>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</si>
  <si>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</si>
  <si>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</si>
  <si>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</si>
  <si>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</si>
  <si>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</si>
  <si>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</si>
  <si>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</si>
  <si>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</si>
  <si>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</si>
  <si>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</si>
  <si>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</si>
  <si>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</si>
  <si>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</si>
  <si>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</si>
  <si>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</si>
  <si>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</si>
  <si>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</si>
  <si>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</si>
  <si>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</si>
  <si>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</si>
  <si>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</si>
  <si>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</si>
  <si>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</si>
  <si>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</si>
  <si>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</si>
  <si>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</si>
  <si>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</si>
  <si>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</si>
  <si>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</si>
  <si>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</si>
  <si>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</si>
  <si>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</si>
  <si>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</si>
  <si>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</si>
  <si>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</si>
  <si>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</si>
  <si>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</si>
  <si>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</si>
  <si>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</si>
  <si>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</si>
  <si>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</si>
  <si>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</si>
  <si>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</si>
  <si>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</si>
  <si>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</si>
  <si>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</si>
  <si>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</si>
  <si>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</si>
  <si>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</si>
  <si>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</si>
  <si>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</si>
  <si>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</si>
  <si>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</si>
  <si>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</si>
  <si>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</si>
  <si>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</si>
  <si>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</si>
  <si>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</si>
  <si>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</si>
  <si>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</si>
  <si>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</si>
  <si>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</si>
  <si>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</si>
  <si>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</si>
  <si>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</si>
  <si>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</si>
  <si>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</si>
  <si>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</si>
  <si>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</si>
  <si>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</si>
  <si>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</si>
  <si>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</si>
  <si>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</si>
  <si>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</si>
  <si>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</si>
  <si>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</si>
  <si>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</si>
  <si>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</si>
  <si>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</si>
  <si>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</si>
  <si>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</si>
  <si>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</si>
  <si>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</si>
  <si>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</si>
  <si>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</si>
  <si>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</si>
  <si>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</si>
  <si>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</si>
  <si>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</si>
  <si>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</si>
  <si>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</si>
  <si>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</si>
  <si>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</si>
  <si>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</si>
  <si>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</si>
  <si>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</si>
  <si>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</si>
  <si>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</si>
  <si>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</si>
  <si>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</si>
  <si>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</si>
  <si>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</si>
  <si>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</si>
  <si>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</si>
  <si>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</si>
  <si>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</si>
  <si>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</si>
  <si>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</si>
  <si>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</si>
  <si>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</si>
  <si>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</si>
  <si>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</si>
  <si>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</si>
  <si>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</si>
  <si>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</si>
  <si>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</si>
  <si>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</si>
  <si>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</si>
  <si>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</si>
  <si>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</si>
  <si>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</si>
  <si>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</si>
  <si>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</si>
  <si>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</si>
  <si>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</si>
  <si>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</si>
  <si>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</si>
  <si>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</si>
  <si>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</si>
  <si>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</si>
  <si>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</si>
  <si>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</si>
  <si>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</si>
  <si>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</si>
  <si>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</si>
  <si>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</si>
  <si>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</si>
  <si>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</si>
  <si>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</si>
  <si>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</si>
  <si>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</si>
  <si>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</si>
  <si>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</si>
  <si>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</si>
  <si>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</si>
  <si>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</si>
  <si>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</si>
  <si>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</si>
  <si>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</si>
  <si>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</si>
  <si>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</si>
  <si>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</si>
  <si>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</si>
  <si>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</si>
  <si>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</si>
  <si>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</si>
  <si>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</si>
  <si>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</si>
  <si>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</si>
  <si>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</si>
  <si>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</si>
  <si>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</si>
  <si>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</si>
  <si>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</si>
  <si>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</si>
  <si>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</si>
  <si>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</si>
  <si>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</si>
  <si>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</si>
  <si>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</si>
  <si>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</si>
  <si>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Ⅵ-BDA核心</t>
  </si>
  <si>
    <t>房屋所有权证</t>
  </si>
  <si>
    <t>否</t>
  </si>
  <si>
    <t>《房屋所有权证》</t>
  </si>
  <si>
    <t>元</t>
  </si>
  <si>
    <t>楼面单价</t>
  </si>
  <si>
    <t>商业</t>
  </si>
  <si>
    <t>利息：取LPR加浮动点数</t>
  </si>
  <si>
    <t>钢混</t>
  </si>
  <si>
    <t>非生产用房</t>
  </si>
  <si>
    <t>是</t>
  </si>
  <si>
    <t>收益还原</t>
  </si>
  <si>
    <t>70000-80000</t>
    <phoneticPr fontId="146" type="noConversion"/>
  </si>
  <si>
    <t>商业</t>
    <phoneticPr fontId="25" type="noConversion"/>
  </si>
  <si>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</si>
  <si>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</si>
  <si>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</si>
  <si>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</si>
  <si>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</si>
  <si>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</si>
  <si>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</si>
  <si>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</si>
  <si>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</si>
  <si>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</si>
  <si>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</si>
  <si>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</si>
  <si>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1-2</t>
    </r>
    <r>
      <rPr>
        <sz val="11"/>
        <color rgb="FF000000"/>
        <rFont val="宋体"/>
        <family val="2"/>
        <charset val="134"/>
      </rPr>
      <t>层</t>
    </r>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</si>
  <si>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</si>
  <si>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</si>
  <si>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</si>
  <si>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</si>
  <si>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1-2层</t>
  </si>
  <si>
    <t>1层</t>
  </si>
  <si>
    <t>比较法-商业</t>
  </si>
  <si>
    <t>收益法</t>
  </si>
  <si>
    <t>一手</t>
    <phoneticPr fontId="146" type="noConversion"/>
  </si>
  <si>
    <t>二手</t>
    <phoneticPr fontId="146" type="noConversion"/>
  </si>
  <si>
    <t>单价</t>
    <phoneticPr fontId="146" type="noConversion"/>
  </si>
  <si>
    <t>纯一层</t>
    <phoneticPr fontId="146" type="noConversion"/>
  </si>
  <si>
    <t>自然人</t>
  </si>
  <si>
    <t>可餐饮</t>
  </si>
  <si>
    <t>精装</t>
    <phoneticPr fontId="25" type="noConversion"/>
  </si>
  <si>
    <t>简装</t>
    <phoneticPr fontId="25" type="noConversion"/>
  </si>
  <si>
    <t>毛坯</t>
    <phoneticPr fontId="25" type="noConversion"/>
  </si>
  <si>
    <t>林肯公园</t>
    <phoneticPr fontId="4" type="noConversion"/>
  </si>
  <si>
    <t>金茂府</t>
    <phoneticPr fontId="4" type="noConversion"/>
  </si>
  <si>
    <t>无租约</t>
  </si>
  <si>
    <t>押一</t>
  </si>
  <si>
    <t>已注销</t>
  </si>
  <si>
    <t>上海浦东发展银行股份有限公司北京经济技术开发区支行</t>
    <phoneticPr fontId="7" type="noConversion"/>
  </si>
  <si>
    <t>丁有金</t>
    <phoneticPr fontId="7" type="noConversion"/>
  </si>
  <si>
    <t>郑燚</t>
  </si>
  <si>
    <t>崔锴</t>
  </si>
  <si>
    <t>2022-1-0305-P01DYGJ1</t>
    <phoneticPr fontId="7" type="noConversion"/>
  </si>
  <si>
    <r>
      <rPr>
        <sz val="10"/>
        <color rgb="FF000000"/>
        <rFont val="宋体"/>
        <family val="2"/>
        <charset val="134"/>
      </rPr>
      <t>大兴区北京经济技术开发区荣华南路</t>
    </r>
    <r>
      <rPr>
        <sz val="10"/>
        <color indexed="8"/>
        <rFont val="Arial"/>
        <family val="2"/>
      </rPr>
      <t>10</t>
    </r>
    <r>
      <rPr>
        <sz val="10"/>
        <color rgb="FF000000"/>
        <rFont val="宋体"/>
        <family val="2"/>
        <charset val="134"/>
      </rPr>
      <t>号院</t>
    </r>
    <r>
      <rPr>
        <sz val="10"/>
        <color indexed="8"/>
        <rFont val="Arial"/>
        <family val="2"/>
      </rPr>
      <t>4</t>
    </r>
    <r>
      <rPr>
        <sz val="10"/>
        <color rgb="FF000000"/>
        <rFont val="宋体"/>
        <family val="2"/>
        <charset val="134"/>
      </rPr>
      <t>号楼</t>
    </r>
    <r>
      <rPr>
        <sz val="10"/>
        <color indexed="8"/>
        <rFont val="Arial"/>
        <family val="2"/>
      </rPr>
      <t>1</t>
    </r>
    <r>
      <rPr>
        <sz val="10"/>
        <color rgb="FF000000"/>
        <rFont val="宋体"/>
        <family val="2"/>
        <charset val="134"/>
      </rPr>
      <t>至</t>
    </r>
    <r>
      <rPr>
        <sz val="10"/>
        <color indexed="8"/>
        <rFont val="Arial"/>
        <family val="2"/>
      </rPr>
      <t>2</t>
    </r>
    <r>
      <rPr>
        <sz val="10"/>
        <color rgb="FF000000"/>
        <rFont val="宋体"/>
        <family val="2"/>
        <charset val="134"/>
      </rPr>
      <t>层</t>
    </r>
    <r>
      <rPr>
        <sz val="10"/>
        <color indexed="8"/>
        <rFont val="Arial"/>
        <family val="2"/>
      </rPr>
      <t>107</t>
    </r>
    <r>
      <rPr>
        <sz val="10"/>
        <color rgb="FF000000"/>
        <rFont val="宋体"/>
        <family val="2"/>
        <charset val="134"/>
      </rPr>
      <t>号商业用房</t>
    </r>
    <phoneticPr fontId="7" type="noConversion"/>
  </si>
  <si>
    <t>商业</t>
    <phoneticPr fontId="7" type="noConversion"/>
  </si>
  <si>
    <t>较好</t>
    <phoneticPr fontId="7" type="noConversion"/>
  </si>
  <si>
    <t>复印件</t>
  </si>
  <si>
    <t>注销后放款</t>
  </si>
  <si>
    <t>20-30（含）</t>
  </si>
  <si>
    <t>超高</t>
    <phoneticPr fontId="25" type="noConversion"/>
  </si>
  <si>
    <t>标准</t>
  </si>
  <si>
    <t>标准</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</si>
</sst>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rgb="FF000000"/>
      <name val="微软雅黑"/>
      <family val="2"/>
      <charset val="134"/>
    </font>
    <font>
      <sz val="10"/>
      <color rgb="FF000000"/>
      <name val="宋体"/>
      <family val="2"/>
      <charset val="134"/>
    </font>
    <font>
      <sz val="10"/>
      <color indexed="8"/>
      <name val="Arial"/>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0" fontId="257" fillId="0" borderId="32"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258" fillId="0" borderId="32" xfId="0" applyFont="1" applyBorder="1" applyAlignment="1" applyProtection="1">
      <alignment vertical="center" wrapText="1"/>
      <protection locked="0"/>
    </xf>
    <xf numFmtId="0" fontId="258" fillId="0" borderId="1" xfId="0" applyFont="1" applyBorder="1" applyAlignment="1" applyProtection="1">
      <alignment vertical="center" wrapText="1"/>
      <protection locked="0"/>
    </xf>
    <xf numFmtId="0" fontId="258" fillId="0" borderId="75" xfId="0" applyFont="1" applyFill="1" applyBorder="1" applyAlignment="1" applyProtection="1">
      <alignment vertical="center" wrapText="1"/>
      <protection locked="0"/>
    </xf>
    <xf numFmtId="0" fontId="259" fillId="0" borderId="3" xfId="0" applyFont="1" applyFill="1" applyBorder="1" applyAlignment="1" applyProtection="1">
      <alignment vertical="center" wrapText="1"/>
      <protection locked="0"/>
    </xf>
    <xf numFmtId="0" fontId="259" fillId="0" borderId="6" xfId="0" applyFont="1" applyBorder="1" applyAlignment="1" applyProtection="1">
      <alignment vertical="center" wrapText="1"/>
      <protection locked="0"/>
    </xf>
    <xf numFmtId="0" fontId="135" fillId="0" borderId="32"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9"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258"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441960</xdr:colOff>
      <xdr:row>16</xdr:row>
      <xdr:rowOff>70349</xdr:rowOff>
    </xdr:to>
    <xdr:pic>
      <xdr:nvPicPr>
        <xdr:cNvPr id="2" name="图片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6233160" cy="2996429"/>
        </a:xfrm>
        <a:prstGeom prst="rect">
          <a:avLst/>
        </a:prstGeom>
      </xdr:spPr>
    </xdr:pic>
    <xdr:clientData/>
  </xdr:twoCellAnchor>
  <xdr:twoCellAnchor editAs="oneCell">
    <xdr:from>
      <xdr:col>10</xdr:col>
      <xdr:colOff>22325</xdr:colOff>
      <xdr:row>0</xdr:row>
      <xdr:rowOff>76200</xdr:rowOff>
    </xdr:from>
    <xdr:to>
      <xdr:col>20</xdr:col>
      <xdr:colOff>423197</xdr:colOff>
      <xdr:row>17</xdr:row>
      <xdr:rowOff>31622</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6423125" y="76200"/>
          <a:ext cx="6496872" cy="3064382"/>
        </a:xfrm>
        <a:prstGeom prst="rect">
          <a:avLst/>
        </a:prstGeom>
      </xdr:spPr>
    </xdr:pic>
    <xdr:clientData/>
  </xdr:twoCellAnchor>
  <xdr:twoCellAnchor editAs="oneCell">
    <xdr:from>
      <xdr:col>0</xdr:col>
      <xdr:colOff>189904</xdr:colOff>
      <xdr:row>17</xdr:row>
      <xdr:rowOff>15240</xdr:rowOff>
    </xdr:from>
    <xdr:to>
      <xdr:col>10</xdr:col>
      <xdr:colOff>68580</xdr:colOff>
      <xdr:row>33</xdr:row>
      <xdr:rowOff>66456</xdr:rowOff>
    </xdr:to>
    <xdr:pic>
      <xdr:nvPicPr>
        <xdr:cNvPr id="4" name="图片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xfrm>
          <a:off x="189904" y="3124200"/>
          <a:ext cx="6279476" cy="2977296"/>
        </a:xfrm>
        <a:prstGeom prst="rect">
          <a:avLst/>
        </a:prstGeom>
      </xdr:spPr>
    </xdr:pic>
    <xdr:clientData/>
  </xdr:twoCellAnchor>
  <xdr:twoCellAnchor editAs="oneCell">
    <xdr:from>
      <xdr:col>9</xdr:col>
      <xdr:colOff>657225</xdr:colOff>
      <xdr:row>0</xdr:row>
      <xdr:rowOff>0</xdr:rowOff>
    </xdr:from>
    <xdr:to>
      <xdr:col>21</xdr:col>
      <xdr:colOff>247015</xdr:colOff>
      <xdr:row>17</xdr:row>
      <xdr:rowOff>69215</xdr:rowOff>
    </xdr:to>
    <xdr:pic>
      <xdr:nvPicPr>
        <xdr:cNvPr id="5" name="图片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4"/>
        <a:stretch>
          <a:fillRect/>
        </a:stretch>
      </xdr:blipFill>
      <xdr:spPr>
        <a:xfrm>
          <a:off x="7162800" y="0"/>
          <a:ext cx="7819390" cy="29838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6" zoomScale="80" zoomScaleNormal="80" workbookViewId="0">
      <selection activeCell="B46" sqref="B1:B1048576"/>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北京市大兴区北京经济技术开发区荣华南路10号院4号楼1至2层107号商业用房房地产抵押价值预评估</v>
      </c>
    </row>
    <row r="3" spans="1:2" s="1138" customFormat="1">
      <c r="A3" s="1139" t="s">
        <v>858</v>
      </c>
      <c r="B3" s="1124" t="str">
        <f>'预评函-封皮'!B12</f>
        <v>上海浦东发展银行股份有限公司北京经济技术开发区支行</v>
      </c>
    </row>
    <row r="4" spans="1:2" s="1138" customFormat="1">
      <c r="A4" s="1139" t="s">
        <v>859</v>
      </c>
      <c r="B4" s="1124" t="str">
        <f ca="1">'预评函-封皮'!B18</f>
        <v>郑燚（注册号:1120070131）、崔锴（注册号:0)</v>
      </c>
    </row>
    <row r="5" spans="1:2" s="1136" customFormat="1" ht="16.2" thickBot="1">
      <c r="A5" s="1140" t="s">
        <v>860</v>
      </c>
      <c r="B5" s="1125" t="str">
        <f>'预评函-封皮'!B21</f>
        <v>康正预评字2022-1-0305-P01DYGJ1号</v>
      </c>
    </row>
    <row r="6" spans="1:2" s="1138" customFormat="1" ht="16.2" thickTop="1">
      <c r="A6" s="1139" t="s">
        <v>861</v>
      </c>
      <c r="B6" s="1123" t="str">
        <f>'预评函-1'!A4</f>
        <v>受贵公司委托，我公司对北京市大兴区北京经济技术开发区荣华南路10号院4号楼1至2层107号商业用房房地产进行了预评估。</v>
      </c>
    </row>
    <row r="7" spans="1:2">
      <c r="A7" s="1139" t="s">
        <v>862</v>
      </c>
      <c r="B7" s="1126" t="str">
        <f>'预评函-1'!A6</f>
        <v>估价对象为北京市大兴区北京经济技术开发区荣华南路10号院4号楼1至2层107号商业用房房地产，为丁有金所有。根据《房屋所有权证》[]，估价对象建筑面积为262.86平方米。根据《》[]，估价对象（分摊）出让国有建设用地使用权面积为平方米。估价对象用途为。</v>
      </c>
    </row>
    <row r="8" spans="1:2">
      <c r="A8" s="1139" t="s">
        <v>863</v>
      </c>
      <c r="B8" s="1126" t="str">
        <f>'预评函-1'!A8</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row>
    <row r="9" spans="1:2">
      <c r="A9" s="1139" t="s">
        <v>864</v>
      </c>
      <c r="B9" s="1126" t="str">
        <f>'预评函-1'!A10</f>
        <v>2022年5月20日（评估专业人员实地查勘之日）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北京市大兴区北京经济技术开发区荣华南路10号院4号楼1至2层107号商业用房房地产</v>
      </c>
    </row>
    <row r="18" spans="1:2">
      <c r="A18" s="1139" t="s">
        <v>873</v>
      </c>
      <c r="B18" s="1126">
        <f>'预评函-2（1）'!C6</f>
        <v>262.86</v>
      </c>
    </row>
    <row r="19" spans="1:2">
      <c r="A19" s="1139" t="s">
        <v>874</v>
      </c>
      <c r="B19" s="1126">
        <f ca="1">'预评函-2（1）'!D7</f>
        <v>11742745</v>
      </c>
    </row>
    <row r="20" spans="1:2">
      <c r="A20" s="1139" t="s">
        <v>912</v>
      </c>
      <c r="B20" s="1126" t="str">
        <f>'预评函-2（1）'!C7</f>
        <v>总价（元）</v>
      </c>
    </row>
    <row r="21" spans="1:2">
      <c r="A21" s="1139" t="s">
        <v>875</v>
      </c>
      <c r="B21" s="1126">
        <f ca="1">'预评函-2（1）'!D9</f>
        <v>44673</v>
      </c>
    </row>
    <row r="22" spans="1:2">
      <c r="A22" s="1139" t="s">
        <v>876</v>
      </c>
      <c r="B22" s="1126" t="str">
        <f ca="1">'预评函-2（1）'!D8</f>
        <v>壹仟壹佰柒拾肆万贰仟柒佰肆拾伍元整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t="str">
        <f>'预评函-2（1）'!D15</f>
        <v>——</v>
      </c>
    </row>
    <row r="30" spans="1:2">
      <c r="A30" s="1139" t="s">
        <v>882</v>
      </c>
      <c r="B30" s="1126" t="e">
        <f>'预评函-2（1）'!D16</f>
        <v>#VALUE!</v>
      </c>
    </row>
    <row r="31" spans="1:2">
      <c r="A31" s="1139" t="s">
        <v>883</v>
      </c>
      <c r="B31" s="1126">
        <f ca="1">'预评函-2（1）'!D18</f>
        <v>11742745</v>
      </c>
    </row>
    <row r="32" spans="1:2">
      <c r="A32" s="1139" t="s">
        <v>884</v>
      </c>
      <c r="B32" s="1126" t="str">
        <f ca="1">'预评函-2（1）'!D19</f>
        <v>壹仟壹佰柒拾肆万贰仟柒佰肆拾伍元整</v>
      </c>
    </row>
    <row r="33" spans="1:2">
      <c r="A33" s="1139" t="s">
        <v>885</v>
      </c>
      <c r="B33" s="1126" t="str">
        <f>'预评函-2（1）'!D21</f>
        <v>——</v>
      </c>
    </row>
    <row r="34" spans="1:2">
      <c r="A34" s="1139" t="s">
        <v>886</v>
      </c>
      <c r="B34" s="1126" t="e">
        <f ca="1">'预评函-2（1）'!D23</f>
        <v>#VALUE!</v>
      </c>
    </row>
    <row r="35" spans="1:2">
      <c r="A35" s="1139" t="s">
        <v>887</v>
      </c>
      <c r="B35" s="1126" t="e">
        <f>'预评函-2（1）'!D22</f>
        <v>#VALUE!</v>
      </c>
    </row>
    <row r="36" spans="1:2">
      <c r="A36" s="1139" t="s">
        <v>888</v>
      </c>
      <c r="B36" s="1126">
        <f>'预评函-2（2）'!C4</f>
        <v>0</v>
      </c>
    </row>
    <row r="37" spans="1:2">
      <c r="A37" s="1139" t="s">
        <v>889</v>
      </c>
      <c r="B37" s="1126">
        <f ca="1">'预评函-2（2）'!D4</f>
        <v>10380604</v>
      </c>
    </row>
    <row r="38" spans="1:2">
      <c r="A38" s="1139" t="s">
        <v>890</v>
      </c>
      <c r="B38" s="1126">
        <f ca="1">'预评函-2（2）'!E4</f>
        <v>39491</v>
      </c>
    </row>
    <row r="39" spans="1:2">
      <c r="A39" s="1139" t="s">
        <v>891</v>
      </c>
      <c r="B39" s="1126" t="str">
        <f ca="1">'预评函-2（2）'!D5</f>
        <v>壹仟零叁拾捌万零陆佰零肆元整</v>
      </c>
    </row>
    <row r="40" spans="1:2">
      <c r="A40" s="1139" t="s">
        <v>892</v>
      </c>
      <c r="B40" s="1126">
        <f ca="1">'预评函-2（2）'!F4</f>
        <v>1362141</v>
      </c>
    </row>
    <row r="41" spans="1:2">
      <c r="A41" s="1139" t="s">
        <v>893</v>
      </c>
      <c r="B41" s="1126">
        <f ca="1">'预评函-2（2）'!G4</f>
        <v>5182</v>
      </c>
    </row>
    <row r="42" spans="1:2" s="1136" customFormat="1" ht="16.2" thickBot="1">
      <c r="A42" s="1140" t="s">
        <v>894</v>
      </c>
      <c r="B42" s="1128" t="str">
        <f ca="1">'预评函-2（2）'!F5</f>
        <v>壹佰叁拾陆万贰仟壹佰肆拾壹元整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郑燚</v>
      </c>
    </row>
    <row r="53" spans="1:2">
      <c r="A53" s="1139" t="s">
        <v>904</v>
      </c>
      <c r="B53" s="1126">
        <f ca="1">'预评函-3'!B4</f>
        <v>1120070131</v>
      </c>
    </row>
    <row r="54" spans="1:2">
      <c r="A54" s="1139" t="s">
        <v>905</v>
      </c>
      <c r="B54" s="1130" t="str">
        <f>'预评函-3'!A5</f>
        <v>崔锴</v>
      </c>
    </row>
    <row r="55" spans="1:2" s="1136" customFormat="1" ht="16.2" thickBot="1">
      <c r="A55" s="1140" t="s">
        <v>906</v>
      </c>
      <c r="B55" s="1128">
        <f ca="1">'预评函-3'!B5</f>
        <v>0</v>
      </c>
    </row>
    <row r="56" spans="1:2" ht="16.2" thickTop="1">
      <c r="A56" s="1142" t="s">
        <v>915</v>
      </c>
      <c r="B56" s="1126" t="str">
        <f>'预评函-2（1）'!B15</f>
        <v>——</v>
      </c>
    </row>
    <row r="57" spans="1:2">
      <c r="A57" s="1142" t="s">
        <v>916</v>
      </c>
      <c r="B57" s="1126" t="str">
        <f>'预评函-2（1）'!B18</f>
        <v>3.抵押担保权已注销时的房地产抵押价值</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t="e">
        <f ca="1">'预评函-2（1）'!D38</f>
        <v>#VALUE!</v>
      </c>
    </row>
    <row r="63" spans="1:2" s="1138" customFormat="1" ht="31.2">
      <c r="A63" s="1142" t="s">
        <v>1005</v>
      </c>
      <c r="B63" s="1126">
        <f ca="1">'预评函-2（1）'!D41</f>
        <v>44673</v>
      </c>
    </row>
    <row r="64" spans="1:2">
      <c r="A64" s="1142" t="s">
        <v>929</v>
      </c>
      <c r="B64" s="1126" t="str">
        <f>'预评函-2（2）'!A6</f>
        <v>估价师所知悉的法定优先受偿款</v>
      </c>
    </row>
    <row r="65" spans="1:2">
      <c r="A65" s="1142" t="s">
        <v>930</v>
      </c>
      <c r="B65" s="1126" t="str">
        <f>'预评函-2（2）'!A8</f>
        <v/>
      </c>
    </row>
    <row r="66" spans="1:2">
      <c r="A66" s="1142" t="s">
        <v>931</v>
      </c>
      <c r="B66" s="1126" t="str">
        <f>'预评函-2（2）'!A10</f>
        <v>抵押担保权已注销时的房地产抵押价值</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27" thickBot="1">
      <c r="A1" s="2505" t="s">
        <v>1288</v>
      </c>
      <c r="B1" s="2506" t="str">
        <f>IF(B6="北京市","北京市",C6)&amp;IF(E12="房屋所有权证",B29,E29)&amp;D5&amp;"预评估"</f>
        <v>北京市大兴区北京经济技术开发区荣华南路10号院4号楼1至2层107号商业用房房地产抵押价值预评估</v>
      </c>
      <c r="C1" s="781"/>
      <c r="D1" s="781"/>
      <c r="E1" s="781"/>
      <c r="F1" s="1354" t="s">
        <v>1289</v>
      </c>
      <c r="G1" s="1120" t="s">
        <v>3084</v>
      </c>
      <c r="I1" s="2833" t="str">
        <f>IF(B6="北京市","北京市",C6)&amp;IF(E12="房屋所有权证",B29,E29)&amp;"房地产"</f>
        <v>北京市大兴区北京经济技术开发区荣华南路10号院4号楼1至2层107号商业用房房地产</v>
      </c>
      <c r="J1" s="758"/>
      <c r="K1" s="2835"/>
      <c r="L1" s="2835"/>
      <c r="M1" s="2835"/>
      <c r="N1" s="758"/>
      <c r="O1" s="758"/>
      <c r="P1" s="758"/>
      <c r="Q1" s="758"/>
    </row>
    <row r="2" spans="1:17" ht="13.8" thickTop="1">
      <c r="A2" s="1355" t="s">
        <v>1290</v>
      </c>
      <c r="B2" s="2507">
        <v>44701</v>
      </c>
      <c r="C2" s="2805" t="s">
        <v>1291</v>
      </c>
      <c r="D2" s="2507">
        <v>44701</v>
      </c>
      <c r="E2" s="782"/>
      <c r="F2" s="782"/>
      <c r="G2" s="1121"/>
      <c r="H2" s="2817"/>
    </row>
    <row r="3" spans="1:17" ht="13.8" thickBot="1">
      <c r="A3" s="2508" t="s">
        <v>1292</v>
      </c>
      <c r="B3" s="2509" t="s">
        <v>3082</v>
      </c>
      <c r="C3" s="2510">
        <f ca="1">SUMIF(注册房地产估价师,B3,估价师及机构信息!B3:B16)</f>
        <v>1120070131</v>
      </c>
      <c r="D3" s="2509" t="s">
        <v>3083</v>
      </c>
      <c r="E3" s="2511">
        <f ca="1">SUMIF(注册房地产估价师,D3,估价师及机构信息!B3:B16)</f>
        <v>0</v>
      </c>
      <c r="F3" s="783"/>
      <c r="G3" s="1122"/>
      <c r="H3" s="2817"/>
    </row>
    <row r="4" spans="1:17" ht="13.5" customHeight="1" thickTop="1">
      <c r="A4" s="1355" t="s">
        <v>1293</v>
      </c>
      <c r="B4" s="3328" t="s">
        <v>3080</v>
      </c>
      <c r="C4" s="2806" t="s">
        <v>1294</v>
      </c>
      <c r="D4" s="1356" t="s">
        <v>3027</v>
      </c>
      <c r="E4" s="782"/>
      <c r="F4" s="782"/>
      <c r="G4" s="1121"/>
    </row>
    <row r="5" spans="1:17" ht="48">
      <c r="A5" s="1357" t="s">
        <v>1295</v>
      </c>
      <c r="B5" s="3329" t="s">
        <v>3080</v>
      </c>
      <c r="C5" s="2807" t="s">
        <v>1296</v>
      </c>
      <c r="D5" s="1359" t="s">
        <v>3028</v>
      </c>
      <c r="E5" s="2808" t="s">
        <v>1297</v>
      </c>
      <c r="F5" s="1359" t="s">
        <v>3079</v>
      </c>
      <c r="G5" s="1360"/>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2" t="s">
        <v>3029</v>
      </c>
      <c r="C6" s="3331"/>
      <c r="D6" s="2513" t="s">
        <v>1299</v>
      </c>
      <c r="E6" s="769"/>
      <c r="F6" s="769"/>
      <c r="G6" s="788"/>
      <c r="I6" s="758" t="str">
        <f>IF(COUNTIF(B5,"*上海银行*"),"上海银行","")</f>
        <v/>
      </c>
      <c r="J6" s="758"/>
      <c r="K6" s="2835"/>
      <c r="L6" s="2835"/>
      <c r="M6" s="2835"/>
      <c r="N6" s="758"/>
      <c r="O6" s="758"/>
      <c r="P6" s="758"/>
      <c r="Q6" s="758"/>
    </row>
    <row r="7" spans="1:17" ht="13.8" thickBot="1">
      <c r="A7" s="2810" t="s">
        <v>1300</v>
      </c>
      <c r="B7" s="2514" t="s">
        <v>3070</v>
      </c>
      <c r="C7" s="1450" t="str">
        <f>IF(B7="自然人","姓名","名称")</f>
        <v>姓名</v>
      </c>
      <c r="D7" s="3330" t="s">
        <v>3081</v>
      </c>
      <c r="E7" s="783"/>
      <c r="F7" s="783"/>
      <c r="G7" s="1122"/>
    </row>
    <row r="8" spans="1:17" ht="13.8" thickTop="1">
      <c r="A8" s="3386" t="s">
        <v>1301</v>
      </c>
      <c r="B8" s="1364" t="s">
        <v>1302</v>
      </c>
      <c r="C8" s="3399" t="s">
        <v>3085</v>
      </c>
      <c r="D8" s="3400"/>
      <c r="E8" s="2515" t="s">
        <v>1303</v>
      </c>
      <c r="F8" s="2516" t="s">
        <v>1304</v>
      </c>
      <c r="G8" s="2517">
        <f>C6</f>
        <v>0</v>
      </c>
    </row>
    <row r="9" spans="1:17" ht="26.4">
      <c r="A9" s="3386"/>
      <c r="B9" s="259" t="s">
        <v>1305</v>
      </c>
      <c r="C9" s="3329" t="s">
        <v>3086</v>
      </c>
      <c r="D9" s="1365" t="s">
        <v>3030</v>
      </c>
      <c r="E9" s="2811" t="s">
        <v>1306</v>
      </c>
      <c r="F9" s="2518" t="s">
        <v>70</v>
      </c>
      <c r="G9" s="2519"/>
    </row>
    <row r="10" spans="1:17" ht="13.8" thickBot="1">
      <c r="A10" s="3386"/>
      <c r="B10" s="259" t="s">
        <v>1307</v>
      </c>
      <c r="C10" s="3401"/>
      <c r="D10" s="3402"/>
      <c r="E10" s="2812" t="s">
        <v>1308</v>
      </c>
      <c r="F10" s="2520" t="s">
        <v>3031</v>
      </c>
      <c r="G10" s="2521"/>
    </row>
    <row r="11" spans="1:17" ht="13.8" thickBot="1">
      <c r="A11" s="3386"/>
      <c r="B11" s="1367" t="s">
        <v>1309</v>
      </c>
      <c r="C11" s="3403" t="s">
        <v>3087</v>
      </c>
      <c r="D11" s="3404"/>
      <c r="E11" s="769"/>
      <c r="F11" s="769"/>
      <c r="G11" s="788"/>
    </row>
    <row r="12" spans="1:17" ht="13.8" thickBot="1">
      <c r="A12" s="3390" t="s">
        <v>2583</v>
      </c>
      <c r="B12" s="2813" t="s">
        <v>1310</v>
      </c>
      <c r="C12" s="766">
        <v>262.86</v>
      </c>
      <c r="D12" s="1368" t="s">
        <v>1311</v>
      </c>
      <c r="E12" s="1369" t="s">
        <v>3032</v>
      </c>
      <c r="F12" s="1370" t="s">
        <v>1001</v>
      </c>
      <c r="G12" s="788"/>
    </row>
    <row r="13" spans="1:17" ht="21" customHeight="1" thickBot="1">
      <c r="A13" s="3391"/>
      <c r="B13" s="2814" t="s">
        <v>1312</v>
      </c>
      <c r="C13" s="767"/>
      <c r="D13" s="1371" t="s">
        <v>1313</v>
      </c>
      <c r="E13" s="1372"/>
      <c r="F13" s="769"/>
      <c r="G13" s="788"/>
      <c r="I13" s="3409" t="s">
        <v>1314</v>
      </c>
      <c r="J13" s="2834"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835"/>
      <c r="L13" s="2835"/>
      <c r="M13" s="2835"/>
      <c r="N13" s="758"/>
      <c r="O13" s="758"/>
      <c r="P13" s="758"/>
      <c r="Q13" s="758"/>
    </row>
    <row r="14" spans="1:17" ht="13.8" thickBot="1">
      <c r="A14" s="2522"/>
      <c r="B14" s="2828" t="s">
        <v>2584</v>
      </c>
      <c r="C14" s="2523"/>
      <c r="D14" s="769"/>
      <c r="E14" s="769"/>
      <c r="F14" s="769"/>
      <c r="G14" s="788"/>
      <c r="I14" s="3409"/>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8" thickBot="1">
      <c r="A15" s="2524"/>
      <c r="B15" s="2815" t="s">
        <v>1315</v>
      </c>
      <c r="C15" s="784"/>
      <c r="D15" s="783"/>
      <c r="E15" s="783"/>
      <c r="F15" s="783"/>
      <c r="G15" s="1122"/>
      <c r="I15" s="3409"/>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7.6" thickTop="1" thickBot="1">
      <c r="A16" s="2522" t="s">
        <v>1316</v>
      </c>
      <c r="B16" s="1373" t="s">
        <v>1317</v>
      </c>
      <c r="C16" s="2525" t="s">
        <v>3041</v>
      </c>
      <c r="D16" s="1366" t="s">
        <v>1318</v>
      </c>
      <c r="E16" s="2526" t="s">
        <v>3033</v>
      </c>
      <c r="F16" s="1374" t="str">
        <f>IF(AND(C16="是",E16="否"),"是否提供他项权证或相关说明","")</f>
        <v>是否提供他项权证或相关说明</v>
      </c>
      <c r="G16" s="2526" t="s">
        <v>3033</v>
      </c>
      <c r="J16" s="2817"/>
    </row>
    <row r="17" spans="1:66" ht="13.5" customHeight="1">
      <c r="A17" s="1380" t="s">
        <v>1319</v>
      </c>
      <c r="B17" s="3405" t="s">
        <v>1320</v>
      </c>
      <c r="C17" s="3406"/>
      <c r="D17" s="3407" t="s">
        <v>1321</v>
      </c>
      <c r="E17" s="3408"/>
      <c r="F17" s="1375" t="s">
        <v>1322</v>
      </c>
      <c r="G17" s="1376"/>
      <c r="J17" s="2817"/>
    </row>
    <row r="18" spans="1:66" ht="24">
      <c r="A18" s="1380"/>
      <c r="B18" s="2527" t="s">
        <v>3034</v>
      </c>
      <c r="C18" s="1360" t="s">
        <v>3088</v>
      </c>
      <c r="D18" s="1377" t="s">
        <v>1323</v>
      </c>
      <c r="E18" s="1378"/>
      <c r="F18" s="1379"/>
      <c r="G18" s="1245"/>
      <c r="H18" s="2817"/>
      <c r="J18" s="2817"/>
    </row>
    <row r="19" spans="1:66" ht="21.75" customHeight="1" thickBot="1">
      <c r="A19" s="1380"/>
      <c r="B19" s="2528"/>
      <c r="C19" s="1372"/>
      <c r="D19" s="1380"/>
      <c r="E19" s="769"/>
      <c r="F19" s="769"/>
      <c r="G19" s="1245"/>
    </row>
    <row r="20" spans="1:66">
      <c r="A20" s="1376" t="s">
        <v>1324</v>
      </c>
      <c r="B20" s="2529" t="s">
        <v>1325</v>
      </c>
      <c r="C20" s="2530"/>
      <c r="D20" s="2531" t="s">
        <v>1325</v>
      </c>
      <c r="E20" s="2530"/>
      <c r="F20" s="769"/>
      <c r="G20" s="1245"/>
    </row>
    <row r="21" spans="1:66">
      <c r="A21" s="1245"/>
      <c r="B21" s="2532" t="s">
        <v>1326</v>
      </c>
      <c r="C21" s="2800"/>
      <c r="D21" s="1380" t="s">
        <v>1326</v>
      </c>
      <c r="E21" s="2533"/>
      <c r="F21" s="769"/>
      <c r="G21" s="1245"/>
    </row>
    <row r="22" spans="1:66">
      <c r="A22" s="1245"/>
      <c r="B22" s="769" t="s">
        <v>1327</v>
      </c>
      <c r="C22" s="2534"/>
      <c r="D22" s="769" t="s">
        <v>1327</v>
      </c>
      <c r="E22" s="2533"/>
      <c r="F22" s="769"/>
      <c r="G22" s="1245"/>
    </row>
    <row r="23" spans="1:66" s="2799" customFormat="1" ht="16.2"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18" t="s">
        <v>2582</v>
      </c>
      <c r="B24" s="3418"/>
      <c r="C24" s="3418"/>
      <c r="D24" s="3418"/>
      <c r="E24" s="3418"/>
      <c r="F24" s="3418"/>
      <c r="G24" s="3418"/>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4" thickTop="1" thickBot="1">
      <c r="A25" s="786" t="s">
        <v>1330</v>
      </c>
      <c r="B25" s="769"/>
      <c r="C25" s="769"/>
      <c r="D25" s="769"/>
      <c r="E25" s="769"/>
      <c r="F25" s="769"/>
      <c r="G25" s="1246"/>
      <c r="K25" s="2818"/>
    </row>
    <row r="26" spans="1:66" s="794" customFormat="1" ht="13.8"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8"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393" t="s">
        <v>1334</v>
      </c>
      <c r="D28" s="3394"/>
      <c r="E28" s="759"/>
      <c r="F28" s="761" t="s">
        <v>1334</v>
      </c>
      <c r="G28" s="759"/>
      <c r="K28" s="2818"/>
    </row>
    <row r="29" spans="1:66" ht="62.4">
      <c r="A29" s="762" t="s">
        <v>1335</v>
      </c>
      <c r="B29" s="3332" t="s">
        <v>3085</v>
      </c>
      <c r="C29" s="3395" t="s">
        <v>1336</v>
      </c>
      <c r="D29" s="3396"/>
      <c r="E29" s="756"/>
      <c r="F29" s="762" t="s">
        <v>1336</v>
      </c>
      <c r="G29" s="756"/>
      <c r="K29" s="2818"/>
    </row>
    <row r="30" spans="1:66">
      <c r="A30" s="762" t="s">
        <v>1337</v>
      </c>
      <c r="B30" s="756"/>
      <c r="C30" s="3395" t="s">
        <v>1337</v>
      </c>
      <c r="D30" s="3396"/>
      <c r="E30" s="756"/>
      <c r="F30" s="762" t="s">
        <v>1338</v>
      </c>
      <c r="G30" s="756"/>
      <c r="K30" s="2818"/>
    </row>
    <row r="31" spans="1:66">
      <c r="A31" s="762" t="s">
        <v>1339</v>
      </c>
      <c r="B31" s="756"/>
      <c r="C31" s="3415" t="s">
        <v>1340</v>
      </c>
      <c r="D31" s="769"/>
      <c r="E31" s="2541" t="str">
        <f>E32&amp;" "&amp;E33&amp;" "&amp;E34&amp;" "&amp;E35</f>
        <v xml:space="preserve">   </v>
      </c>
      <c r="F31" s="762" t="s">
        <v>1341</v>
      </c>
      <c r="G31" s="756"/>
    </row>
    <row r="32" spans="1:66">
      <c r="A32" s="762" t="s">
        <v>1342</v>
      </c>
      <c r="B32" s="756"/>
      <c r="C32" s="3416"/>
      <c r="D32" s="259" t="s">
        <v>1343</v>
      </c>
      <c r="E32" s="756"/>
      <c r="F32" s="762" t="s">
        <v>1344</v>
      </c>
      <c r="G32" s="756"/>
    </row>
    <row r="33" spans="1:7" ht="24.6" thickBot="1">
      <c r="A33" s="763" t="s">
        <v>1345</v>
      </c>
      <c r="B33" s="760"/>
      <c r="C33" s="3416"/>
      <c r="D33" s="259" t="s">
        <v>1346</v>
      </c>
      <c r="E33" s="756"/>
      <c r="F33" s="762" t="s">
        <v>1347</v>
      </c>
      <c r="G33" s="756"/>
    </row>
    <row r="34" spans="1:7">
      <c r="A34" s="761" t="s">
        <v>1348</v>
      </c>
      <c r="B34" s="759"/>
      <c r="C34" s="3416"/>
      <c r="D34" s="259" t="s">
        <v>1349</v>
      </c>
      <c r="E34" s="756"/>
      <c r="F34" s="762" t="s">
        <v>1350</v>
      </c>
      <c r="G34" s="756"/>
    </row>
    <row r="35" spans="1:7" ht="13.8" thickBot="1">
      <c r="A35" s="762" t="s">
        <v>1351</v>
      </c>
      <c r="B35" s="756"/>
      <c r="C35" s="3417"/>
      <c r="D35" s="259" t="s">
        <v>1352</v>
      </c>
      <c r="E35" s="756"/>
      <c r="F35" s="763" t="s">
        <v>1353</v>
      </c>
      <c r="G35" s="2542"/>
    </row>
    <row r="36" spans="1:7">
      <c r="A36" s="762" t="s">
        <v>1310</v>
      </c>
      <c r="B36" s="756"/>
      <c r="C36" s="3395" t="s">
        <v>1354</v>
      </c>
      <c r="D36" s="3396"/>
      <c r="E36" s="756"/>
      <c r="F36" s="2543" t="s">
        <v>1355</v>
      </c>
      <c r="G36" s="759"/>
    </row>
    <row r="37" spans="1:7" ht="24.6" thickBot="1">
      <c r="A37" s="762" t="s">
        <v>1356</v>
      </c>
      <c r="B37" s="756"/>
      <c r="C37" s="3397" t="s">
        <v>1357</v>
      </c>
      <c r="D37" s="3398"/>
      <c r="E37" s="760"/>
      <c r="F37" s="1388" t="s">
        <v>1358</v>
      </c>
      <c r="G37" s="756"/>
    </row>
    <row r="38" spans="1:7" ht="13.8" thickBot="1">
      <c r="A38" s="762" t="s">
        <v>1359</v>
      </c>
      <c r="B38" s="756"/>
      <c r="C38" s="3387" t="s">
        <v>1360</v>
      </c>
      <c r="D38" s="1368"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1" t="s">
        <v>1312</v>
      </c>
      <c r="E41" s="760"/>
      <c r="F41" s="763" t="s">
        <v>1368</v>
      </c>
      <c r="G41" s="760"/>
    </row>
    <row r="42" spans="1:7" ht="24">
      <c r="A42" s="764" t="s">
        <v>1369</v>
      </c>
      <c r="B42" s="2544"/>
      <c r="C42" s="3410" t="s">
        <v>1369</v>
      </c>
      <c r="D42" s="3411"/>
      <c r="E42" s="2544"/>
      <c r="F42" s="761" t="s">
        <v>1370</v>
      </c>
      <c r="G42" s="2544"/>
    </row>
    <row r="43" spans="1:7">
      <c r="A43" s="779" t="s">
        <v>1371</v>
      </c>
      <c r="B43" s="2545"/>
      <c r="C43" s="1380"/>
      <c r="D43" s="2532"/>
      <c r="E43" s="2545"/>
      <c r="F43" s="779"/>
      <c r="G43" s="2545"/>
    </row>
    <row r="44" spans="1:7">
      <c r="A44" s="779" t="s">
        <v>1325</v>
      </c>
      <c r="B44" s="780"/>
      <c r="C44" s="1380"/>
      <c r="D44" s="1446" t="s">
        <v>1325</v>
      </c>
      <c r="E44" s="780"/>
      <c r="F44" s="779" t="s">
        <v>1325</v>
      </c>
      <c r="G44" s="780"/>
    </row>
    <row r="45" spans="1:7">
      <c r="A45" s="779" t="s">
        <v>1326</v>
      </c>
      <c r="B45" s="780"/>
      <c r="C45" s="1380"/>
      <c r="D45" s="2532" t="s">
        <v>1326</v>
      </c>
      <c r="E45" s="780"/>
      <c r="F45" s="779" t="s">
        <v>1326</v>
      </c>
      <c r="G45" s="780"/>
    </row>
    <row r="46" spans="1:7">
      <c r="A46" s="779" t="s">
        <v>1327</v>
      </c>
      <c r="B46" s="780"/>
      <c r="C46" s="1380"/>
      <c r="D46" s="2532" t="s">
        <v>1327</v>
      </c>
      <c r="E46" s="780"/>
      <c r="F46" s="779" t="s">
        <v>1327</v>
      </c>
      <c r="G46" s="780"/>
    </row>
    <row r="47" spans="1:7">
      <c r="A47" s="779" t="s">
        <v>1328</v>
      </c>
      <c r="B47" s="780"/>
      <c r="C47" s="1380"/>
      <c r="D47" s="2532" t="s">
        <v>1328</v>
      </c>
      <c r="E47" s="780"/>
      <c r="F47" s="779" t="s">
        <v>1328</v>
      </c>
      <c r="G47" s="780"/>
    </row>
    <row r="48" spans="1:7">
      <c r="A48" s="779"/>
      <c r="B48" s="780"/>
      <c r="C48" s="1380"/>
      <c r="D48" s="2532"/>
      <c r="E48" s="780"/>
      <c r="F48" s="779"/>
      <c r="G48" s="780"/>
    </row>
    <row r="49" spans="1:66" ht="13.8" thickBot="1">
      <c r="A49" s="763" t="s">
        <v>1372</v>
      </c>
      <c r="B49" s="760"/>
      <c r="C49" s="3412" t="s">
        <v>1372</v>
      </c>
      <c r="D49" s="3413"/>
      <c r="E49" s="778"/>
      <c r="F49" s="763" t="s">
        <v>1373</v>
      </c>
      <c r="G49" s="760"/>
    </row>
    <row r="50" spans="1:66">
      <c r="A50" s="762" t="s">
        <v>1374</v>
      </c>
      <c r="B50" s="777"/>
      <c r="C50" s="3387" t="s">
        <v>1375</v>
      </c>
      <c r="D50" s="3414"/>
      <c r="E50" s="2546"/>
      <c r="F50" s="795"/>
      <c r="G50" s="796"/>
    </row>
    <row r="51" spans="1:66" ht="13.8" thickBot="1">
      <c r="A51" s="762" t="s">
        <v>1376</v>
      </c>
      <c r="B51" s="777"/>
      <c r="C51" s="3389" t="s">
        <v>1377</v>
      </c>
      <c r="D51" s="3392"/>
      <c r="E51" s="760"/>
      <c r="F51" s="769"/>
      <c r="G51" s="788"/>
    </row>
    <row r="52" spans="1:66">
      <c r="A52" s="762" t="s">
        <v>1355</v>
      </c>
      <c r="B52" s="756"/>
      <c r="C52" s="769"/>
      <c r="D52" s="769"/>
      <c r="E52" s="769"/>
      <c r="F52" s="769"/>
      <c r="G52" s="788"/>
    </row>
    <row r="53" spans="1:66" ht="24.6"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9" t="s">
        <v>0</v>
      </c>
      <c r="B1" s="3419" t="s">
        <v>2</v>
      </c>
      <c r="C1" s="3419" t="s">
        <v>3</v>
      </c>
      <c r="D1" s="3420" t="s">
        <v>67</v>
      </c>
      <c r="E1" s="3420" t="s">
        <v>68</v>
      </c>
      <c r="F1" s="3420"/>
      <c r="G1" s="3420"/>
      <c r="H1" s="3420"/>
      <c r="I1" s="3420"/>
      <c r="J1" s="3420"/>
      <c r="K1" s="3420"/>
      <c r="L1" s="3420"/>
      <c r="M1" s="3420"/>
    </row>
    <row r="2" spans="1:13" ht="27" customHeight="1">
      <c r="A2" s="3419"/>
      <c r="B2" s="3419"/>
      <c r="C2" s="3419"/>
      <c r="D2" s="3420"/>
      <c r="E2" s="3420" t="s">
        <v>51</v>
      </c>
      <c r="F2" s="3420" t="s">
        <v>52</v>
      </c>
      <c r="G2" s="3420"/>
      <c r="H2" s="3420"/>
      <c r="I2" s="3420"/>
      <c r="J2" s="3420" t="s">
        <v>53</v>
      </c>
      <c r="K2" s="3420"/>
      <c r="L2" s="3420"/>
      <c r="M2" s="3420"/>
    </row>
    <row r="3" spans="1:13" ht="46.8">
      <c r="A3" s="3419"/>
      <c r="B3" s="3419"/>
      <c r="C3" s="3419"/>
      <c r="D3" s="3420"/>
      <c r="E3" s="342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0" t="s">
        <v>69</v>
      </c>
      <c r="B9" s="3420"/>
      <c r="C9" s="34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7" sqref="C37"/>
    </sheetView>
  </sheetViews>
  <sheetFormatPr defaultColWidth="13.77734375" defaultRowHeight="13.2"/>
  <cols>
    <col min="1" max="1" width="20.88671875" style="2603" customWidth="1"/>
    <col min="2" max="2" width="16.77734375" style="2548" customWidth="1"/>
    <col min="3" max="3" width="18.21875" style="2589" customWidth="1"/>
    <col min="4" max="4" width="34.109375" style="2604" customWidth="1"/>
    <col min="5" max="5" width="17.6640625" style="2604" customWidth="1"/>
    <col min="6" max="6" width="15.44140625" style="2547" customWidth="1"/>
    <col min="7" max="8" width="9.109375" style="2882" customWidth="1"/>
    <col min="9" max="9" width="15" style="2589" bestFit="1" customWidth="1"/>
    <col min="10" max="14" width="8.88671875" style="2589" customWidth="1"/>
    <col min="15" max="16" width="12.33203125" style="2589" customWidth="1"/>
    <col min="17" max="17" width="8.6640625" style="2589" customWidth="1"/>
    <col min="18" max="18" width="12.44140625" style="2589" customWidth="1"/>
    <col min="19" max="19" width="8.44140625" style="2589" customWidth="1"/>
    <col min="20" max="21" width="10.88671875" style="2589" customWidth="1"/>
    <col min="22" max="23" width="12.44140625" style="2589" customWidth="1"/>
    <col min="24" max="24" width="12.109375" style="2589" customWidth="1"/>
    <col min="25" max="25" width="7.44140625" style="2589" customWidth="1"/>
    <col min="26" max="26" width="6.33203125" style="2589" customWidth="1"/>
    <col min="27" max="32" width="6.77734375" style="2589" customWidth="1"/>
    <col min="33" max="33" width="6.44140625" style="2589" customWidth="1"/>
    <col min="34" max="36" width="7.21875" style="2589" customWidth="1"/>
    <col min="37" max="41" width="8" style="2589" customWidth="1"/>
    <col min="42" max="16384" width="13.77734375" style="2548"/>
  </cols>
  <sheetData>
    <row r="1" spans="1:41" ht="18" thickBot="1">
      <c r="A1" s="2836" t="s">
        <v>1379</v>
      </c>
      <c r="B1" s="905"/>
      <c r="D1" s="2547"/>
      <c r="E1" s="2547"/>
    </row>
    <row r="2" spans="1:41" s="2551" customFormat="1" ht="15" thickBot="1">
      <c r="A2" s="2837" t="s">
        <v>1380</v>
      </c>
      <c r="B2" s="2838">
        <f>项目基本情况!D2</f>
        <v>44701</v>
      </c>
      <c r="C2" s="1610"/>
      <c r="D2" s="3421" t="s">
        <v>1381</v>
      </c>
      <c r="E2" s="2549"/>
      <c r="F2" s="2550"/>
      <c r="G2" s="2883"/>
      <c r="H2" s="2883"/>
      <c r="I2" s="1610"/>
      <c r="J2" s="1610"/>
      <c r="K2" s="1610"/>
      <c r="L2" s="1610"/>
      <c r="M2" s="1610"/>
      <c r="N2" s="1610"/>
      <c r="O2" s="1610"/>
      <c r="P2" s="1610"/>
      <c r="Q2" s="1610"/>
      <c r="R2" s="1610"/>
      <c r="S2" s="1610"/>
      <c r="T2" s="1610"/>
      <c r="U2" s="1610"/>
      <c r="V2" s="1610"/>
      <c r="W2" s="1610"/>
      <c r="X2" s="1610"/>
      <c r="Y2" s="1610"/>
      <c r="Z2" s="1610"/>
      <c r="AA2" s="1610"/>
      <c r="AB2" s="1610"/>
      <c r="AC2" s="1610"/>
      <c r="AD2" s="1610"/>
      <c r="AE2" s="1610"/>
      <c r="AF2" s="1610"/>
      <c r="AG2" s="1610"/>
      <c r="AH2" s="1610"/>
      <c r="AI2" s="1610"/>
      <c r="AJ2" s="1610"/>
      <c r="AK2" s="1610"/>
      <c r="AL2" s="1610"/>
      <c r="AM2" s="1610"/>
      <c r="AN2" s="1610"/>
      <c r="AO2" s="1610"/>
    </row>
    <row r="3" spans="1:41" s="2551" customFormat="1" ht="15" customHeight="1" thickBot="1">
      <c r="A3" s="2554" t="s">
        <v>1382</v>
      </c>
      <c r="B3" s="2552" t="s">
        <v>3035</v>
      </c>
      <c r="C3" s="1610"/>
      <c r="D3" s="3422"/>
      <c r="E3" s="2553" t="s">
        <v>3033</v>
      </c>
      <c r="F3" s="2550"/>
      <c r="G3" s="2883"/>
      <c r="H3" s="2883"/>
      <c r="I3" s="1610"/>
      <c r="J3" s="1610"/>
      <c r="K3" s="1610"/>
      <c r="L3" s="1610"/>
      <c r="M3" s="1610"/>
      <c r="N3" s="1610"/>
      <c r="O3" s="1610"/>
      <c r="P3" s="1610"/>
      <c r="Q3" s="1610"/>
      <c r="R3" s="1610"/>
      <c r="S3" s="1610"/>
      <c r="T3" s="1610"/>
      <c r="U3" s="1610"/>
      <c r="V3" s="1610"/>
      <c r="W3" s="1610"/>
      <c r="X3" s="1610"/>
      <c r="Y3" s="1610"/>
      <c r="Z3" s="1610"/>
      <c r="AA3" s="1610"/>
      <c r="AB3" s="1610"/>
      <c r="AC3" s="1610"/>
      <c r="AD3" s="1610"/>
      <c r="AE3" s="1610"/>
      <c r="AF3" s="1610"/>
      <c r="AG3" s="1610"/>
      <c r="AH3" s="1610"/>
      <c r="AI3" s="1610"/>
      <c r="AJ3" s="1610"/>
      <c r="AK3" s="1610"/>
      <c r="AL3" s="1610"/>
      <c r="AM3" s="1610"/>
      <c r="AN3" s="1610"/>
      <c r="AO3" s="1610"/>
    </row>
    <row r="4" spans="1:41" s="2551" customFormat="1" ht="15" thickBot="1">
      <c r="A4" s="2557" t="s">
        <v>1383</v>
      </c>
      <c r="B4" s="2552" t="s">
        <v>3036</v>
      </c>
      <c r="C4" s="1610"/>
      <c r="D4" s="3422"/>
      <c r="E4" s="2553"/>
      <c r="F4" s="2550"/>
      <c r="G4" s="2883"/>
      <c r="H4" s="2883"/>
      <c r="I4" s="1610"/>
      <c r="J4" s="1610"/>
      <c r="K4" s="1610"/>
      <c r="L4" s="1610"/>
      <c r="M4" s="1610"/>
      <c r="N4" s="1610"/>
      <c r="O4" s="1610"/>
      <c r="P4" s="1610"/>
      <c r="Q4" s="1610"/>
      <c r="R4" s="1610"/>
      <c r="S4" s="1610"/>
      <c r="T4" s="1610"/>
      <c r="U4" s="1610"/>
      <c r="V4" s="1610"/>
      <c r="W4" s="1610"/>
      <c r="X4" s="1610"/>
      <c r="Y4" s="1610"/>
      <c r="Z4" s="1610"/>
      <c r="AA4" s="1610"/>
      <c r="AB4" s="1610"/>
      <c r="AC4" s="1610"/>
      <c r="AD4" s="1610"/>
      <c r="AE4" s="1610"/>
      <c r="AF4" s="1610"/>
      <c r="AG4" s="1610"/>
      <c r="AH4" s="1610"/>
      <c r="AI4" s="1610"/>
      <c r="AJ4" s="1610"/>
      <c r="AK4" s="1610"/>
      <c r="AL4" s="1610"/>
      <c r="AM4" s="1610"/>
      <c r="AN4" s="1610"/>
      <c r="AO4" s="1610"/>
    </row>
    <row r="5" spans="1:41" s="2551" customFormat="1" ht="15" thickBot="1">
      <c r="A5" s="2554" t="s">
        <v>1384</v>
      </c>
      <c r="B5" s="2555">
        <f>项目基本情况!C12</f>
        <v>262.86</v>
      </c>
      <c r="C5" s="1610">
        <f>9*B5*365</f>
        <v>863495.10000000009</v>
      </c>
      <c r="D5" s="2839" t="s">
        <v>1385</v>
      </c>
      <c r="E5" s="2556"/>
      <c r="F5" s="2550"/>
      <c r="G5" s="2883"/>
      <c r="H5" s="2883"/>
      <c r="I5" s="1610"/>
      <c r="J5" s="1610"/>
      <c r="K5" s="1610"/>
      <c r="L5" s="1610"/>
      <c r="M5" s="1610"/>
      <c r="N5" s="1610"/>
      <c r="O5" s="1610"/>
      <c r="P5" s="1610"/>
      <c r="Q5" s="1610"/>
      <c r="R5" s="1610"/>
      <c r="S5" s="1610"/>
      <c r="T5" s="1610"/>
      <c r="U5" s="1610"/>
      <c r="V5" s="1610"/>
      <c r="W5" s="1610"/>
      <c r="X5" s="1610"/>
      <c r="Y5" s="1610"/>
      <c r="Z5" s="1610"/>
      <c r="AA5" s="1610"/>
      <c r="AB5" s="1610"/>
      <c r="AC5" s="1610"/>
      <c r="AD5" s="1610"/>
      <c r="AE5" s="1610"/>
      <c r="AF5" s="1610"/>
      <c r="AG5" s="1610"/>
      <c r="AH5" s="1610"/>
      <c r="AI5" s="1610"/>
      <c r="AJ5" s="1610"/>
      <c r="AK5" s="1610"/>
      <c r="AL5" s="1610"/>
      <c r="AM5" s="1610"/>
      <c r="AN5" s="1610"/>
      <c r="AO5" s="1610"/>
    </row>
    <row r="6" spans="1:41" s="2551" customFormat="1" ht="15" thickBot="1">
      <c r="A6" s="2557" t="s">
        <v>1386</v>
      </c>
      <c r="B6" s="2558">
        <f>项目基本情况!C13</f>
        <v>0</v>
      </c>
      <c r="C6" s="1610"/>
      <c r="D6" s="2839" t="s">
        <v>1387</v>
      </c>
      <c r="E6" s="2556"/>
      <c r="F6" s="2550"/>
      <c r="G6" s="2883"/>
      <c r="H6" s="2883"/>
      <c r="I6" s="1610"/>
      <c r="J6" s="1610"/>
      <c r="K6" s="1610"/>
      <c r="L6" s="1610"/>
      <c r="M6" s="1610"/>
      <c r="N6" s="1610"/>
      <c r="O6" s="1610"/>
      <c r="P6" s="1610"/>
      <c r="Q6" s="1610"/>
      <c r="R6" s="1610"/>
      <c r="S6" s="1610"/>
      <c r="T6" s="1610"/>
      <c r="U6" s="1610"/>
      <c r="V6" s="1610"/>
      <c r="W6" s="1610"/>
      <c r="X6" s="1610"/>
      <c r="Y6" s="1610"/>
      <c r="Z6" s="1610"/>
      <c r="AA6" s="1610"/>
      <c r="AB6" s="1610"/>
      <c r="AC6" s="1610"/>
      <c r="AD6" s="1610"/>
      <c r="AE6" s="1610"/>
      <c r="AF6" s="1610"/>
      <c r="AG6" s="1610"/>
      <c r="AH6" s="1610"/>
      <c r="AI6" s="1610"/>
      <c r="AJ6" s="1610"/>
      <c r="AK6" s="1610"/>
      <c r="AL6" s="1610"/>
      <c r="AM6" s="1610"/>
      <c r="AN6" s="1610"/>
      <c r="AO6" s="1610"/>
    </row>
    <row r="7" spans="1:41" s="1610" customFormat="1" ht="14.4" thickBot="1">
      <c r="A7" s="2885"/>
      <c r="D7" s="2886"/>
      <c r="E7" s="2886"/>
      <c r="F7" s="2883"/>
      <c r="G7" s="2883"/>
      <c r="H7" s="2883"/>
    </row>
    <row r="8" spans="1:41" s="1610" customFormat="1" ht="13.8" hidden="1">
      <c r="A8" s="2885"/>
      <c r="D8" s="2886"/>
      <c r="E8" s="2886"/>
      <c r="F8" s="2883"/>
      <c r="G8" s="2883"/>
      <c r="H8" s="2883"/>
    </row>
    <row r="9" spans="1:41" s="1610" customFormat="1" ht="15" hidden="1" thickBot="1">
      <c r="C9" s="3004"/>
      <c r="D9" s="2883"/>
      <c r="E9" s="2883"/>
      <c r="F9" s="2883"/>
      <c r="G9" s="2883"/>
      <c r="H9" s="2883"/>
    </row>
    <row r="10" spans="1:41" s="2551" customFormat="1" ht="15" thickBot="1">
      <c r="A10" s="2840" t="s">
        <v>1388</v>
      </c>
      <c r="B10" s="2560" t="s">
        <v>3037</v>
      </c>
      <c r="C10" s="1610"/>
      <c r="D10" s="2837" t="s">
        <v>1389</v>
      </c>
      <c r="E10" s="2841" t="s">
        <v>1390</v>
      </c>
      <c r="F10" s="3005" t="s">
        <v>2592</v>
      </c>
      <c r="G10" s="1610"/>
      <c r="H10" s="1610"/>
      <c r="I10" s="1610"/>
      <c r="J10" s="1610"/>
      <c r="K10" s="1610"/>
      <c r="L10" s="1610"/>
      <c r="M10" s="1610"/>
      <c r="N10" s="1610"/>
      <c r="O10" s="1610"/>
      <c r="P10" s="1610"/>
      <c r="Q10" s="1610"/>
      <c r="R10" s="1610"/>
      <c r="S10" s="1610"/>
      <c r="T10" s="1610"/>
      <c r="U10" s="1610"/>
      <c r="V10" s="1610"/>
      <c r="W10" s="1610"/>
      <c r="X10" s="1610"/>
      <c r="Y10" s="1610"/>
      <c r="Z10" s="1610"/>
      <c r="AA10" s="1610"/>
      <c r="AB10" s="1610"/>
      <c r="AC10" s="1610"/>
      <c r="AD10" s="1610"/>
      <c r="AE10" s="1610"/>
      <c r="AF10" s="1610"/>
      <c r="AG10" s="1610"/>
      <c r="AH10" s="1610"/>
      <c r="AI10" s="1610"/>
      <c r="AJ10" s="1610"/>
      <c r="AK10" s="1610"/>
      <c r="AL10" s="1610"/>
      <c r="AM10" s="1610"/>
      <c r="AN10" s="1610"/>
      <c r="AO10" s="1610"/>
    </row>
    <row r="11" spans="1:41" s="2564" customFormat="1" ht="14.4">
      <c r="A11" s="2842" t="s">
        <v>1391</v>
      </c>
      <c r="B11" s="2562">
        <v>40</v>
      </c>
      <c r="C11" s="1610"/>
      <c r="D11" s="2843" t="s">
        <v>1392</v>
      </c>
      <c r="E11" s="2563"/>
      <c r="F11" s="1240" t="s">
        <v>1393</v>
      </c>
      <c r="G11" s="1610"/>
      <c r="H11" s="1610"/>
      <c r="I11" s="1610"/>
      <c r="J11" s="1610"/>
      <c r="K11" s="1610"/>
      <c r="L11" s="2625"/>
      <c r="M11" s="2625"/>
      <c r="N11" s="2625"/>
      <c r="O11" s="2625"/>
      <c r="P11" s="2625"/>
      <c r="Q11" s="2625"/>
      <c r="R11" s="1610"/>
      <c r="S11" s="1610"/>
      <c r="T11" s="1610"/>
      <c r="U11" s="1610"/>
      <c r="V11" s="1610"/>
      <c r="W11" s="1610"/>
      <c r="X11" s="1610"/>
      <c r="Y11" s="1610"/>
      <c r="Z11" s="1610"/>
      <c r="AA11" s="1610"/>
      <c r="AB11" s="1610"/>
      <c r="AC11" s="1610"/>
      <c r="AD11" s="1610"/>
      <c r="AE11" s="1610"/>
      <c r="AF11" s="1610"/>
      <c r="AG11" s="1610"/>
      <c r="AH11" s="1610"/>
      <c r="AI11" s="1610"/>
      <c r="AJ11" s="1610"/>
      <c r="AK11" s="1610"/>
      <c r="AL11" s="1610"/>
      <c r="AM11" s="1610"/>
      <c r="AN11" s="1610"/>
      <c r="AO11" s="1610"/>
    </row>
    <row r="12" spans="1:41" s="2551" customFormat="1" ht="15">
      <c r="A12" s="2844" t="s">
        <v>1394</v>
      </c>
      <c r="B12" s="2565"/>
      <c r="C12" s="1610"/>
      <c r="D12" s="2844" t="s">
        <v>1395</v>
      </c>
      <c r="E12" s="2566">
        <v>200</v>
      </c>
      <c r="F12" s="1239"/>
      <c r="G12" s="1610"/>
      <c r="H12" s="1610"/>
      <c r="I12" s="1610"/>
      <c r="J12" s="1610"/>
      <c r="K12" s="1610"/>
      <c r="L12" s="1610"/>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0"/>
      <c r="AI12" s="1610"/>
      <c r="AJ12" s="1610"/>
      <c r="AK12" s="1610"/>
      <c r="AL12" s="1610"/>
      <c r="AM12" s="1610"/>
      <c r="AN12" s="1610"/>
      <c r="AO12" s="1610"/>
    </row>
    <row r="13" spans="1:41" s="2551" customFormat="1" ht="15" thickBot="1">
      <c r="A13" s="2845" t="s">
        <v>1396</v>
      </c>
      <c r="B13" s="2846">
        <f>IF(B12="",B11-(YEAR($B$2)-B27+B24),ROUNDDOWN(MIN((B12-$B$2)/365,B11),2))</f>
        <v>29</v>
      </c>
      <c r="C13" s="2881"/>
      <c r="D13" s="2847" t="s">
        <v>1397</v>
      </c>
      <c r="E13" s="2567">
        <f>ROUND(E12*B5,0)</f>
        <v>52572</v>
      </c>
      <c r="F13" s="1238" t="s">
        <v>1398</v>
      </c>
      <c r="G13" s="1610"/>
      <c r="H13" s="1610"/>
      <c r="I13" s="1610"/>
      <c r="J13" s="1610"/>
      <c r="K13" s="1610"/>
      <c r="L13" s="1610"/>
      <c r="M13" s="1610"/>
      <c r="N13" s="1610"/>
      <c r="O13" s="1610"/>
      <c r="P13" s="1610"/>
      <c r="Q13" s="1610"/>
      <c r="R13" s="1610"/>
      <c r="S13" s="1610"/>
      <c r="T13" s="1610"/>
      <c r="U13" s="1610"/>
      <c r="V13" s="1610"/>
      <c r="W13" s="1610"/>
      <c r="X13" s="1610"/>
      <c r="Y13" s="1610"/>
      <c r="Z13" s="1610"/>
      <c r="AA13" s="1610"/>
      <c r="AB13" s="1610"/>
      <c r="AC13" s="1610"/>
      <c r="AD13" s="1610"/>
      <c r="AE13" s="1610"/>
      <c r="AF13" s="1610"/>
      <c r="AG13" s="1610"/>
      <c r="AH13" s="1610"/>
      <c r="AI13" s="1610"/>
      <c r="AJ13" s="1610"/>
      <c r="AK13" s="1610"/>
      <c r="AL13" s="1610"/>
      <c r="AM13" s="1610"/>
      <c r="AN13" s="1610"/>
      <c r="AO13" s="1610"/>
    </row>
    <row r="14" spans="1:41" s="2551" customFormat="1" ht="14.4">
      <c r="A14" s="2844" t="s">
        <v>1399</v>
      </c>
      <c r="B14" s="2848">
        <f>IF(ISERROR(ROUND(POWER(1+B15,B11-B13)*(POWER(1+B15,B13)-1)/(POWER(1+B15,B11)-1),3)),0,ROUND(POWER(1+B15,B11-B13)*(POWER(1+B15,B13)-1)/(POWER(1+B15,B11)-1),3))</f>
        <v>0.88200000000000001</v>
      </c>
      <c r="C14" s="1610"/>
      <c r="D14" s="2849" t="s">
        <v>1400</v>
      </c>
      <c r="E14" s="2568">
        <v>200</v>
      </c>
      <c r="F14" s="1239"/>
      <c r="G14" s="1610"/>
      <c r="H14" s="1610"/>
      <c r="I14" s="1610"/>
      <c r="J14" s="1610"/>
      <c r="K14" s="1610"/>
      <c r="L14" s="1610"/>
      <c r="M14" s="1610"/>
      <c r="N14" s="1610"/>
      <c r="O14" s="1610"/>
      <c r="P14" s="1610"/>
      <c r="Q14" s="1610"/>
      <c r="R14" s="1610"/>
      <c r="S14" s="1610"/>
      <c r="T14" s="1610"/>
      <c r="U14" s="1610"/>
      <c r="V14" s="1610"/>
      <c r="W14" s="1610"/>
      <c r="X14" s="1610"/>
      <c r="Y14" s="1610"/>
      <c r="Z14" s="1610"/>
      <c r="AA14" s="1610"/>
      <c r="AB14" s="1610"/>
      <c r="AC14" s="1610"/>
      <c r="AD14" s="1610"/>
      <c r="AE14" s="1610"/>
      <c r="AF14" s="1610"/>
      <c r="AG14" s="1610"/>
      <c r="AH14" s="1610"/>
      <c r="AI14" s="1610"/>
      <c r="AJ14" s="1610"/>
      <c r="AK14" s="1610"/>
      <c r="AL14" s="1610"/>
      <c r="AM14" s="1610"/>
      <c r="AN14" s="1610"/>
      <c r="AO14" s="1610"/>
    </row>
    <row r="15" spans="1:41" s="2551" customFormat="1" ht="14.4">
      <c r="A15" s="2844" t="s">
        <v>1401</v>
      </c>
      <c r="B15" s="2569">
        <v>0.05</v>
      </c>
      <c r="C15" s="2478" t="s">
        <v>2593</v>
      </c>
      <c r="D15" s="2844" t="s">
        <v>1402</v>
      </c>
      <c r="E15" s="2850">
        <f>E14-E16</f>
        <v>200</v>
      </c>
      <c r="F15" s="1239"/>
      <c r="G15" s="1610"/>
      <c r="H15" s="1610"/>
      <c r="I15" s="1610"/>
      <c r="J15" s="1610"/>
      <c r="K15" s="1610"/>
      <c r="L15" s="1610"/>
      <c r="M15" s="1610"/>
      <c r="N15" s="1610"/>
      <c r="O15" s="1610"/>
      <c r="P15" s="1610"/>
      <c r="Q15" s="1610"/>
      <c r="R15" s="1610"/>
      <c r="S15" s="1610"/>
      <c r="T15" s="1610"/>
      <c r="U15" s="1610"/>
      <c r="V15" s="1610"/>
      <c r="W15" s="1610"/>
      <c r="X15" s="1610"/>
      <c r="Y15" s="1610"/>
      <c r="Z15" s="1610"/>
      <c r="AA15" s="1610"/>
      <c r="AB15" s="1610"/>
      <c r="AC15" s="1610"/>
      <c r="AD15" s="1610"/>
      <c r="AE15" s="1610"/>
      <c r="AF15" s="1610"/>
      <c r="AG15" s="1610"/>
      <c r="AH15" s="1610"/>
      <c r="AI15" s="1610"/>
      <c r="AJ15" s="1610"/>
      <c r="AK15" s="1610"/>
      <c r="AL15" s="1610"/>
      <c r="AM15" s="1610"/>
      <c r="AN15" s="1610"/>
      <c r="AO15" s="1610"/>
    </row>
    <row r="16" spans="1:41" s="2551" customFormat="1" ht="15" thickBot="1">
      <c r="A16" s="2844" t="s">
        <v>1403</v>
      </c>
      <c r="B16" s="2569">
        <v>0.06</v>
      </c>
      <c r="C16" s="2478" t="s">
        <v>2594</v>
      </c>
      <c r="D16" s="2851" t="s">
        <v>1404</v>
      </c>
      <c r="E16" s="2570"/>
      <c r="F16" s="1238"/>
      <c r="G16" s="1610"/>
      <c r="H16" s="1610"/>
      <c r="I16" s="1610"/>
      <c r="J16" s="1610"/>
      <c r="K16" s="1610"/>
      <c r="L16" s="1610"/>
      <c r="M16" s="1610"/>
      <c r="N16" s="1610"/>
      <c r="O16" s="1610"/>
      <c r="P16" s="1610"/>
      <c r="Q16" s="1610"/>
      <c r="R16" s="1610"/>
      <c r="S16" s="1610"/>
      <c r="T16" s="1610"/>
      <c r="U16" s="1610"/>
      <c r="V16" s="1610"/>
      <c r="W16" s="1610"/>
      <c r="X16" s="1610"/>
      <c r="Y16" s="1610"/>
      <c r="Z16" s="1610"/>
      <c r="AA16" s="1610"/>
      <c r="AB16" s="1610"/>
      <c r="AC16" s="1610"/>
      <c r="AD16" s="1610"/>
      <c r="AE16" s="1610"/>
      <c r="AF16" s="1610"/>
      <c r="AG16" s="1610"/>
      <c r="AH16" s="1610"/>
      <c r="AI16" s="1610"/>
      <c r="AJ16" s="1610"/>
      <c r="AK16" s="1610"/>
      <c r="AL16" s="1610"/>
      <c r="AM16" s="1610"/>
      <c r="AN16" s="1610"/>
      <c r="AO16" s="1610"/>
    </row>
    <row r="17" spans="1:41" s="2551" customFormat="1" ht="15" thickBot="1">
      <c r="A17" s="2851" t="s">
        <v>2591</v>
      </c>
      <c r="B17" s="3003">
        <v>7.4999999999999997E-2</v>
      </c>
      <c r="C17" s="2478" t="s">
        <v>2595</v>
      </c>
      <c r="D17" s="2840" t="s">
        <v>1406</v>
      </c>
      <c r="E17" s="2571">
        <v>4000</v>
      </c>
      <c r="F17" s="905"/>
      <c r="G17" s="1610"/>
      <c r="H17" s="1610"/>
      <c r="I17" s="1610"/>
      <c r="J17" s="1610"/>
      <c r="K17" s="1610"/>
      <c r="L17" s="1610"/>
      <c r="M17" s="1610"/>
      <c r="N17" s="1610"/>
      <c r="O17" s="1610"/>
      <c r="P17" s="1610"/>
      <c r="Q17" s="1610"/>
      <c r="R17" s="1610"/>
      <c r="S17" s="1610"/>
      <c r="T17" s="1610"/>
      <c r="U17" s="1610"/>
      <c r="V17" s="1610"/>
      <c r="W17" s="1610"/>
      <c r="X17" s="1610"/>
      <c r="Y17" s="1610"/>
      <c r="Z17" s="1610"/>
      <c r="AA17" s="1610"/>
      <c r="AB17" s="1610"/>
      <c r="AC17" s="1610"/>
      <c r="AD17" s="1610"/>
      <c r="AE17" s="1610"/>
      <c r="AF17" s="1610"/>
      <c r="AG17" s="1610"/>
      <c r="AH17" s="1610"/>
      <c r="AI17" s="1610"/>
      <c r="AJ17" s="1610"/>
      <c r="AK17" s="1610"/>
      <c r="AL17" s="1610"/>
      <c r="AM17" s="1610"/>
      <c r="AN17" s="1610"/>
      <c r="AO17" s="1610"/>
    </row>
    <row r="18" spans="1:41" s="2551" customFormat="1" ht="15" thickBot="1">
      <c r="A18" s="2852" t="s">
        <v>1405</v>
      </c>
      <c r="B18" s="3011">
        <v>0.08</v>
      </c>
      <c r="C18" s="1610"/>
      <c r="D18" s="2853" t="str">
        <f>IF(B26=0,"建安总额","在建建安")</f>
        <v>建安总额</v>
      </c>
      <c r="E18" s="2854">
        <f>ROUND(B5*E17*IF(B26=0,1,E20),0)</f>
        <v>1051440</v>
      </c>
      <c r="F18" s="2572">
        <f>ROUND(E5*E17*IF(B26=0,1,E20),0)</f>
        <v>0</v>
      </c>
      <c r="G18" s="1610"/>
      <c r="H18" s="1610"/>
      <c r="I18" s="1610"/>
      <c r="J18" s="1610"/>
      <c r="K18" s="1610"/>
      <c r="L18" s="1610"/>
      <c r="M18" s="1610"/>
      <c r="N18" s="1610"/>
      <c r="O18" s="1610"/>
      <c r="P18" s="1610"/>
      <c r="Q18" s="1610"/>
      <c r="R18" s="1610"/>
      <c r="S18" s="1610"/>
      <c r="T18" s="1610"/>
      <c r="U18" s="1610"/>
      <c r="V18" s="1610"/>
      <c r="W18" s="1610"/>
      <c r="X18" s="1610"/>
      <c r="Y18" s="1610"/>
      <c r="Z18" s="1610"/>
      <c r="AA18" s="1610"/>
      <c r="AB18" s="1610"/>
      <c r="AC18" s="1610"/>
      <c r="AD18" s="1610"/>
      <c r="AE18" s="1610"/>
      <c r="AF18" s="1610"/>
      <c r="AG18" s="1610"/>
      <c r="AH18" s="1610"/>
      <c r="AI18" s="1610"/>
      <c r="AJ18" s="1610"/>
      <c r="AK18" s="1610"/>
      <c r="AL18" s="1610"/>
      <c r="AM18" s="1610"/>
      <c r="AN18" s="1610"/>
      <c r="AO18" s="1610"/>
    </row>
    <row r="19" spans="1:41" s="2551" customFormat="1" ht="14.4" thickBot="1">
      <c r="A19" s="1239"/>
      <c r="B19" s="1239"/>
      <c r="C19" s="1610"/>
      <c r="D19" s="2853" t="str">
        <f>IF(B26=0,"——","续建建安")</f>
        <v>——</v>
      </c>
      <c r="E19" s="2854" t="str">
        <f>IF(B26=0,"——",ROUND(B5*E17*(1-E20),0))</f>
        <v>——</v>
      </c>
      <c r="F19" s="2572" t="str">
        <f>IF(B26=0,"——",ROUND(E5*E17*(1-E20),0))</f>
        <v>——</v>
      </c>
      <c r="G19" s="1610"/>
      <c r="H19" s="1610"/>
      <c r="I19" s="1610"/>
      <c r="J19" s="1610"/>
      <c r="K19" s="1610"/>
      <c r="L19" s="1610"/>
      <c r="M19" s="1610"/>
      <c r="N19" s="1610"/>
      <c r="O19" s="1610"/>
      <c r="P19" s="1610"/>
      <c r="Q19" s="1610"/>
      <c r="R19" s="1610"/>
      <c r="S19" s="1610"/>
      <c r="T19" s="1610"/>
      <c r="U19" s="1610"/>
      <c r="V19" s="1610"/>
      <c r="W19" s="1610"/>
      <c r="X19" s="1610"/>
      <c r="Y19" s="1610"/>
      <c r="Z19" s="1610"/>
      <c r="AA19" s="1610"/>
      <c r="AB19" s="1610"/>
      <c r="AC19" s="1610"/>
      <c r="AD19" s="1610"/>
      <c r="AE19" s="1610"/>
      <c r="AF19" s="1610"/>
      <c r="AG19" s="1610"/>
      <c r="AH19" s="1610"/>
      <c r="AI19" s="1610"/>
      <c r="AJ19" s="1610"/>
      <c r="AK19" s="1610"/>
      <c r="AL19" s="1610"/>
      <c r="AM19" s="1610"/>
      <c r="AN19" s="1610"/>
      <c r="AO19" s="1610"/>
    </row>
    <row r="20" spans="1:41" s="2551" customFormat="1" ht="15" thickBot="1">
      <c r="A20" s="2855" t="s">
        <v>1407</v>
      </c>
      <c r="B20" s="1239"/>
      <c r="C20" s="1610"/>
      <c r="D20" s="2857" t="str">
        <f>IF(B26=0,"成新率","工程进度")</f>
        <v>成新率</v>
      </c>
      <c r="E20" s="2574">
        <f>ROUND(1-(2022-B27)/60,2)</f>
        <v>0.85</v>
      </c>
      <c r="F20" s="905"/>
      <c r="G20" s="1610"/>
      <c r="H20" s="1610"/>
      <c r="I20" s="1610"/>
      <c r="J20" s="1610"/>
      <c r="K20" s="1610"/>
      <c r="L20" s="1610"/>
      <c r="M20" s="1610"/>
      <c r="N20" s="1610"/>
      <c r="O20" s="1610"/>
      <c r="P20" s="1610"/>
      <c r="Q20" s="1610"/>
      <c r="R20" s="1610"/>
      <c r="S20" s="1610"/>
      <c r="T20" s="1610"/>
      <c r="U20" s="1610"/>
      <c r="V20" s="1610"/>
      <c r="W20" s="1610"/>
      <c r="X20" s="1610"/>
      <c r="Y20" s="1610"/>
      <c r="Z20" s="1610"/>
      <c r="AA20" s="1610"/>
      <c r="AB20" s="1610"/>
      <c r="AC20" s="1610"/>
      <c r="AD20" s="1610"/>
      <c r="AE20" s="1610"/>
      <c r="AF20" s="1610"/>
      <c r="AG20" s="1610"/>
      <c r="AH20" s="1610"/>
      <c r="AI20" s="1610"/>
      <c r="AJ20" s="1610"/>
      <c r="AK20" s="1610"/>
      <c r="AL20" s="1610"/>
      <c r="AM20" s="1610"/>
      <c r="AN20" s="1610"/>
      <c r="AO20" s="1610"/>
    </row>
    <row r="21" spans="1:41" s="2551" customFormat="1" ht="14.4">
      <c r="A21" s="2856" t="s">
        <v>1408</v>
      </c>
      <c r="B21" s="2573"/>
      <c r="C21" s="1610"/>
      <c r="D21" s="2844" t="s">
        <v>1410</v>
      </c>
      <c r="E21" s="2576">
        <v>0.03</v>
      </c>
      <c r="F21" s="2587" t="s">
        <v>2601</v>
      </c>
      <c r="G21" s="1610"/>
      <c r="H21" s="1610"/>
      <c r="I21" s="1610"/>
      <c r="J21" s="1610"/>
      <c r="K21" s="1610"/>
      <c r="L21" s="1610"/>
      <c r="M21" s="1610"/>
      <c r="N21" s="1610"/>
      <c r="O21" s="1610"/>
      <c r="P21" s="1610"/>
      <c r="Q21" s="1610"/>
      <c r="R21" s="1610"/>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row>
    <row r="22" spans="1:41" s="2551" customFormat="1" ht="14.4">
      <c r="A22" s="2858" t="s">
        <v>1409</v>
      </c>
      <c r="B22" s="2575">
        <v>2</v>
      </c>
      <c r="C22" s="1610"/>
      <c r="D22" s="2844" t="s">
        <v>1412</v>
      </c>
      <c r="E22" s="2579">
        <v>0</v>
      </c>
      <c r="F22" s="2587" t="s">
        <v>2599</v>
      </c>
      <c r="G22" s="1610"/>
      <c r="H22" s="1610"/>
      <c r="I22" s="1610"/>
      <c r="J22" s="1610"/>
      <c r="K22" s="1610"/>
      <c r="L22" s="1610"/>
      <c r="M22" s="1610"/>
      <c r="N22" s="1610"/>
      <c r="O22" s="1610"/>
      <c r="P22" s="1610"/>
      <c r="Q22" s="1610"/>
      <c r="R22" s="1610"/>
      <c r="S22" s="1610"/>
      <c r="T22" s="1610"/>
      <c r="U22" s="1610"/>
      <c r="V22" s="1610"/>
      <c r="W22" s="1610"/>
      <c r="X22" s="1610"/>
      <c r="Y22" s="1610"/>
      <c r="Z22" s="1610"/>
      <c r="AA22" s="1610"/>
      <c r="AB22" s="1610"/>
      <c r="AC22" s="1610"/>
      <c r="AD22" s="1610"/>
      <c r="AE22" s="1610"/>
      <c r="AF22" s="1610"/>
      <c r="AG22" s="1610"/>
      <c r="AH22" s="1610"/>
      <c r="AI22" s="1610"/>
      <c r="AJ22" s="1610"/>
      <c r="AK22" s="1610"/>
      <c r="AL22" s="1610"/>
      <c r="AM22" s="1610"/>
      <c r="AN22" s="1610"/>
      <c r="AO22" s="1610"/>
    </row>
    <row r="23" spans="1:41" s="2551" customFormat="1" ht="14.4">
      <c r="A23" s="2859" t="s">
        <v>1411</v>
      </c>
      <c r="B23" s="2578">
        <v>2</v>
      </c>
      <c r="C23" s="1610"/>
      <c r="D23" s="2844" t="s">
        <v>1414</v>
      </c>
      <c r="E23" s="2566">
        <v>200</v>
      </c>
      <c r="F23" s="2587"/>
      <c r="G23" s="1610"/>
      <c r="H23" s="1610"/>
      <c r="I23" s="1610"/>
      <c r="J23" s="1610"/>
      <c r="K23" s="1610"/>
      <c r="L23" s="1610"/>
      <c r="M23" s="1610"/>
      <c r="N23" s="1610"/>
      <c r="O23" s="1610"/>
      <c r="P23" s="1610"/>
      <c r="Q23" s="1610"/>
      <c r="R23" s="1610"/>
      <c r="S23" s="1610"/>
      <c r="T23" s="1610"/>
      <c r="U23" s="1610"/>
      <c r="V23" s="1610"/>
      <c r="W23" s="1610"/>
      <c r="X23" s="1610"/>
      <c r="Y23" s="1610"/>
      <c r="Z23" s="1610"/>
      <c r="AA23" s="1610"/>
      <c r="AB23" s="1610"/>
      <c r="AC23" s="1610"/>
      <c r="AD23" s="1610"/>
      <c r="AE23" s="1610"/>
      <c r="AF23" s="1610"/>
      <c r="AG23" s="1610"/>
      <c r="AH23" s="1610"/>
      <c r="AI23" s="1610"/>
      <c r="AJ23" s="1610"/>
      <c r="AK23" s="1610"/>
      <c r="AL23" s="1610"/>
      <c r="AM23" s="1610"/>
      <c r="AN23" s="1610"/>
      <c r="AO23" s="1610"/>
    </row>
    <row r="24" spans="1:41" s="2551" customFormat="1" ht="15" thickBot="1">
      <c r="A24" s="2860" t="s">
        <v>1413</v>
      </c>
      <c r="B24" s="2861">
        <f>B21+B22</f>
        <v>2</v>
      </c>
      <c r="C24" s="1610"/>
      <c r="D24" s="2851" t="s">
        <v>1416</v>
      </c>
      <c r="E24" s="2580">
        <v>1.4999999999999999E-2</v>
      </c>
      <c r="F24" s="2587" t="s">
        <v>2602</v>
      </c>
      <c r="G24" s="1610"/>
      <c r="H24" s="1610"/>
      <c r="I24" s="1610"/>
      <c r="J24" s="1610"/>
      <c r="K24" s="1610"/>
      <c r="L24" s="1610"/>
      <c r="M24" s="1610"/>
      <c r="N24" s="1610"/>
      <c r="O24" s="1610"/>
      <c r="P24" s="1610"/>
      <c r="Q24" s="1610"/>
      <c r="R24" s="1610"/>
      <c r="S24" s="1610"/>
      <c r="T24" s="1610"/>
      <c r="U24" s="1610"/>
      <c r="V24" s="1610"/>
      <c r="W24" s="1610"/>
      <c r="X24" s="1610"/>
      <c r="Y24" s="1610"/>
      <c r="Z24" s="1610"/>
      <c r="AA24" s="1610"/>
      <c r="AB24" s="1610"/>
      <c r="AC24" s="1610"/>
      <c r="AD24" s="1610"/>
      <c r="AE24" s="1610"/>
      <c r="AF24" s="1610"/>
      <c r="AG24" s="1610"/>
      <c r="AH24" s="1610"/>
      <c r="AI24" s="1610"/>
      <c r="AJ24" s="1610"/>
      <c r="AK24" s="1610"/>
      <c r="AL24" s="1610"/>
      <c r="AM24" s="1610"/>
      <c r="AN24" s="1610"/>
      <c r="AO24" s="1610"/>
    </row>
    <row r="25" spans="1:41" ht="14.4">
      <c r="A25" s="2862" t="s">
        <v>1415</v>
      </c>
      <c r="B25" s="2863">
        <f>B21+B23</f>
        <v>2</v>
      </c>
      <c r="C25" s="1610"/>
      <c r="D25" s="2843" t="s">
        <v>1418</v>
      </c>
      <c r="E25" s="2576">
        <v>0.02</v>
      </c>
      <c r="F25" s="2587" t="s">
        <v>2600</v>
      </c>
      <c r="I25" s="2882"/>
    </row>
    <row r="26" spans="1:41" ht="15" thickBot="1">
      <c r="A26" s="2860" t="s">
        <v>1417</v>
      </c>
      <c r="B26" s="2864">
        <f>B22-B23</f>
        <v>0</v>
      </c>
      <c r="D26" s="2844" t="s">
        <v>1420</v>
      </c>
      <c r="E26" s="2579">
        <v>0.02</v>
      </c>
      <c r="F26" s="2587" t="s">
        <v>2600</v>
      </c>
      <c r="G26" s="2883"/>
      <c r="H26" s="2883"/>
      <c r="I26" s="1610"/>
      <c r="J26" s="1610"/>
      <c r="K26" s="1610"/>
      <c r="L26" s="1610"/>
      <c r="M26" s="1610"/>
      <c r="N26" s="1610"/>
    </row>
    <row r="27" spans="1:41" ht="15" thickBot="1">
      <c r="A27" s="2865" t="s">
        <v>1419</v>
      </c>
      <c r="B27" s="2581">
        <v>2013</v>
      </c>
      <c r="C27" s="1610"/>
      <c r="D27" s="3070" t="s">
        <v>3038</v>
      </c>
      <c r="E27" s="2866">
        <f ca="1">IF(D27="利息：取LPR",存贷款利率!G1,存贷款利率!G1+F27)</f>
        <v>4.2000000000000003E-2</v>
      </c>
      <c r="F27" s="3071">
        <v>5.0000000000000001E-3</v>
      </c>
      <c r="G27" s="2883"/>
      <c r="H27" s="2883"/>
      <c r="K27" s="1610"/>
      <c r="N27" s="1610"/>
    </row>
    <row r="28" spans="1:41" ht="15" thickBot="1">
      <c r="A28" s="905"/>
      <c r="B28" s="905"/>
      <c r="D28" s="2847" t="s">
        <v>1422</v>
      </c>
      <c r="E28" s="2583">
        <v>0.2</v>
      </c>
      <c r="G28" s="2883"/>
      <c r="H28" s="2883"/>
      <c r="K28" s="1610"/>
      <c r="N28" s="1610"/>
    </row>
    <row r="29" spans="1:41" ht="14.4">
      <c r="A29" s="2867" t="s">
        <v>1421</v>
      </c>
      <c r="B29" s="2582" t="s">
        <v>3077</v>
      </c>
      <c r="D29" s="2849" t="s">
        <v>1423</v>
      </c>
      <c r="E29" s="2868">
        <f>E30+E31</f>
        <v>5.5000000000000007E-2</v>
      </c>
      <c r="F29" s="1238"/>
      <c r="G29" s="2883"/>
      <c r="H29" s="2883"/>
      <c r="K29" s="1610"/>
      <c r="N29" s="1610"/>
    </row>
    <row r="30" spans="1:41" ht="14.4">
      <c r="A30" s="2844" t="str">
        <f>IF(B29="租赁期内按合同租金","合同租金","市场租金")</f>
        <v>市场租金</v>
      </c>
      <c r="B30" s="3325">
        <v>8</v>
      </c>
      <c r="C30" s="2589">
        <f>ROUND(863495/365/B5,2)</f>
        <v>9</v>
      </c>
      <c r="D30" s="2851" t="s">
        <v>1425</v>
      </c>
      <c r="E30" s="2585">
        <v>0.05</v>
      </c>
      <c r="F30" s="2870">
        <f>IF(B2&lt;DATE(2016,5,1),0,E30)</f>
        <v>0.05</v>
      </c>
      <c r="G30" s="2883"/>
      <c r="H30" s="2883"/>
      <c r="K30" s="1610"/>
      <c r="N30" s="1610"/>
    </row>
    <row r="31" spans="1:41" ht="14.4">
      <c r="A31" s="2844" t="s">
        <v>1424</v>
      </c>
      <c r="B31" s="2869">
        <f ca="1">存贷款利率!I1</f>
        <v>1.4999999999999999E-2</v>
      </c>
      <c r="D31" s="2851" t="s">
        <v>1427</v>
      </c>
      <c r="E31" s="2871">
        <f>E30*(E32+E33+E34)+E35</f>
        <v>5.000000000000001E-3</v>
      </c>
      <c r="F31" s="1238"/>
      <c r="G31" s="2883"/>
      <c r="H31" s="2883"/>
      <c r="K31" s="1610"/>
      <c r="N31" s="1610"/>
    </row>
    <row r="32" spans="1:41" ht="14.4">
      <c r="A32" s="2844" t="s">
        <v>1426</v>
      </c>
      <c r="B32" s="2569">
        <v>0.03</v>
      </c>
      <c r="D32" s="2851" t="s">
        <v>1429</v>
      </c>
      <c r="E32" s="2586">
        <v>0.05</v>
      </c>
      <c r="F32" s="2587" t="s">
        <v>2487</v>
      </c>
      <c r="G32" s="2883"/>
      <c r="H32" s="2883"/>
      <c r="K32" s="1610"/>
      <c r="L32" s="1610"/>
      <c r="M32" s="1610"/>
      <c r="N32" s="1610"/>
    </row>
    <row r="33" spans="1:14" ht="14.4">
      <c r="A33" s="2844" t="s">
        <v>1428</v>
      </c>
      <c r="B33" s="2569">
        <v>0.1</v>
      </c>
      <c r="D33" s="2851" t="s">
        <v>1431</v>
      </c>
      <c r="E33" s="2585">
        <v>0.03</v>
      </c>
      <c r="F33" s="1237" t="s">
        <v>1432</v>
      </c>
      <c r="G33" s="2883"/>
      <c r="H33" s="2883"/>
      <c r="K33" s="1610"/>
      <c r="L33" s="1610"/>
      <c r="M33" s="1610"/>
      <c r="N33" s="1610"/>
    </row>
    <row r="34" spans="1:14" s="2589" customFormat="1" ht="14.4">
      <c r="A34" s="2844" t="s">
        <v>1430</v>
      </c>
      <c r="B34" s="2872">
        <f>收益法!J54</f>
        <v>29</v>
      </c>
      <c r="D34" s="2851" t="s">
        <v>1433</v>
      </c>
      <c r="E34" s="2585">
        <v>0.02</v>
      </c>
      <c r="F34" s="1237" t="s">
        <v>1434</v>
      </c>
      <c r="G34" s="2883"/>
      <c r="H34" s="2883"/>
      <c r="I34" s="1610"/>
      <c r="J34" s="1610"/>
      <c r="K34" s="1610"/>
      <c r="L34" s="1610"/>
      <c r="M34" s="1610"/>
      <c r="N34" s="1610"/>
    </row>
    <row r="35" spans="1:14" s="2589" customFormat="1" ht="15" thickBot="1">
      <c r="A35" s="2851" t="str">
        <f>IF(B29="租赁期内按合同租金","剩余租赁期","——")</f>
        <v>——</v>
      </c>
      <c r="B35" s="2588">
        <v>2.58</v>
      </c>
      <c r="D35" s="2847" t="s">
        <v>1436</v>
      </c>
      <c r="E35" s="2591"/>
      <c r="F35" s="1240" t="s">
        <v>1437</v>
      </c>
      <c r="G35" s="2883"/>
      <c r="H35" s="2883"/>
      <c r="I35" s="1610"/>
      <c r="J35" s="1610"/>
      <c r="K35" s="1610"/>
      <c r="L35" s="1610"/>
      <c r="M35" s="1610"/>
      <c r="N35" s="1610"/>
    </row>
    <row r="36" spans="1:14" s="2589" customFormat="1" ht="14.4">
      <c r="A36" s="2873" t="s">
        <v>1435</v>
      </c>
      <c r="B36" s="2874"/>
      <c r="D36" s="2875" t="s">
        <v>1438</v>
      </c>
      <c r="E36" s="2593">
        <v>0.03</v>
      </c>
      <c r="F36" s="1239" t="s">
        <v>1439</v>
      </c>
      <c r="G36" s="2883"/>
      <c r="H36" s="2883"/>
      <c r="I36" s="1610"/>
      <c r="J36" s="1610"/>
      <c r="K36" s="1610"/>
      <c r="L36" s="1610"/>
      <c r="M36" s="1610"/>
      <c r="N36" s="1610"/>
    </row>
    <row r="37" spans="1:14" s="2589" customFormat="1" ht="15" thickBot="1">
      <c r="A37" s="2849" t="str">
        <f>IF(B29="租赁期内按合同租金","租金","——")</f>
        <v>——</v>
      </c>
      <c r="B37" s="2592">
        <v>10</v>
      </c>
      <c r="C37" s="2589">
        <f>932574/365/B5</f>
        <v>9.7199926206877141</v>
      </c>
      <c r="D37" s="2851" t="s">
        <v>1440</v>
      </c>
      <c r="E37" s="2585">
        <v>5.0000000000000001E-4</v>
      </c>
      <c r="F37" s="1239" t="s">
        <v>1441</v>
      </c>
      <c r="G37" s="2883"/>
      <c r="H37" s="2883"/>
      <c r="I37" s="1610"/>
      <c r="J37" s="1610"/>
      <c r="K37" s="1610"/>
      <c r="L37" s="1610"/>
      <c r="M37" s="1610"/>
      <c r="N37" s="1610"/>
    </row>
    <row r="38" spans="1:14" s="2589" customFormat="1" ht="14.4">
      <c r="A38" s="2844" t="str">
        <f>IF(B29="租赁期内按合同租金","年租金增长率","——")</f>
        <v>——</v>
      </c>
      <c r="B38" s="2569">
        <v>0.03</v>
      </c>
      <c r="C38" s="3327">
        <f>8/5</f>
        <v>1.6</v>
      </c>
      <c r="D38" s="2876" t="s">
        <v>1442</v>
      </c>
      <c r="E38" s="2877">
        <v>1.2E-2</v>
      </c>
      <c r="F38" s="1239"/>
      <c r="G38" s="2882"/>
      <c r="H38" s="2882"/>
      <c r="I38" s="2883"/>
      <c r="J38" s="1610"/>
      <c r="K38" s="1610"/>
      <c r="L38" s="1610"/>
      <c r="M38" s="1610"/>
      <c r="N38" s="1610"/>
    </row>
    <row r="39" spans="1:14" s="2589" customFormat="1" ht="15" thickBot="1">
      <c r="A39" s="2844" t="str">
        <f>IF(B29="租赁期内按合同租金","空置率","——")</f>
        <v>——</v>
      </c>
      <c r="B39" s="2569">
        <v>0.1</v>
      </c>
      <c r="D39" s="2847" t="s">
        <v>1443</v>
      </c>
      <c r="E39" s="2878">
        <v>0.12</v>
      </c>
      <c r="F39" s="1239"/>
      <c r="G39" s="2883"/>
      <c r="H39" s="2883"/>
      <c r="I39" s="1610"/>
      <c r="J39" s="1610"/>
      <c r="K39" s="1610"/>
      <c r="L39" s="1610"/>
      <c r="M39" s="1610"/>
      <c r="N39" s="1610"/>
    </row>
    <row r="40" spans="1:14" ht="14.4">
      <c r="A40" s="2844" t="str">
        <f>IF(B29="租赁期内按合同租金","成新率","——")</f>
        <v>——</v>
      </c>
      <c r="B40" s="2569">
        <f>ROUND(1-(2024-B27)/60,2)</f>
        <v>0.82</v>
      </c>
      <c r="D40" s="2876" t="s">
        <v>1444</v>
      </c>
      <c r="E40" s="2880">
        <f>SUMIF(D42:D51,E41,E42:E51)</f>
        <v>0</v>
      </c>
      <c r="F40" s="1239"/>
      <c r="G40" s="2883"/>
      <c r="H40" s="2883"/>
      <c r="I40" s="1610"/>
      <c r="J40" s="1610"/>
      <c r="K40" s="1610"/>
      <c r="L40" s="1610"/>
      <c r="M40" s="1610"/>
      <c r="N40" s="1610"/>
    </row>
    <row r="41" spans="1:14" ht="15" thickBot="1">
      <c r="A41" s="2851" t="str">
        <f>IF(B29="租赁期内按合同租金","租赁期外收益期","——")</f>
        <v>——</v>
      </c>
      <c r="B41" s="2879" t="str">
        <f>IF(B29="租赁期内按合同租金",B34-B35,"——")</f>
        <v>——</v>
      </c>
      <c r="D41" s="2844" t="s">
        <v>1446</v>
      </c>
      <c r="E41" s="2595"/>
      <c r="F41" s="1239" t="s">
        <v>1447</v>
      </c>
      <c r="G41" s="1697" t="s">
        <v>1448</v>
      </c>
      <c r="H41" s="2883"/>
      <c r="I41" s="1610"/>
      <c r="J41" s="1610"/>
      <c r="K41" s="1610"/>
      <c r="L41" s="1610"/>
      <c r="M41" s="1610"/>
      <c r="N41" s="1610"/>
    </row>
    <row r="42" spans="1:14" ht="14.4">
      <c r="A42" s="2843" t="s">
        <v>1445</v>
      </c>
      <c r="B42" s="2594"/>
      <c r="D42" s="2597" t="s">
        <v>1450</v>
      </c>
      <c r="E42" s="2584"/>
      <c r="F42" s="1239">
        <v>30</v>
      </c>
      <c r="G42" s="2883"/>
      <c r="H42" s="2883"/>
      <c r="I42" s="1610"/>
      <c r="J42" s="1610"/>
      <c r="K42" s="1610"/>
      <c r="L42" s="1610"/>
      <c r="M42" s="1610"/>
      <c r="N42" s="1610"/>
    </row>
    <row r="43" spans="1:14" ht="14.4">
      <c r="A43" s="2844" t="s">
        <v>1449</v>
      </c>
      <c r="B43" s="2596">
        <v>365</v>
      </c>
      <c r="D43" s="2597" t="s">
        <v>1452</v>
      </c>
      <c r="E43" s="2584"/>
      <c r="F43" s="1239">
        <v>24</v>
      </c>
      <c r="G43" s="2883"/>
      <c r="H43" s="2883"/>
      <c r="I43" s="1610"/>
      <c r="J43" s="1610"/>
      <c r="K43" s="1610"/>
      <c r="L43" s="1610"/>
      <c r="M43" s="1610"/>
      <c r="N43" s="1610"/>
    </row>
    <row r="44" spans="1:14" ht="14.4">
      <c r="A44" s="2844" t="s">
        <v>1451</v>
      </c>
      <c r="B44" s="2584"/>
      <c r="D44" s="2597" t="s">
        <v>1454</v>
      </c>
      <c r="E44" s="2584"/>
      <c r="F44" s="1239">
        <v>18</v>
      </c>
      <c r="G44" s="2589"/>
      <c r="H44" s="2589"/>
      <c r="I44" s="2883"/>
      <c r="J44" s="1610"/>
      <c r="K44" s="1610"/>
      <c r="L44" s="1610"/>
      <c r="M44" s="1610"/>
      <c r="N44" s="1610"/>
    </row>
    <row r="45" spans="1:14" ht="14.4">
      <c r="A45" s="2844" t="s">
        <v>1453</v>
      </c>
      <c r="B45" s="2598">
        <v>1.4999999999999999E-2</v>
      </c>
      <c r="C45" s="2478" t="s">
        <v>2598</v>
      </c>
      <c r="D45" s="2597" t="s">
        <v>1456</v>
      </c>
      <c r="E45" s="2584"/>
      <c r="F45" s="1239">
        <v>12</v>
      </c>
      <c r="G45" s="2589"/>
      <c r="H45" s="2589"/>
      <c r="M45" s="1610"/>
      <c r="N45" s="1610"/>
    </row>
    <row r="46" spans="1:14" ht="14.4">
      <c r="A46" s="2844" t="s">
        <v>1455</v>
      </c>
      <c r="B46" s="2599">
        <v>1.5E-3</v>
      </c>
      <c r="C46" s="2478" t="s">
        <v>2596</v>
      </c>
      <c r="D46" s="2597" t="s">
        <v>1218</v>
      </c>
      <c r="E46" s="2584"/>
      <c r="F46" s="1239">
        <v>3</v>
      </c>
      <c r="G46" s="2589"/>
      <c r="H46" s="2589"/>
      <c r="M46" s="1610"/>
      <c r="N46" s="1610"/>
    </row>
    <row r="47" spans="1:14" ht="15" thickBot="1">
      <c r="A47" s="2847" t="s">
        <v>1457</v>
      </c>
      <c r="B47" s="2600">
        <v>0.01</v>
      </c>
      <c r="C47" s="2478" t="s">
        <v>2597</v>
      </c>
      <c r="D47" s="2597" t="s">
        <v>1458</v>
      </c>
      <c r="E47" s="2584"/>
      <c r="F47" s="1239">
        <v>1.5</v>
      </c>
      <c r="G47" s="2589"/>
      <c r="H47" s="2589"/>
      <c r="M47" s="1610"/>
      <c r="N47" s="1610"/>
    </row>
    <row r="48" spans="1:14" ht="14.4">
      <c r="A48" s="2589"/>
      <c r="B48" s="2589"/>
      <c r="D48" s="2597" t="s">
        <v>1459</v>
      </c>
      <c r="E48" s="2584"/>
      <c r="F48" s="1239"/>
      <c r="G48" s="2589"/>
      <c r="H48" s="2589"/>
      <c r="M48" s="1610"/>
      <c r="N48" s="1610"/>
    </row>
    <row r="49" spans="1:41" ht="14.4">
      <c r="A49" s="2589"/>
      <c r="B49" s="2589"/>
      <c r="D49" s="2597" t="s">
        <v>1460</v>
      </c>
      <c r="E49" s="2584"/>
      <c r="F49" s="1239"/>
      <c r="G49" s="2589"/>
      <c r="H49" s="2589"/>
      <c r="M49" s="1610"/>
      <c r="N49" s="1610"/>
    </row>
    <row r="50" spans="1:41" ht="14.4">
      <c r="A50" s="2589"/>
      <c r="B50" s="2589"/>
      <c r="D50" s="2597" t="s">
        <v>1461</v>
      </c>
      <c r="E50" s="2584"/>
      <c r="F50" s="1239"/>
      <c r="G50" s="2589"/>
      <c r="H50" s="2589"/>
      <c r="M50" s="1610"/>
      <c r="N50" s="1610"/>
    </row>
    <row r="51" spans="1:41" s="905" customFormat="1" ht="15" thickBot="1">
      <c r="A51" s="2589"/>
      <c r="B51" s="2589"/>
      <c r="C51" s="2589"/>
      <c r="D51" s="2601" t="s">
        <v>1462</v>
      </c>
      <c r="E51" s="2602"/>
      <c r="F51" s="1239"/>
      <c r="G51" s="2589"/>
      <c r="H51" s="2589"/>
      <c r="I51" s="2589"/>
      <c r="J51" s="2589"/>
      <c r="K51" s="2589"/>
      <c r="L51" s="2589"/>
      <c r="M51" s="1610"/>
      <c r="N51" s="1610"/>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3.8">
      <c r="D52" s="2883"/>
      <c r="E52" s="2883"/>
      <c r="F52" s="2883"/>
      <c r="G52" s="2883"/>
      <c r="H52" s="2883"/>
      <c r="I52" s="1610"/>
      <c r="J52" s="1610"/>
      <c r="K52" s="1610"/>
      <c r="L52" s="1610"/>
      <c r="M52" s="1610"/>
      <c r="N52" s="1610"/>
    </row>
    <row r="53" spans="1:41" s="2589" customFormat="1" ht="13.8">
      <c r="D53" s="2883"/>
      <c r="E53" s="2883"/>
      <c r="F53" s="2883"/>
      <c r="G53" s="2883"/>
      <c r="H53" s="2883"/>
      <c r="I53" s="1610"/>
      <c r="J53" s="1610"/>
      <c r="K53" s="1610"/>
      <c r="L53" s="1610"/>
      <c r="M53" s="1610"/>
      <c r="N53" s="1610"/>
    </row>
    <row r="54" spans="1:41" s="2589" customFormat="1" ht="13.8">
      <c r="D54" s="2883"/>
      <c r="E54" s="2883"/>
      <c r="F54" s="2883"/>
      <c r="G54" s="2883"/>
      <c r="H54" s="2883"/>
      <c r="I54" s="1610"/>
      <c r="J54" s="1610"/>
      <c r="K54" s="1610"/>
      <c r="L54" s="1610"/>
      <c r="M54" s="1610"/>
      <c r="N54" s="1610"/>
    </row>
    <row r="55" spans="1:41" s="2589" customFormat="1" ht="13.8">
      <c r="D55" s="2883"/>
      <c r="E55" s="2883"/>
      <c r="F55" s="2883"/>
      <c r="G55" s="2883"/>
      <c r="H55" s="2883"/>
      <c r="I55" s="1610"/>
      <c r="J55" s="1610"/>
      <c r="K55" s="1610"/>
      <c r="L55" s="1610"/>
      <c r="M55" s="1610"/>
      <c r="N55" s="1610"/>
    </row>
    <row r="56" spans="1:41" s="2589" customFormat="1" ht="13.8">
      <c r="D56" s="2883"/>
      <c r="E56" s="2883"/>
      <c r="F56" s="2883"/>
      <c r="G56" s="2883"/>
      <c r="H56" s="2883"/>
      <c r="I56" s="1610"/>
      <c r="J56" s="1610"/>
      <c r="K56" s="1610"/>
      <c r="L56" s="1610"/>
      <c r="M56" s="1610"/>
      <c r="N56" s="1610"/>
    </row>
    <row r="57" spans="1:41" s="2589" customFormat="1" ht="13.8">
      <c r="D57" s="2883"/>
      <c r="E57" s="2883"/>
      <c r="F57" s="2883"/>
      <c r="G57" s="2883"/>
      <c r="H57" s="2883"/>
      <c r="I57" s="1610"/>
      <c r="J57" s="1610"/>
      <c r="K57" s="1610"/>
      <c r="L57" s="1610"/>
      <c r="M57" s="1610"/>
      <c r="N57" s="1610"/>
    </row>
    <row r="58" spans="1:41" s="2589" customFormat="1" ht="13.8">
      <c r="D58" s="2883"/>
      <c r="E58" s="2883"/>
      <c r="F58" s="2883"/>
      <c r="G58" s="2883"/>
      <c r="H58" s="2883"/>
      <c r="I58" s="1610"/>
      <c r="J58" s="1610"/>
      <c r="K58" s="1610"/>
      <c r="L58" s="1610"/>
      <c r="M58" s="1610"/>
      <c r="N58" s="1610"/>
    </row>
    <row r="59" spans="1:41" s="2589" customFormat="1" ht="13.8">
      <c r="D59" s="2883"/>
      <c r="E59" s="2883"/>
      <c r="F59" s="2883"/>
      <c r="G59" s="2883"/>
      <c r="H59" s="2883"/>
      <c r="I59" s="1610"/>
      <c r="J59" s="1610"/>
      <c r="K59" s="1610"/>
      <c r="L59" s="1610"/>
      <c r="M59" s="2884"/>
      <c r="N59" s="1610"/>
    </row>
    <row r="60" spans="1:41" s="2589" customFormat="1" ht="13.8">
      <c r="D60" s="2883"/>
      <c r="E60" s="2883"/>
      <c r="F60" s="2883"/>
      <c r="G60" s="2883"/>
      <c r="H60" s="2883"/>
      <c r="I60" s="1610"/>
      <c r="J60" s="1610"/>
      <c r="K60" s="1610"/>
      <c r="L60" s="1610"/>
      <c r="M60" s="1610"/>
      <c r="N60" s="1610"/>
    </row>
    <row r="61" spans="1:41" s="2589" customFormat="1" ht="13.8">
      <c r="D61" s="2883"/>
      <c r="E61" s="2883"/>
      <c r="F61" s="2883"/>
      <c r="G61" s="2883"/>
      <c r="H61" s="2883"/>
      <c r="I61" s="1610"/>
      <c r="J61" s="1610"/>
      <c r="K61" s="1610"/>
      <c r="L61" s="1610"/>
      <c r="M61" s="1610"/>
      <c r="N61" s="1610"/>
    </row>
    <row r="62" spans="1:41" s="2589" customFormat="1" ht="13.8">
      <c r="D62" s="2883"/>
      <c r="E62" s="2883"/>
      <c r="F62" s="2883"/>
      <c r="G62" s="2883"/>
      <c r="H62" s="2883"/>
      <c r="I62" s="1610"/>
      <c r="J62" s="1610"/>
      <c r="K62" s="1610"/>
      <c r="L62" s="1610"/>
      <c r="M62" s="1610"/>
      <c r="N62" s="1610"/>
    </row>
    <row r="63" spans="1:41" s="2589" customFormat="1" ht="13.8">
      <c r="D63" s="2883"/>
      <c r="E63" s="2883"/>
      <c r="F63" s="2883"/>
      <c r="G63" s="2883"/>
      <c r="H63" s="2883"/>
      <c r="I63" s="1610"/>
      <c r="J63" s="1610"/>
      <c r="K63" s="1610"/>
      <c r="L63" s="1610"/>
      <c r="M63" s="1610"/>
      <c r="N63" s="1610"/>
    </row>
    <row r="64" spans="1:41" s="2589" customFormat="1" ht="13.8">
      <c r="D64" s="2883"/>
      <c r="E64" s="2883"/>
      <c r="F64" s="2883"/>
      <c r="G64" s="2883"/>
      <c r="H64" s="2883"/>
      <c r="I64" s="1610"/>
      <c r="J64" s="1610"/>
      <c r="K64" s="1610"/>
      <c r="L64" s="1610"/>
      <c r="M64" s="1610"/>
      <c r="N64" s="1610"/>
    </row>
    <row r="65" spans="1:14" s="2589" customFormat="1" ht="13.8">
      <c r="D65" s="2883"/>
      <c r="E65" s="2883"/>
      <c r="F65" s="2883"/>
      <c r="G65" s="2883"/>
      <c r="H65" s="2883"/>
      <c r="I65" s="1610"/>
      <c r="J65" s="1610"/>
      <c r="K65" s="1610"/>
      <c r="L65" s="1610"/>
      <c r="M65" s="1610"/>
      <c r="N65" s="1610"/>
    </row>
    <row r="66" spans="1:14" s="2589" customFormat="1" ht="13.8">
      <c r="D66" s="2883"/>
      <c r="E66" s="2883"/>
      <c r="F66" s="2883"/>
      <c r="G66" s="2883"/>
      <c r="H66" s="2883"/>
      <c r="I66" s="1610"/>
      <c r="J66" s="1610"/>
      <c r="K66" s="1610"/>
      <c r="L66" s="1610"/>
      <c r="M66" s="1610"/>
      <c r="N66" s="1610"/>
    </row>
    <row r="67" spans="1:14" s="2589" customFormat="1" ht="13.8">
      <c r="A67" s="2887"/>
      <c r="D67" s="2883"/>
      <c r="E67" s="2883"/>
      <c r="F67" s="2883"/>
      <c r="G67" s="2883"/>
      <c r="H67" s="2883"/>
      <c r="I67" s="1610"/>
      <c r="J67" s="1610"/>
      <c r="K67" s="1610"/>
      <c r="L67" s="1610"/>
      <c r="M67" s="1610"/>
      <c r="N67" s="1610"/>
    </row>
    <row r="68" spans="1:14" s="2589" customFormat="1" ht="13.8">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1" customWidth="1"/>
    <col min="2" max="2" width="24.44140625" style="2564" customWidth="1"/>
    <col min="3" max="3" width="28.33203125" style="2625" customWidth="1"/>
    <col min="4" max="4" width="2.6640625" style="2625" customWidth="1"/>
    <col min="5" max="5" width="5.88671875" style="2625" customWidth="1"/>
    <col min="6" max="6" width="27" style="2564" customWidth="1"/>
    <col min="7" max="7" width="32.33203125" style="2626" customWidth="1"/>
    <col min="8" max="8" width="11.88671875" style="2622" customWidth="1"/>
    <col min="9" max="9" width="16.77734375" style="2623" customWidth="1"/>
    <col min="10" max="10" width="2.6640625" style="2622" customWidth="1"/>
    <col min="11" max="11" width="11.88671875" style="2622" customWidth="1"/>
    <col min="12" max="12" width="16.77734375" style="2623" customWidth="1"/>
    <col min="13" max="13" width="2.6640625" style="2622" customWidth="1"/>
    <col min="14" max="14" width="11.88671875" style="2622" customWidth="1"/>
    <col min="15" max="15" width="16.77734375" style="2623" customWidth="1"/>
    <col min="16" max="16" width="2.6640625" style="2622" customWidth="1"/>
    <col min="17" max="17" width="11.88671875" style="2622" customWidth="1"/>
    <col min="18" max="18" width="16.77734375" style="2624" customWidth="1"/>
    <col min="19" max="29" width="9" style="2612"/>
    <col min="30" max="16384" width="9" style="2551"/>
  </cols>
  <sheetData>
    <row r="1" spans="1:29" s="2610" customFormat="1" ht="18" thickBot="1">
      <c r="A1" s="3423" t="s">
        <v>1463</v>
      </c>
      <c r="B1" s="3424"/>
      <c r="C1" s="3424"/>
      <c r="D1" s="3424"/>
      <c r="E1" s="3424"/>
      <c r="F1" s="3424"/>
      <c r="G1" s="3424"/>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thickBot="1">
      <c r="A2" s="3012"/>
      <c r="B2" s="3013"/>
      <c r="C2" s="3014" t="s">
        <v>2603</v>
      </c>
      <c r="D2" s="3015"/>
      <c r="E2" s="3012"/>
      <c r="F2" s="3016"/>
      <c r="G2" s="3014" t="s">
        <v>2604</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48">
      <c r="A3" s="3018" t="s">
        <v>2605</v>
      </c>
      <c r="B3" s="3019" t="s">
        <v>2606</v>
      </c>
      <c r="C3" s="3020" t="s">
        <v>2607</v>
      </c>
      <c r="D3" s="3021"/>
      <c r="E3" s="3022" t="s">
        <v>2605</v>
      </c>
      <c r="F3" s="3023" t="s">
        <v>2608</v>
      </c>
      <c r="G3" s="3024" t="s">
        <v>2609</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37.200000000000003">
      <c r="A4" s="3022"/>
      <c r="B4" s="3006" t="s">
        <v>2610</v>
      </c>
      <c r="C4" s="3025" t="s">
        <v>2611</v>
      </c>
      <c r="D4" s="3021"/>
      <c r="E4" s="3026"/>
      <c r="F4" s="3008" t="s">
        <v>2612</v>
      </c>
      <c r="G4" s="3027" t="s">
        <v>2613</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37.200000000000003">
      <c r="A5" s="3022"/>
      <c r="B5" s="3006" t="s">
        <v>2614</v>
      </c>
      <c r="C5" s="3025" t="s">
        <v>2615</v>
      </c>
      <c r="D5" s="3021"/>
      <c r="E5" s="3026"/>
      <c r="F5" s="3006" t="s">
        <v>2616</v>
      </c>
      <c r="G5" s="3027" t="s">
        <v>2617</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2618</v>
      </c>
      <c r="C6" s="3027" t="s">
        <v>2613</v>
      </c>
      <c r="D6" s="3021"/>
      <c r="E6" s="3026"/>
      <c r="F6" s="3006" t="s">
        <v>2619</v>
      </c>
      <c r="G6" s="3027" t="s">
        <v>2620</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6" thickBot="1">
      <c r="A7" s="3022"/>
      <c r="B7" s="3006" t="s">
        <v>2616</v>
      </c>
      <c r="C7" s="3027" t="s">
        <v>2617</v>
      </c>
      <c r="D7" s="2896"/>
      <c r="E7" s="3028"/>
      <c r="F7" s="3029" t="s">
        <v>2621</v>
      </c>
      <c r="G7" s="3030" t="s">
        <v>2622</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3.2">
      <c r="A8" s="3022"/>
      <c r="B8" s="3006" t="s">
        <v>2619</v>
      </c>
      <c r="C8" s="3027" t="s">
        <v>2620</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2623</v>
      </c>
      <c r="C9" s="3025" t="s">
        <v>2624</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thickBot="1">
      <c r="A10" s="3031"/>
      <c r="B10" s="3010" t="s">
        <v>2625</v>
      </c>
      <c r="C10" s="3032"/>
      <c r="D10" s="3021"/>
      <c r="E10" s="3021"/>
      <c r="F10" s="2891"/>
      <c r="G10" s="2891"/>
      <c r="H10" s="1423"/>
      <c r="I10" s="3033"/>
      <c r="J10" s="3034"/>
      <c r="K10" s="1423"/>
      <c r="L10" s="3033"/>
      <c r="M10" s="3034"/>
      <c r="N10" s="1423"/>
      <c r="O10" s="3033"/>
      <c r="P10" s="3034"/>
      <c r="Q10" s="1423"/>
      <c r="R10" s="3033"/>
      <c r="S10" s="3017"/>
      <c r="T10" s="3017"/>
      <c r="U10" s="3017"/>
      <c r="V10" s="3017"/>
      <c r="W10" s="3017"/>
      <c r="X10" s="3017"/>
      <c r="Y10" s="3017"/>
      <c r="Z10" s="3017"/>
      <c r="AA10" s="3017"/>
      <c r="AB10" s="3017"/>
      <c r="AC10" s="3017"/>
    </row>
    <row r="11" spans="1:29" s="2589" customFormat="1" ht="13.2">
      <c r="A11" s="3035"/>
      <c r="B11" s="2896"/>
      <c r="C11" s="3021"/>
      <c r="D11" s="3021"/>
      <c r="E11" s="3021"/>
      <c r="F11" s="2896"/>
      <c r="G11" s="3036"/>
      <c r="H11" s="1423"/>
      <c r="I11" s="3033"/>
      <c r="J11" s="3034"/>
      <c r="K11" s="1423"/>
      <c r="L11" s="3033"/>
      <c r="M11" s="3034"/>
      <c r="N11" s="1423"/>
      <c r="O11" s="3033"/>
      <c r="P11" s="3034"/>
      <c r="Q11" s="1423"/>
      <c r="R11" s="3033"/>
      <c r="S11" s="3017"/>
      <c r="T11" s="3017"/>
      <c r="U11" s="3017"/>
      <c r="V11" s="3017"/>
      <c r="W11" s="3017"/>
      <c r="X11" s="3017"/>
      <c r="Y11" s="3017"/>
      <c r="Z11" s="3017"/>
      <c r="AA11" s="3017"/>
      <c r="AB11" s="3017"/>
      <c r="AC11" s="3017"/>
    </row>
    <row r="12" spans="1:29" s="2610" customFormat="1" ht="17.399999999999999">
      <c r="A12" s="2559"/>
      <c r="B12" s="2614"/>
      <c r="C12" s="2613"/>
      <c r="D12" s="2615"/>
      <c r="E12" s="2613"/>
      <c r="F12" s="2614"/>
      <c r="G12" s="1768"/>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8" thickBot="1">
      <c r="A13" s="2621" t="s">
        <v>1469</v>
      </c>
      <c r="B13" s="2615"/>
      <c r="C13" s="2615"/>
      <c r="D13" s="2611"/>
      <c r="E13" s="2615"/>
      <c r="F13" s="2615"/>
      <c r="G13" s="2615"/>
    </row>
    <row r="14" spans="1:29" s="2548" customFormat="1" thickBot="1">
      <c r="A14" s="3037"/>
      <c r="B14" s="3037"/>
      <c r="C14" s="3038" t="s">
        <v>2626</v>
      </c>
      <c r="D14" s="3021"/>
      <c r="E14" s="3039"/>
      <c r="F14" s="3039"/>
      <c r="G14" s="3014" t="s">
        <v>2627</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52.8">
      <c r="A15" s="3043" t="s">
        <v>2628</v>
      </c>
      <c r="B15" s="3044" t="s">
        <v>2606</v>
      </c>
      <c r="C15" s="3045" t="str">
        <f>C3</f>
        <v>估价对象周边居住用地比例、居住小区规模和社区发展完善程度，综合评价居住社区成熟度一般</v>
      </c>
      <c r="D15" s="3021"/>
      <c r="E15" s="3046" t="s">
        <v>2629</v>
      </c>
      <c r="F15" s="3044" t="s">
        <v>2630</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39.6">
      <c r="A16" s="3048"/>
      <c r="B16" s="2489" t="s">
        <v>2610</v>
      </c>
      <c r="C16" s="3049" t="str">
        <f>C4</f>
        <v>估价对象位于XX商圈，周边商业氛围成熟，人流量大，商业繁华度好</v>
      </c>
      <c r="D16" s="3021"/>
      <c r="E16" s="3050"/>
      <c r="F16" s="3007" t="s">
        <v>2612</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39.6">
      <c r="A17" s="3048"/>
      <c r="B17" s="2489" t="s">
        <v>2614</v>
      </c>
      <c r="C17" s="3049" t="str">
        <f>C5</f>
        <v>估价对象位于XX商圈，周边办公楼项目较多，入驻率高，办公集聚程度较好</v>
      </c>
      <c r="D17" s="2896"/>
      <c r="E17" s="3050"/>
      <c r="F17" s="3320" t="s">
        <v>3025</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9.6">
      <c r="A18" s="3048"/>
      <c r="B18" s="3007" t="s">
        <v>2618</v>
      </c>
      <c r="C18" s="3051" t="str">
        <f>C6</f>
        <v>估价对象周边道路状况、公共交通通达情况、停车便捷程度，综合评价交通便捷度较好</v>
      </c>
      <c r="D18" s="2896"/>
      <c r="E18" s="3050"/>
      <c r="F18" s="3007" t="s">
        <v>2621</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26.4">
      <c r="A19" s="3048"/>
      <c r="B19" s="3320" t="s">
        <v>3024</v>
      </c>
      <c r="C19" s="3052"/>
      <c r="D19" s="3021"/>
      <c r="E19" s="3050"/>
      <c r="F19" s="3006" t="s">
        <v>2616</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6.4">
      <c r="A20" s="3048"/>
      <c r="B20" s="3007" t="s">
        <v>2631</v>
      </c>
      <c r="C20" s="3049" t="str">
        <f>C9</f>
        <v>区域自然环境：；人文环境；综合评价环境状况一般</v>
      </c>
      <c r="D20" s="2896"/>
      <c r="E20" s="3050"/>
      <c r="F20" s="3006" t="s">
        <v>2619</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6.4">
      <c r="A21" s="3048"/>
      <c r="B21" s="3006" t="s">
        <v>2616</v>
      </c>
      <c r="C21" s="3051" t="str">
        <f>C7</f>
        <v>估价对象所在区域公共配套设施齐备情况</v>
      </c>
      <c r="D21" s="3021"/>
      <c r="E21" s="3050"/>
      <c r="F21" s="3007" t="s">
        <v>2632</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3.2">
      <c r="A22" s="3048"/>
      <c r="B22" s="3006" t="s">
        <v>2619</v>
      </c>
      <c r="C22" s="3051" t="str">
        <f>C8</f>
        <v>估价对象所在区域基础设施水平</v>
      </c>
      <c r="D22" s="3021"/>
      <c r="E22" s="3050"/>
      <c r="F22" s="3007" t="s">
        <v>2625</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thickBot="1">
      <c r="A23" s="3048"/>
      <c r="B23" s="3007" t="s">
        <v>2632</v>
      </c>
      <c r="C23" s="3053"/>
      <c r="D23" s="3040"/>
      <c r="E23" s="3055"/>
      <c r="F23" s="3009" t="s">
        <v>2633</v>
      </c>
      <c r="G23" s="3056"/>
      <c r="H23" s="3040"/>
      <c r="I23" s="3041"/>
      <c r="J23" s="3040"/>
      <c r="K23" s="3040"/>
      <c r="L23" s="3041"/>
      <c r="M23" s="3040"/>
      <c r="N23" s="3040"/>
      <c r="O23" s="3041"/>
      <c r="P23" s="3040"/>
      <c r="Q23" s="3040"/>
      <c r="R23" s="3042"/>
    </row>
    <row r="24" spans="1:29" s="3017" customFormat="1" thickBot="1">
      <c r="A24" s="3057"/>
      <c r="B24" s="3009" t="s">
        <v>2634</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498" customWidth="1"/>
    <col min="2" max="16384" width="14.6640625" style="2498"/>
  </cols>
  <sheetData>
    <row r="1" spans="1:9" ht="15.6">
      <c r="A1" s="2496" t="s">
        <v>973</v>
      </c>
      <c r="B1" s="2496">
        <f>SUM(B14:B23)</f>
        <v>262.86</v>
      </c>
      <c r="C1" s="1559"/>
      <c r="D1" s="1559"/>
      <c r="E1" s="1559"/>
      <c r="F1" s="1559"/>
      <c r="G1" s="2497"/>
    </row>
    <row r="2" spans="1:9" ht="15.6">
      <c r="A2" s="2496" t="s">
        <v>974</v>
      </c>
      <c r="B2" s="2496">
        <f>SUM(C14:C23)</f>
        <v>0</v>
      </c>
      <c r="C2" s="1559"/>
      <c r="D2" s="1559"/>
      <c r="E2" s="1559"/>
      <c r="F2" s="1559"/>
      <c r="G2" s="2497"/>
    </row>
    <row r="3" spans="1:9" ht="15.6">
      <c r="A3" s="2496" t="s">
        <v>975</v>
      </c>
      <c r="B3" s="2499">
        <f>项目基本情况!D2</f>
        <v>44701</v>
      </c>
      <c r="C3" s="1559"/>
      <c r="D3" s="1559"/>
      <c r="E3" s="1559"/>
      <c r="F3" s="1559"/>
      <c r="G3" s="2497"/>
    </row>
    <row r="4" spans="1:9" ht="31.2">
      <c r="A4" s="2496" t="s">
        <v>976</v>
      </c>
      <c r="B4" s="2496" t="s">
        <v>977</v>
      </c>
      <c r="C4" s="2496" t="s">
        <v>978</v>
      </c>
      <c r="D4" s="2496" t="s">
        <v>979</v>
      </c>
      <c r="E4" s="1559"/>
      <c r="F4" s="2497"/>
      <c r="G4" s="2497"/>
    </row>
    <row r="5" spans="1:9" ht="15.6">
      <c r="A5" s="2496" t="s">
        <v>980</v>
      </c>
      <c r="B5" s="2496">
        <f ca="1">SUM(D14:D23)</f>
        <v>1174.2745</v>
      </c>
      <c r="C5" s="2496">
        <f ca="1">ROUND(B5*10000/$B$1,0)</f>
        <v>44673</v>
      </c>
      <c r="D5" s="2496" t="e">
        <f ca="1">ROUND(B5*10000/$B$2,0)</f>
        <v>#DIV/0!</v>
      </c>
      <c r="E5" s="1559"/>
      <c r="F5" s="2497"/>
      <c r="G5" s="2497"/>
    </row>
    <row r="6" spans="1:9" ht="15.6">
      <c r="A6" s="2496" t="s">
        <v>981</v>
      </c>
      <c r="B6" s="2496" t="e">
        <f>SUM(G14:G23)</f>
        <v>#VALUE!</v>
      </c>
      <c r="C6" s="2496" t="e">
        <f t="shared" ref="C6:C8" si="0">ROUND(B6*10000/$B$1,0)</f>
        <v>#VALUE!</v>
      </c>
      <c r="D6" s="2496" t="e">
        <f t="shared" ref="D6:D8" si="1">ROUND(B6*10000/$B$2,0)</f>
        <v>#VALUE!</v>
      </c>
      <c r="E6" s="1559"/>
      <c r="F6" s="2497"/>
      <c r="G6" s="2497"/>
    </row>
    <row r="7" spans="1:9" ht="15.6">
      <c r="A7" s="2496" t="s">
        <v>982</v>
      </c>
      <c r="B7" s="2496">
        <f ca="1">SUM(H14:H23)</f>
        <v>1174.2745</v>
      </c>
      <c r="C7" s="2496">
        <f ca="1">ROUND(B7*10000/$B$1,0)</f>
        <v>44673</v>
      </c>
      <c r="D7" s="2496" t="e">
        <f t="shared" ca="1" si="1"/>
        <v>#DIV/0!</v>
      </c>
      <c r="E7" s="1559"/>
      <c r="F7" s="2497"/>
      <c r="G7" s="2497"/>
    </row>
    <row r="8" spans="1:9" ht="15.6">
      <c r="A8" s="2496" t="s">
        <v>983</v>
      </c>
      <c r="B8" s="2496" t="e">
        <f>SUM(I14:I23)</f>
        <v>#VALUE!</v>
      </c>
      <c r="C8" s="2496" t="e">
        <f t="shared" si="0"/>
        <v>#VALUE!</v>
      </c>
      <c r="D8" s="2496" t="e">
        <f t="shared" si="1"/>
        <v>#VALUE!</v>
      </c>
      <c r="E8" s="1559"/>
      <c r="F8" s="2497"/>
      <c r="G8" s="2497"/>
    </row>
    <row r="9" spans="1:9" ht="15.6">
      <c r="A9" s="2496" t="s">
        <v>984</v>
      </c>
      <c r="B9" s="2500"/>
      <c r="C9" s="1559"/>
      <c r="D9" s="1559"/>
      <c r="E9" s="1559"/>
      <c r="F9" s="2497"/>
      <c r="G9" s="2497"/>
    </row>
    <row r="10" spans="1:9" ht="15.6">
      <c r="A10" s="2496" t="s">
        <v>985</v>
      </c>
      <c r="B10" s="2500"/>
      <c r="C10" s="1559"/>
      <c r="D10" s="1559"/>
      <c r="E10" s="1559"/>
      <c r="F10" s="2497"/>
      <c r="G10" s="2497"/>
    </row>
    <row r="11" spans="1:9" ht="15.6">
      <c r="A11" s="2496" t="s">
        <v>1000</v>
      </c>
      <c r="B11" s="2500"/>
      <c r="C11" s="1559"/>
      <c r="D11" s="1559"/>
      <c r="E11" s="1559"/>
      <c r="F11" s="2497"/>
      <c r="G11" s="2497"/>
    </row>
    <row r="12" spans="1:9" ht="15.6">
      <c r="A12" s="1559"/>
      <c r="B12" s="1559"/>
      <c r="C12" s="1559"/>
      <c r="D12" s="1559"/>
      <c r="E12" s="1559"/>
      <c r="F12" s="2497"/>
      <c r="G12" s="2497"/>
    </row>
    <row r="13" spans="1:9" ht="31.2">
      <c r="A13" s="2501" t="s">
        <v>999</v>
      </c>
      <c r="B13" s="2502" t="s">
        <v>973</v>
      </c>
      <c r="C13" s="2502" t="s">
        <v>974</v>
      </c>
      <c r="D13" s="2502" t="s">
        <v>986</v>
      </c>
      <c r="E13" s="2496" t="s">
        <v>978</v>
      </c>
      <c r="F13" s="2496" t="s">
        <v>979</v>
      </c>
      <c r="G13" s="2502" t="s">
        <v>987</v>
      </c>
      <c r="H13" s="2502" t="s">
        <v>988</v>
      </c>
      <c r="I13" s="2502" t="s">
        <v>989</v>
      </c>
    </row>
    <row r="14" spans="1:9" ht="15.6">
      <c r="A14" s="2801" t="s">
        <v>3026</v>
      </c>
      <c r="B14" s="2831">
        <f>项目基本情况!C12</f>
        <v>262.86</v>
      </c>
      <c r="C14" s="2831">
        <f>项目基本情况!C13</f>
        <v>0</v>
      </c>
      <c r="D14" s="2831">
        <f ca="1">IF('数据-取费表'!B3="万元",IF(A14="估价对象1（结果表）",结果表!H121,'结果表 (1修多)'!H125),IF(A14="估价对象1（结果表）",结果表!H121,'结果表 (1修多)'!H125)/10000)</f>
        <v>1174.2745</v>
      </c>
      <c r="E14" s="2831">
        <f ca="1">ROUND(D14*10000/B14,0)</f>
        <v>44673</v>
      </c>
      <c r="F14" s="2831" t="e">
        <f ca="1">ROUND(D14*10000/C14,0)</f>
        <v>#DIV/0!</v>
      </c>
      <c r="G14" s="2831" t="e">
        <f>IF('数据-取费表'!B3="万元",IF(A14="估价对象1（结果表）",结果表!D125,'结果表 (1修多)'!D129),IF(A14="估价对象1（结果表）",结果表!D125,'结果表 (1修多)'!D129)/10000)</f>
        <v>#VALUE!</v>
      </c>
      <c r="H14" s="2831">
        <f ca="1">IF('数据-取费表'!B3="万元",IF(A14="估价对象1（结果表）",结果表!D127,'结果表 (1修多)'!D131),IF(A14="估价对象1（结果表）",结果表!D127,'结果表 (1修多)'!D131)/10000)</f>
        <v>1174.2745</v>
      </c>
      <c r="I14" s="2831" t="e">
        <f>IF('数据-取费表'!B3="万元",IF(A14="估价对象1（结果表）",结果表!D129,'结果表 (1修多)'!D133),IF(A14="估价对象1（结果表）",结果表!D129,'结果表 (1修多)'!D133)/10000)</f>
        <v>#VALUE!</v>
      </c>
    </row>
    <row r="15" spans="1:9" ht="15.6">
      <c r="A15" s="2503" t="s">
        <v>990</v>
      </c>
      <c r="B15" s="2504"/>
      <c r="C15" s="2504"/>
      <c r="D15" s="2504"/>
      <c r="E15" s="2831" t="e">
        <f t="shared" ref="E15:E23" si="2">ROUND(D15*10000/B15,0)</f>
        <v>#DIV/0!</v>
      </c>
      <c r="F15" s="2831" t="e">
        <f t="shared" ref="F15:F23" si="3">ROUND(D15*10000/C15,0)</f>
        <v>#DIV/0!</v>
      </c>
      <c r="G15" s="1233"/>
      <c r="H15" s="1233"/>
      <c r="I15" s="2504"/>
    </row>
    <row r="16" spans="1:9" ht="15.6">
      <c r="A16" s="2503" t="s">
        <v>991</v>
      </c>
      <c r="B16" s="2504"/>
      <c r="C16" s="2504"/>
      <c r="D16" s="2504"/>
      <c r="E16" s="2831" t="e">
        <f t="shared" si="2"/>
        <v>#DIV/0!</v>
      </c>
      <c r="F16" s="2831" t="e">
        <f t="shared" si="3"/>
        <v>#DIV/0!</v>
      </c>
      <c r="G16" s="1233"/>
      <c r="H16" s="1233"/>
      <c r="I16" s="2504"/>
    </row>
    <row r="17" spans="1:9" ht="15.6">
      <c r="A17" s="2503" t="s">
        <v>992</v>
      </c>
      <c r="B17" s="2504"/>
      <c r="C17" s="2504"/>
      <c r="D17" s="2504"/>
      <c r="E17" s="2831" t="e">
        <f t="shared" si="2"/>
        <v>#DIV/0!</v>
      </c>
      <c r="F17" s="2831" t="e">
        <f t="shared" si="3"/>
        <v>#DIV/0!</v>
      </c>
      <c r="G17" s="1233"/>
      <c r="H17" s="1233"/>
      <c r="I17" s="2504"/>
    </row>
    <row r="18" spans="1:9" ht="15.6">
      <c r="A18" s="2503" t="s">
        <v>993</v>
      </c>
      <c r="B18" s="2504"/>
      <c r="C18" s="2504"/>
      <c r="D18" s="2504"/>
      <c r="E18" s="2831" t="e">
        <f t="shared" si="2"/>
        <v>#DIV/0!</v>
      </c>
      <c r="F18" s="2831" t="e">
        <f t="shared" si="3"/>
        <v>#DIV/0!</v>
      </c>
      <c r="G18" s="2504"/>
      <c r="H18" s="2504"/>
      <c r="I18" s="2504"/>
    </row>
    <row r="19" spans="1:9" ht="15.6">
      <c r="A19" s="2503" t="s">
        <v>994</v>
      </c>
      <c r="B19" s="2504"/>
      <c r="C19" s="2504"/>
      <c r="D19" s="2504"/>
      <c r="E19" s="2831" t="e">
        <f t="shared" si="2"/>
        <v>#DIV/0!</v>
      </c>
      <c r="F19" s="2831" t="e">
        <f t="shared" si="3"/>
        <v>#DIV/0!</v>
      </c>
      <c r="G19" s="2504"/>
      <c r="H19" s="2504"/>
      <c r="I19" s="2504"/>
    </row>
    <row r="20" spans="1:9" ht="15.6">
      <c r="A20" s="2503" t="s">
        <v>995</v>
      </c>
      <c r="B20" s="2504"/>
      <c r="C20" s="2504"/>
      <c r="D20" s="2504"/>
      <c r="E20" s="2831" t="e">
        <f t="shared" si="2"/>
        <v>#DIV/0!</v>
      </c>
      <c r="F20" s="2831" t="e">
        <f t="shared" si="3"/>
        <v>#DIV/0!</v>
      </c>
      <c r="G20" s="2504"/>
      <c r="H20" s="2504"/>
      <c r="I20" s="2504"/>
    </row>
    <row r="21" spans="1:9" ht="15.6">
      <c r="A21" s="2503" t="s">
        <v>996</v>
      </c>
      <c r="B21" s="2504"/>
      <c r="C21" s="2504"/>
      <c r="D21" s="2504"/>
      <c r="E21" s="2831" t="e">
        <f t="shared" si="2"/>
        <v>#DIV/0!</v>
      </c>
      <c r="F21" s="2831" t="e">
        <f t="shared" si="3"/>
        <v>#DIV/0!</v>
      </c>
      <c r="G21" s="2504"/>
      <c r="H21" s="2504"/>
      <c r="I21" s="2504"/>
    </row>
    <row r="22" spans="1:9" ht="15.6">
      <c r="A22" s="2503" t="s">
        <v>997</v>
      </c>
      <c r="B22" s="2504"/>
      <c r="C22" s="2504"/>
      <c r="D22" s="2504"/>
      <c r="E22" s="2831" t="e">
        <f t="shared" si="2"/>
        <v>#DIV/0!</v>
      </c>
      <c r="F22" s="2831" t="e">
        <f t="shared" si="3"/>
        <v>#DIV/0!</v>
      </c>
      <c r="G22" s="2504"/>
      <c r="H22" s="2504"/>
      <c r="I22" s="2504"/>
    </row>
    <row r="23" spans="1:9" ht="15.6">
      <c r="A23" s="2503" t="s">
        <v>998</v>
      </c>
      <c r="B23" s="2504"/>
      <c r="C23" s="2504"/>
      <c r="D23" s="2504"/>
      <c r="E23" s="2832" t="e">
        <f t="shared" si="2"/>
        <v>#DIV/0!</v>
      </c>
      <c r="F23" s="2832"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97" zoomScale="80" zoomScaleNormal="100" zoomScaleSheetLayoutView="80" zoomScalePageLayoutView="80" workbookViewId="0">
      <selection activeCell="H122" sqref="H122:I122"/>
    </sheetView>
  </sheetViews>
  <sheetFormatPr defaultColWidth="12.6640625" defaultRowHeight="21.75" customHeight="1"/>
  <cols>
    <col min="1" max="2" width="12.6640625" style="1387"/>
    <col min="3" max="4" width="12.6640625" style="1387" customWidth="1"/>
    <col min="5" max="9" width="12.6640625" style="1387"/>
    <col min="10" max="10" width="3.664062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87"/>
  </cols>
  <sheetData>
    <row r="1" spans="1:15" ht="21.75" customHeight="1">
      <c r="A1" s="1385" t="s">
        <v>1470</v>
      </c>
      <c r="B1" s="1386"/>
      <c r="C1" s="1386"/>
      <c r="D1" s="1386"/>
      <c r="E1" s="1386"/>
      <c r="F1" s="1386"/>
      <c r="G1" s="1386"/>
      <c r="H1" s="1386"/>
      <c r="I1" s="1386"/>
    </row>
    <row r="2" spans="1:15" ht="21.75" customHeight="1">
      <c r="A2" s="3496" t="str">
        <f>项目基本情况!B1</f>
        <v>北京市大兴区北京经济技术开发区荣华南路10号院4号楼1至2层107号商业用房房地产抵押价值预评估</v>
      </c>
      <c r="B2" s="3496"/>
      <c r="C2" s="3496"/>
      <c r="D2" s="3496"/>
      <c r="E2" s="3496"/>
      <c r="F2" s="3496"/>
      <c r="G2" s="3496"/>
      <c r="H2" s="3496"/>
      <c r="I2" s="3496"/>
      <c r="J2" s="2758"/>
    </row>
    <row r="3" spans="1:15" ht="13.2">
      <c r="A3" s="3501" t="s">
        <v>1471</v>
      </c>
      <c r="B3" s="3502"/>
      <c r="C3" s="3502"/>
      <c r="D3" s="3502"/>
      <c r="E3" s="3502"/>
      <c r="F3" s="3502"/>
      <c r="G3" s="3502"/>
      <c r="H3" s="3502"/>
      <c r="I3" s="3502"/>
      <c r="J3" s="2759"/>
    </row>
    <row r="4" spans="1:15" ht="14.4">
      <c r="A4" s="2627" t="s">
        <v>1472</v>
      </c>
      <c r="B4" s="2627" t="s">
        <v>1473</v>
      </c>
      <c r="C4" s="2628" t="s">
        <v>3064</v>
      </c>
      <c r="D4" s="2628" t="s">
        <v>3065</v>
      </c>
      <c r="E4" s="3498" t="s">
        <v>1474</v>
      </c>
      <c r="F4" s="3486"/>
      <c r="G4" s="3486"/>
      <c r="H4" s="3486"/>
      <c r="I4" s="3487"/>
      <c r="J4" s="2760"/>
      <c r="L4" s="1386" t="str">
        <f>IF(ISNUMBER(FIND("比较法",结果表!C4)),"比较法",IF(ISNUMBER(FIND("成本法",结果表!C4)),"成本法",IF(ISNUMBER(FIND("假设开发法",结果表!C4)),"假设开发法",IF(ISNUMBER(FIND("收益法",结果表!C4)),"收益法","基准地价系数修正法"))))</f>
        <v>比较法</v>
      </c>
      <c r="M4" s="1386" t="str">
        <f>IF(ISNUMBER(FIND("比较法",结果表!D4)),"比较法",IF(ISNUMBER(FIND("成本法",结果表!D4)),"成本法",IF(ISNUMBER(FIND("假设开发法",结果表!D4)),"假设开发法",IF(ISNUMBER(FIND("收益法",结果表!D4)),"收益法","基准地价系数修正法"))))</f>
        <v>收益法</v>
      </c>
      <c r="N4" s="1386"/>
      <c r="O4" s="1386"/>
    </row>
    <row r="5" spans="1:15" ht="13.2">
      <c r="A5" s="3497" t="s">
        <v>1475</v>
      </c>
      <c r="B5" s="3497">
        <v>25</v>
      </c>
      <c r="C5" s="3503"/>
      <c r="D5" s="3500"/>
      <c r="E5" s="12" t="s">
        <v>1476</v>
      </c>
      <c r="F5" s="2014"/>
      <c r="G5" s="2014"/>
      <c r="H5" s="2014"/>
      <c r="I5" s="2009"/>
      <c r="J5" s="2760"/>
    </row>
    <row r="6" spans="1:15" ht="13.2">
      <c r="A6" s="3497"/>
      <c r="B6" s="3497"/>
      <c r="C6" s="3504"/>
      <c r="D6" s="3500"/>
      <c r="E6" s="12" t="s">
        <v>1477</v>
      </c>
      <c r="F6" s="2014"/>
      <c r="G6" s="2014"/>
      <c r="H6" s="2014"/>
      <c r="I6" s="2009"/>
      <c r="J6" s="2760"/>
    </row>
    <row r="7" spans="1:15" ht="13.2">
      <c r="A7" s="3497"/>
      <c r="B7" s="3497"/>
      <c r="C7" s="3505"/>
      <c r="D7" s="3500"/>
      <c r="E7" s="12" t="s">
        <v>1478</v>
      </c>
      <c r="F7" s="2014"/>
      <c r="G7" s="2014"/>
      <c r="H7" s="2014"/>
      <c r="I7" s="2009"/>
      <c r="J7" s="2760"/>
    </row>
    <row r="8" spans="1:15" ht="13.2">
      <c r="A8" s="3497" t="s">
        <v>1479</v>
      </c>
      <c r="B8" s="3497">
        <v>15</v>
      </c>
      <c r="C8" s="3503"/>
      <c r="D8" s="3500"/>
      <c r="E8" s="12" t="s">
        <v>1480</v>
      </c>
      <c r="F8" s="2014"/>
      <c r="G8" s="2014"/>
      <c r="H8" s="2014"/>
      <c r="I8" s="2009"/>
      <c r="J8" s="2760"/>
    </row>
    <row r="9" spans="1:15" ht="13.2">
      <c r="A9" s="3497"/>
      <c r="B9" s="3497"/>
      <c r="C9" s="3505"/>
      <c r="D9" s="3500"/>
      <c r="E9" s="12" t="s">
        <v>1481</v>
      </c>
      <c r="F9" s="2014"/>
      <c r="G9" s="2014"/>
      <c r="H9" s="2014"/>
      <c r="I9" s="2009"/>
      <c r="J9" s="2760"/>
    </row>
    <row r="10" spans="1:15" ht="13.2">
      <c r="A10" s="3497" t="s">
        <v>1482</v>
      </c>
      <c r="B10" s="3497">
        <v>15</v>
      </c>
      <c r="C10" s="3503"/>
      <c r="D10" s="3500"/>
      <c r="E10" s="12" t="s">
        <v>1483</v>
      </c>
      <c r="F10" s="2014"/>
      <c r="G10" s="2014"/>
      <c r="H10" s="2014"/>
      <c r="I10" s="2009"/>
      <c r="J10" s="2760"/>
    </row>
    <row r="11" spans="1:15" ht="13.2">
      <c r="A11" s="3497"/>
      <c r="B11" s="3497"/>
      <c r="C11" s="3505"/>
      <c r="D11" s="3500"/>
      <c r="E11" s="12" t="s">
        <v>1484</v>
      </c>
      <c r="F11" s="2014"/>
      <c r="G11" s="2014"/>
      <c r="H11" s="2014"/>
      <c r="I11" s="2009"/>
      <c r="J11" s="2760"/>
    </row>
    <row r="12" spans="1:15" ht="13.2">
      <c r="A12" s="3497" t="s">
        <v>1485</v>
      </c>
      <c r="B12" s="3497">
        <v>15</v>
      </c>
      <c r="C12" s="3503"/>
      <c r="D12" s="3500"/>
      <c r="E12" s="12" t="s">
        <v>1486</v>
      </c>
      <c r="F12" s="2014"/>
      <c r="G12" s="2014"/>
      <c r="H12" s="2014"/>
      <c r="I12" s="2009"/>
      <c r="J12" s="2760"/>
    </row>
    <row r="13" spans="1:15" ht="13.2">
      <c r="A13" s="3497"/>
      <c r="B13" s="3497"/>
      <c r="C13" s="3505"/>
      <c r="D13" s="3500"/>
      <c r="E13" s="12" t="s">
        <v>1487</v>
      </c>
      <c r="F13" s="2014"/>
      <c r="G13" s="2014"/>
      <c r="H13" s="2014"/>
      <c r="I13" s="2009"/>
      <c r="J13" s="2760"/>
    </row>
    <row r="14" spans="1:15" ht="13.2">
      <c r="A14" s="3497" t="s">
        <v>1488</v>
      </c>
      <c r="B14" s="3497">
        <v>30</v>
      </c>
      <c r="C14" s="3503">
        <v>5</v>
      </c>
      <c r="D14" s="3500">
        <v>5</v>
      </c>
      <c r="E14" s="12" t="s">
        <v>1489</v>
      </c>
      <c r="F14" s="2014"/>
      <c r="G14" s="2014"/>
      <c r="H14" s="2014"/>
      <c r="I14" s="2009"/>
      <c r="J14" s="2760"/>
    </row>
    <row r="15" spans="1:15" ht="13.2">
      <c r="A15" s="3497"/>
      <c r="B15" s="3497"/>
      <c r="C15" s="3504"/>
      <c r="D15" s="3500"/>
      <c r="E15" s="12" t="s">
        <v>1490</v>
      </c>
      <c r="F15" s="2014"/>
      <c r="G15" s="2014"/>
      <c r="H15" s="2014"/>
      <c r="I15" s="2009"/>
      <c r="J15" s="2760"/>
    </row>
    <row r="16" spans="1:15" ht="13.2">
      <c r="A16" s="3497"/>
      <c r="B16" s="3497"/>
      <c r="C16" s="3505"/>
      <c r="D16" s="3500"/>
      <c r="E16" s="12" t="s">
        <v>1491</v>
      </c>
      <c r="F16" s="2014"/>
      <c r="G16" s="2014"/>
      <c r="H16" s="2014"/>
      <c r="I16" s="2009"/>
      <c r="J16" s="2760"/>
    </row>
    <row r="17" spans="1:36" ht="14.4">
      <c r="A17" s="2629" t="s">
        <v>1492</v>
      </c>
      <c r="B17" s="2019"/>
      <c r="C17" s="2630">
        <f>SUM(C5:C16)</f>
        <v>5</v>
      </c>
      <c r="D17" s="2630">
        <f>SUM(D5:D16)</f>
        <v>5</v>
      </c>
      <c r="E17" s="2478"/>
      <c r="F17" s="2478"/>
      <c r="G17" s="2478"/>
      <c r="H17" s="2478"/>
      <c r="I17" s="2478"/>
      <c r="J17" s="2761"/>
    </row>
    <row r="18" spans="1:36" ht="30" customHeight="1" thickBot="1">
      <c r="A18" s="2631" t="s">
        <v>1493</v>
      </c>
      <c r="B18" s="2632"/>
      <c r="C18" s="2633">
        <f>ROUND(C17/SUM(C17:D17),2)</f>
        <v>0.5</v>
      </c>
      <c r="D18" s="2633">
        <f>1-C18</f>
        <v>0.5</v>
      </c>
      <c r="E18" s="3517" t="s">
        <v>2572</v>
      </c>
      <c r="F18" s="3518"/>
      <c r="G18" s="3518"/>
      <c r="H18" s="3518"/>
      <c r="I18" s="3518"/>
      <c r="J18" s="2761"/>
    </row>
    <row r="19" spans="1:36" ht="14.4">
      <c r="A19" s="2634" t="s">
        <v>1494</v>
      </c>
      <c r="B19" s="2635" t="s">
        <v>1495</v>
      </c>
      <c r="C19" s="2636">
        <f ca="1">SUMIF(INDIRECT("'"&amp;C4&amp;"'"&amp;"!A:A"),结果表!B19,INDIRECT("'"&amp;C4&amp;"'"&amp;"!B:B"))</f>
        <v>11939364</v>
      </c>
      <c r="D19" s="2637">
        <f ca="1">SUMIF(INDIRECT("'"&amp;D4&amp;"'"&amp;"!A:A"),结果表!B19,INDIRECT("'"&amp;D4&amp;"'"&amp;"!B:B"))</f>
        <v>11545808</v>
      </c>
      <c r="E19" s="2634" t="s">
        <v>1496</v>
      </c>
      <c r="F19" s="2635" t="s">
        <v>1495</v>
      </c>
      <c r="G19" s="2638">
        <f ca="1">ROUND(C19*$C$18+D19*$D$18,0)</f>
        <v>11742586</v>
      </c>
      <c r="H19" s="2639" t="str">
        <f>'数据-取费表'!B3</f>
        <v>元</v>
      </c>
      <c r="I19" s="2687"/>
      <c r="J19" s="2762"/>
    </row>
    <row r="20" spans="1:36" ht="14.4">
      <c r="A20" s="2640"/>
      <c r="B20" s="1619" t="s">
        <v>1497</v>
      </c>
      <c r="C20" s="1844">
        <f ca="1">SUMIF(INDIRECT("'"&amp;C4&amp;"'"&amp;"!A:A"),结果表!B20,INDIRECT("'"&amp;C4&amp;"'"&amp;"!B:B"))</f>
        <v>45421</v>
      </c>
      <c r="D20" s="1847">
        <f ca="1">SUMIF(INDIRECT("'"&amp;D4&amp;"'"&amp;"!A:A"),结果表!B20,INDIRECT("'"&amp;D4&amp;"'"&amp;"!B:B"))</f>
        <v>43924</v>
      </c>
      <c r="E20" s="2640"/>
      <c r="F20" s="1619" t="s">
        <v>1497</v>
      </c>
      <c r="G20" s="2018">
        <f ca="1">ROUND(C20*$C$18+D20*$D$18,0)</f>
        <v>44673</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f ca="1">IF(C19&lt;D19,D19/C19-1,C19/D19-1)</f>
        <v>3.4086484029528297E-2</v>
      </c>
      <c r="E22" s="905"/>
      <c r="F22" s="905"/>
      <c r="G22" s="905"/>
      <c r="H22" s="905"/>
      <c r="I22" s="905"/>
      <c r="J22" s="2761"/>
    </row>
    <row r="23" spans="1:36" ht="13.8" thickBot="1">
      <c r="A23" s="2478"/>
      <c r="B23" s="2478"/>
      <c r="C23" s="2478"/>
      <c r="D23" s="2478"/>
      <c r="E23" s="905"/>
      <c r="F23" s="905"/>
      <c r="G23" s="905">
        <f ca="1">G20/0.85</f>
        <v>52556.470588235294</v>
      </c>
      <c r="H23" s="905"/>
      <c r="I23" s="905"/>
      <c r="J23" s="2761"/>
    </row>
    <row r="24" spans="1:36" ht="21.75" customHeight="1">
      <c r="A24" s="3506" t="s">
        <v>1500</v>
      </c>
      <c r="B24" s="2635" t="s">
        <v>1495</v>
      </c>
      <c r="C24" s="2638">
        <f>D30</f>
        <v>0</v>
      </c>
      <c r="D24" s="2590"/>
      <c r="E24" s="905"/>
      <c r="F24" s="905"/>
      <c r="G24" s="905"/>
      <c r="H24" s="905"/>
      <c r="I24" s="905"/>
      <c r="J24" s="2761"/>
    </row>
    <row r="25" spans="1:36" ht="21.75" customHeight="1">
      <c r="A25" s="3507"/>
      <c r="B25" s="1619"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3.8">
      <c r="A27" s="2655"/>
      <c r="B27" s="2653">
        <v>0</v>
      </c>
      <c r="C27" s="2653">
        <v>0</v>
      </c>
      <c r="D27" s="2654">
        <f>ROUND(C27*B27/10000,0)</f>
        <v>0</v>
      </c>
      <c r="E27" s="905"/>
      <c r="F27" s="905"/>
      <c r="G27" s="905"/>
      <c r="H27" s="905"/>
      <c r="I27" s="905"/>
      <c r="J27" s="2761"/>
    </row>
    <row r="28" spans="1:36" ht="13.8">
      <c r="A28" s="2652"/>
      <c r="B28" s="2653"/>
      <c r="C28" s="2653"/>
      <c r="D28" s="2654">
        <f t="shared" ref="D28:D29" si="0">ROUND(C28*B28/10000,0)</f>
        <v>0</v>
      </c>
      <c r="E28" s="905"/>
      <c r="F28" s="905"/>
      <c r="G28" s="905"/>
      <c r="H28" s="905"/>
      <c r="I28" s="905"/>
      <c r="J28" s="2761"/>
    </row>
    <row r="29" spans="1:36" ht="13.8">
      <c r="A29" s="2652"/>
      <c r="B29" s="2653"/>
      <c r="C29" s="2653"/>
      <c r="D29" s="2654">
        <f t="shared" si="0"/>
        <v>0</v>
      </c>
      <c r="E29" s="905"/>
      <c r="F29" s="905"/>
      <c r="G29" s="905"/>
      <c r="H29" s="905"/>
      <c r="I29" s="905"/>
      <c r="J29" s="2761"/>
    </row>
    <row r="30" spans="1:36" ht="15" thickBot="1">
      <c r="A30" s="2689" t="s">
        <v>1505</v>
      </c>
      <c r="B30" s="2689"/>
      <c r="C30" s="2689"/>
      <c r="D30" s="2689"/>
      <c r="E30" s="2656" t="s">
        <v>2576</v>
      </c>
      <c r="F30" s="2478"/>
      <c r="G30" s="2478"/>
      <c r="H30" s="2478"/>
      <c r="I30" s="2478"/>
      <c r="J30" s="2761"/>
    </row>
    <row r="31" spans="1:36" s="2754" customFormat="1" ht="26.4" customHeight="1" thickTop="1" thickBot="1">
      <c r="A31" s="2749"/>
      <c r="B31" s="2750"/>
      <c r="C31" s="2750"/>
      <c r="D31" s="2750"/>
      <c r="E31" s="2750"/>
      <c r="F31" s="2750"/>
      <c r="G31" s="2750"/>
      <c r="H31" s="2750"/>
      <c r="I31" s="2751" t="s">
        <v>2577</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5.6" thickTop="1" thickBot="1">
      <c r="A32" s="2742" t="s">
        <v>1506</v>
      </c>
      <c r="B32" s="2743" t="str">
        <f>'数据-取费表'!B4</f>
        <v>楼面单价</v>
      </c>
      <c r="C32" s="2744">
        <f ca="1">IF(B32="总价",G19-C24,G20-C25)</f>
        <v>44673</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4.4">
      <c r="A33" s="2657" t="s">
        <v>1507</v>
      </c>
      <c r="B33" s="255"/>
      <c r="C33" s="2658"/>
      <c r="D33" s="2659"/>
      <c r="E33" s="2660" t="s">
        <v>1508</v>
      </c>
      <c r="F33" s="2661" t="str">
        <f>IF(B32="楼面单价","取值（单价）","取值（总价）")</f>
        <v>取值（单价）</v>
      </c>
      <c r="G33" s="905"/>
      <c r="H33" s="905"/>
      <c r="I33" s="905"/>
      <c r="J33" s="2761"/>
    </row>
    <row r="34" spans="1:17" ht="14.4">
      <c r="A34" s="1391"/>
      <c r="B34" s="2662" t="s">
        <v>1509</v>
      </c>
      <c r="C34" s="2663">
        <f ca="1">IF(D33="自定义",F34,C32-C35)</f>
        <v>39491</v>
      </c>
      <c r="D34" s="2664">
        <f ca="1">IF(D33="自定义",ROUND(C34/C32,3),1-D35)</f>
        <v>0.88400000000000001</v>
      </c>
      <c r="E34" s="1361" t="s">
        <v>1510</v>
      </c>
      <c r="F34" s="2665">
        <v>2000</v>
      </c>
      <c r="G34" s="905"/>
      <c r="H34" s="905"/>
      <c r="I34" s="905"/>
      <c r="J34" s="2761"/>
    </row>
    <row r="35" spans="1:17" ht="15" thickBot="1">
      <c r="A35" s="1392"/>
      <c r="B35" s="2666" t="s">
        <v>1511</v>
      </c>
      <c r="C35" s="2667">
        <f ca="1">IF(D33="自定义",F35,ROUND(C32*D35,0))</f>
        <v>5182</v>
      </c>
      <c r="D35" s="2668">
        <f ca="1">IF(D33="自定义",ROUND(C35/C32,3),IF(D33="成本法成本比率",成本法!C56,IF(D33="收益法收益比率",收益法!J38,收益法!J41)))</f>
        <v>0.11600000000000001</v>
      </c>
      <c r="E35" s="2669" t="s">
        <v>1512</v>
      </c>
      <c r="F35" s="2670">
        <v>4460</v>
      </c>
      <c r="G35" s="905"/>
      <c r="H35" s="905"/>
      <c r="I35" s="905"/>
      <c r="J35" s="2761"/>
    </row>
    <row r="36" spans="1:17" ht="15" thickBot="1">
      <c r="A36" s="3506" t="s">
        <v>1513</v>
      </c>
      <c r="B36" s="1393" t="s">
        <v>1514</v>
      </c>
      <c r="C36" s="2671">
        <v>0</v>
      </c>
      <c r="D36" s="2672" t="s">
        <v>3089</v>
      </c>
      <c r="E36" s="1605"/>
      <c r="F36" s="1605"/>
      <c r="G36" s="905"/>
      <c r="H36" s="905"/>
      <c r="I36" s="905"/>
      <c r="J36" s="2761"/>
    </row>
    <row r="37" spans="1:17" ht="15" thickBot="1">
      <c r="A37" s="3511"/>
      <c r="B37" s="2019" t="s">
        <v>1515</v>
      </c>
      <c r="C37" s="2673">
        <v>0</v>
      </c>
      <c r="D37" s="1239"/>
      <c r="E37" s="1239"/>
      <c r="F37" s="1605"/>
      <c r="G37" s="1239"/>
      <c r="H37" s="1239"/>
      <c r="I37" s="1239"/>
      <c r="J37" s="2765"/>
    </row>
    <row r="38" spans="1:17" ht="15" thickBot="1">
      <c r="A38" s="3512"/>
      <c r="B38" s="1394" t="s">
        <v>1516</v>
      </c>
      <c r="C38" s="2674">
        <v>0</v>
      </c>
      <c r="D38" s="2675" t="s">
        <v>1517</v>
      </c>
      <c r="E38" s="1239"/>
      <c r="F38" s="1605"/>
      <c r="G38" s="1239"/>
      <c r="H38" s="1239"/>
      <c r="I38" s="1239"/>
      <c r="J38" s="2765"/>
    </row>
    <row r="39" spans="1:17" ht="14.4">
      <c r="A39" s="2640" t="s">
        <v>1518</v>
      </c>
      <c r="B39" s="2676" t="s">
        <v>1502</v>
      </c>
      <c r="C39" s="2677" t="s">
        <v>1503</v>
      </c>
      <c r="D39" s="2677" t="s">
        <v>1519</v>
      </c>
      <c r="E39" s="2678" t="s">
        <v>1504</v>
      </c>
      <c r="F39" s="1605"/>
      <c r="G39" s="1239"/>
      <c r="H39" s="1239"/>
      <c r="I39" s="1239"/>
      <c r="J39" s="2765"/>
    </row>
    <row r="40" spans="1:17" ht="13.8">
      <c r="A40" s="2679" t="s">
        <v>1520</v>
      </c>
      <c r="B40" s="2680"/>
      <c r="C40" s="2681"/>
      <c r="D40" s="2681"/>
      <c r="E40" s="2682"/>
      <c r="F40" s="1605"/>
      <c r="G40" s="1239"/>
      <c r="H40" s="1239"/>
      <c r="I40" s="1239"/>
      <c r="J40" s="2765"/>
    </row>
    <row r="41" spans="1:17" ht="13.8">
      <c r="A41" s="2679" t="s">
        <v>1521</v>
      </c>
      <c r="B41" s="2680"/>
      <c r="C41" s="2681"/>
      <c r="D41" s="2681"/>
      <c r="E41" s="2682"/>
      <c r="F41" s="1605"/>
      <c r="G41" s="1239"/>
      <c r="H41" s="1239"/>
      <c r="I41" s="1239"/>
      <c r="J41" s="2765"/>
    </row>
    <row r="42" spans="1:17" ht="14.4" thickBot="1">
      <c r="A42" s="2683"/>
      <c r="B42" s="2684"/>
      <c r="C42" s="2685"/>
      <c r="D42" s="2685"/>
      <c r="E42" s="2670"/>
      <c r="F42" s="1605"/>
      <c r="G42" s="1239"/>
      <c r="H42" s="1239"/>
      <c r="I42" s="1239"/>
      <c r="J42" s="2765"/>
    </row>
    <row r="43" spans="1:17" ht="13.2">
      <c r="A43" s="2891"/>
      <c r="B43" s="2891"/>
      <c r="C43" s="2891"/>
      <c r="D43" s="2891"/>
      <c r="E43" s="2891"/>
      <c r="F43" s="2890"/>
      <c r="G43" s="2890"/>
      <c r="H43" s="2890"/>
      <c r="I43" s="2577"/>
      <c r="J43" s="2766"/>
    </row>
    <row r="44" spans="1:17" ht="17.399999999999999">
      <c r="A44" s="1396" t="s">
        <v>1522</v>
      </c>
      <c r="B44" s="1397"/>
      <c r="C44" s="1397"/>
      <c r="D44" s="1398"/>
      <c r="E44" s="1398"/>
      <c r="F44" s="1399"/>
      <c r="G44" s="1399"/>
      <c r="H44" s="1399"/>
      <c r="I44" s="2755" t="s">
        <v>2571</v>
      </c>
      <c r="J44" s="2767"/>
      <c r="K44" s="1400" t="s">
        <v>1523</v>
      </c>
      <c r="L44" s="1401"/>
      <c r="M44" s="1401"/>
      <c r="N44" s="1401"/>
      <c r="O44" s="1401"/>
      <c r="P44" s="1401"/>
      <c r="Q44" s="1236"/>
    </row>
    <row r="45" spans="1:17" ht="14.25" customHeight="1" thickBot="1">
      <c r="A45" s="3431" t="s">
        <v>1524</v>
      </c>
      <c r="B45" s="3432"/>
      <c r="C45" s="3442"/>
      <c r="D45" s="246">
        <f ca="1">ROUND(I102*F45,0)</f>
        <v>11742745</v>
      </c>
      <c r="E45" s="1467" t="s">
        <v>1525</v>
      </c>
      <c r="F45" s="2476">
        <v>1</v>
      </c>
      <c r="G45" s="2477" t="s">
        <v>1526</v>
      </c>
      <c r="H45" s="905"/>
      <c r="I45" s="905"/>
      <c r="J45" s="2761"/>
      <c r="K45" s="3437" t="s">
        <v>2501</v>
      </c>
      <c r="L45" s="3437"/>
      <c r="M45" s="3437"/>
      <c r="N45" s="3437"/>
      <c r="O45" s="3437"/>
      <c r="P45" s="3437"/>
      <c r="Q45" s="1236"/>
    </row>
    <row r="46" spans="1:17" ht="14.25" customHeight="1">
      <c r="A46" s="3508" t="s">
        <v>1528</v>
      </c>
      <c r="B46" s="3509"/>
      <c r="C46" s="3509"/>
      <c r="D46" s="3509"/>
      <c r="E46" s="3509"/>
      <c r="F46" s="3509"/>
      <c r="G46" s="3510"/>
      <c r="H46" s="2893"/>
      <c r="I46" s="905"/>
      <c r="J46" s="2761"/>
      <c r="K46" s="2451">
        <v>1</v>
      </c>
      <c r="L46" s="3438" t="s">
        <v>2502</v>
      </c>
      <c r="M46" s="3438"/>
      <c r="N46" s="3439" t="str">
        <f>项目基本情况!B1</f>
        <v>北京市大兴区北京经济技术开发区荣华南路10号院4号楼1至2层107号商业用房房地产抵押价值预评估</v>
      </c>
      <c r="O46" s="3439"/>
      <c r="P46" s="3439"/>
      <c r="Q46" s="1236"/>
    </row>
    <row r="47" spans="1:17" ht="12" customHeight="1">
      <c r="A47" s="38" t="s">
        <v>1530</v>
      </c>
      <c r="B47" s="39"/>
      <c r="C47" s="40"/>
      <c r="D47" s="1028" t="s">
        <v>1531</v>
      </c>
      <c r="E47" s="235" t="s">
        <v>1532</v>
      </c>
      <c r="F47" s="41" t="s">
        <v>1533</v>
      </c>
      <c r="G47" s="2479" t="s">
        <v>1534</v>
      </c>
      <c r="H47" s="2893"/>
      <c r="I47" s="905"/>
      <c r="J47" s="2761"/>
      <c r="K47" s="2451">
        <v>2</v>
      </c>
      <c r="L47" s="3438" t="s">
        <v>2503</v>
      </c>
      <c r="M47" s="3438"/>
      <c r="N47" s="3440">
        <f>'数据-取费表'!B2</f>
        <v>44701</v>
      </c>
      <c r="O47" s="3440"/>
      <c r="P47" s="3440"/>
      <c r="Q47" s="1236"/>
    </row>
    <row r="48" spans="1:17" ht="26.4">
      <c r="A48" s="3513" t="s">
        <v>1536</v>
      </c>
      <c r="B48" s="3447"/>
      <c r="C48" s="3447"/>
      <c r="D48" s="12">
        <f ca="1">IF(H48="情况1",0,IF(H48="情况2",D52,IF(H48="情况3",D53,IF(H48="情况4",D54))))</f>
        <v>615096</v>
      </c>
      <c r="E48" s="2017" t="str">
        <f>IF(H48="情况4","(销售额-原购置价)×税（费）率","销售额×税（费）率")</f>
        <v>销售额×税（费）率</v>
      </c>
      <c r="F48" s="2480">
        <f>IF(H48="情况1","免征",'数据-取费表'!E29)</f>
        <v>5.5000000000000007E-2</v>
      </c>
      <c r="G48" s="2481" t="s">
        <v>1537</v>
      </c>
      <c r="H48" s="2482" t="s">
        <v>1538</v>
      </c>
      <c r="I48" s="2893"/>
      <c r="J48" s="2768"/>
      <c r="K48" s="2451">
        <v>3</v>
      </c>
      <c r="L48" s="3438" t="s">
        <v>2504</v>
      </c>
      <c r="M48" s="3438"/>
      <c r="N48" s="3439">
        <f ca="1">I102</f>
        <v>11742745</v>
      </c>
      <c r="O48" s="3439"/>
      <c r="P48" s="3439"/>
      <c r="Q48" s="1236"/>
    </row>
    <row r="49" spans="1:17" ht="25.5" customHeight="1">
      <c r="A49" s="2016" t="s">
        <v>1540</v>
      </c>
      <c r="B49" s="3486" t="s">
        <v>1541</v>
      </c>
      <c r="C49" s="3486"/>
      <c r="D49" s="2483">
        <v>0</v>
      </c>
      <c r="E49" s="261" t="s">
        <v>1542</v>
      </c>
      <c r="F49" s="2484" t="s">
        <v>48</v>
      </c>
      <c r="G49" s="3428"/>
      <c r="H49" s="2485" t="s">
        <v>2578</v>
      </c>
      <c r="I49" s="2486"/>
      <c r="J49" s="2769"/>
      <c r="K49" s="2451">
        <v>4</v>
      </c>
      <c r="L49" s="3438" t="str">
        <f>IF(项目基本情况!F5="房地产抵押价值","房地产抵押价值","抵押担保权已注销时的房地产抵押价值")</f>
        <v>抵押担保权已注销时的房地产抵押价值</v>
      </c>
      <c r="M49" s="3438"/>
      <c r="N49" s="3439">
        <f ca="1">IF(项目基本情况!F5="房地产抵押价值",I110,I112)</f>
        <v>11742745</v>
      </c>
      <c r="O49" s="3439"/>
      <c r="P49" s="3439"/>
      <c r="Q49" s="1236"/>
    </row>
    <row r="50" spans="1:17" ht="25.5" customHeight="1">
      <c r="A50" s="2006"/>
      <c r="B50" s="3486" t="s">
        <v>1543</v>
      </c>
      <c r="C50" s="3486"/>
      <c r="D50" s="2487"/>
      <c r="E50" s="269"/>
      <c r="F50" s="2484"/>
      <c r="G50" s="3429"/>
      <c r="H50" s="2488" t="s">
        <v>2497</v>
      </c>
      <c r="I50" s="2486"/>
      <c r="J50" s="2769"/>
      <c r="K50" s="3438" t="s">
        <v>2505</v>
      </c>
      <c r="L50" s="3438"/>
      <c r="M50" s="3438"/>
      <c r="N50" s="3438"/>
      <c r="O50" s="3438"/>
      <c r="P50" s="3438"/>
      <c r="Q50" s="1236"/>
    </row>
    <row r="51" spans="1:17" ht="20.399999999999999" customHeight="1">
      <c r="A51" s="2489"/>
      <c r="B51" s="3486" t="s">
        <v>1545</v>
      </c>
      <c r="C51" s="3486"/>
      <c r="D51" s="1028"/>
      <c r="E51" s="264"/>
      <c r="F51" s="2484"/>
      <c r="G51" s="3430"/>
      <c r="H51" s="2488" t="s">
        <v>2498</v>
      </c>
      <c r="I51" s="2486"/>
      <c r="J51" s="2769"/>
      <c r="K51" s="2452" t="s">
        <v>2506</v>
      </c>
      <c r="L51" s="3438" t="s">
        <v>2507</v>
      </c>
      <c r="M51" s="3438"/>
      <c r="N51" s="2452" t="s">
        <v>2508</v>
      </c>
      <c r="O51" s="2452" t="s">
        <v>2509</v>
      </c>
      <c r="P51" s="2452" t="s">
        <v>2510</v>
      </c>
      <c r="Q51" s="1236"/>
    </row>
    <row r="52" spans="1:17" ht="24" customHeight="1">
      <c r="A52" s="2007" t="s">
        <v>1551</v>
      </c>
      <c r="B52" s="3486" t="s">
        <v>1552</v>
      </c>
      <c r="C52" s="3486"/>
      <c r="D52" s="1028">
        <f ca="1">ROUND(D45*'数据-取费表'!E29/(1+'数据-取费表'!F30),0)</f>
        <v>615096</v>
      </c>
      <c r="E52" s="2017" t="s">
        <v>1553</v>
      </c>
      <c r="F52" s="2490">
        <f>'数据-取费表'!E29</f>
        <v>5.5000000000000007E-2</v>
      </c>
      <c r="G52" s="2491"/>
      <c r="H52" s="905"/>
      <c r="I52" s="2894"/>
      <c r="J52" s="2769"/>
      <c r="K52" s="2451">
        <v>1</v>
      </c>
      <c r="L52" s="3427" t="s">
        <v>2511</v>
      </c>
      <c r="M52" s="3427"/>
      <c r="N52" s="2453">
        <f ca="1">D48</f>
        <v>615096</v>
      </c>
      <c r="O52" s="2451" t="str">
        <f>E48</f>
        <v>销售额×税（费）率</v>
      </c>
      <c r="P52" s="2454">
        <f>F48</f>
        <v>5.5000000000000007E-2</v>
      </c>
      <c r="Q52" s="1236"/>
    </row>
    <row r="53" spans="1:17" ht="12" customHeight="1">
      <c r="A53" s="2007" t="s">
        <v>1555</v>
      </c>
      <c r="B53" s="3498" t="s">
        <v>2589</v>
      </c>
      <c r="C53" s="3487"/>
      <c r="D53" s="1028">
        <f ca="1">ROUND(D45*'数据-取费表'!E29/(1+'数据-取费表'!F30),0)</f>
        <v>615096</v>
      </c>
      <c r="E53" s="2017" t="s">
        <v>1553</v>
      </c>
      <c r="F53" s="2490">
        <f>'数据-取费表'!E29</f>
        <v>5.5000000000000007E-2</v>
      </c>
      <c r="G53" s="2491"/>
      <c r="H53" s="905"/>
      <c r="I53" s="2894"/>
      <c r="J53" s="2769"/>
      <c r="K53" s="2451">
        <v>2</v>
      </c>
      <c r="L53" s="3427" t="s">
        <v>2512</v>
      </c>
      <c r="M53" s="3427"/>
      <c r="N53" s="2453">
        <f t="shared" ref="N53:P54" si="1">D55</f>
        <v>0</v>
      </c>
      <c r="O53" s="2451" t="str">
        <f t="shared" si="1"/>
        <v>销售额×税（费）率</v>
      </c>
      <c r="P53" s="2454" t="str">
        <f t="shared" si="1"/>
        <v>免征</v>
      </c>
      <c r="Q53" s="1236"/>
    </row>
    <row r="54" spans="1:17" ht="12" customHeight="1">
      <c r="A54" s="2007" t="s">
        <v>1557</v>
      </c>
      <c r="B54" s="3498" t="s">
        <v>2590</v>
      </c>
      <c r="C54" s="3487"/>
      <c r="D54" s="1028">
        <f ca="1">C68</f>
        <v>615096</v>
      </c>
      <c r="E54" s="264" t="s">
        <v>1558</v>
      </c>
      <c r="F54" s="2490">
        <f>'数据-取费表'!E29</f>
        <v>5.5000000000000007E-2</v>
      </c>
      <c r="G54" s="2491"/>
      <c r="H54" s="2895"/>
      <c r="I54" s="2894"/>
      <c r="J54" s="2769"/>
      <c r="K54" s="2451">
        <v>3</v>
      </c>
      <c r="L54" s="3427" t="s">
        <v>2513</v>
      </c>
      <c r="M54" s="3427"/>
      <c r="N54" s="2453">
        <f t="shared" si="1"/>
        <v>0</v>
      </c>
      <c r="O54" s="2451" t="str">
        <f t="shared" si="1"/>
        <v>增值额×税（费）率</v>
      </c>
      <c r="P54" s="2455" t="str">
        <f t="shared" si="1"/>
        <v>免征</v>
      </c>
      <c r="Q54" s="1236"/>
    </row>
    <row r="55" spans="1:17" ht="24" customHeight="1">
      <c r="A55" s="3451" t="s">
        <v>1560</v>
      </c>
      <c r="B55" s="3447"/>
      <c r="C55" s="3447"/>
      <c r="D55" s="12">
        <f>IF(H55="个人住宅",0,ROUND(D45*I55,0))</f>
        <v>0</v>
      </c>
      <c r="E55" s="2017" t="s">
        <v>1561</v>
      </c>
      <c r="F55" s="2490" t="str">
        <f>IF(H55="正常",I55,"免征")</f>
        <v>免征</v>
      </c>
      <c r="G55" s="2491"/>
      <c r="H55" s="2482" t="s">
        <v>2494</v>
      </c>
      <c r="I55" s="74">
        <f>'数据-取费表'!E37</f>
        <v>5.0000000000000001E-4</v>
      </c>
      <c r="J55" s="2769"/>
      <c r="K55" s="2451" t="str">
        <f>IF(H59="非个人房产","",4)</f>
        <v/>
      </c>
      <c r="L55" s="3427" t="str">
        <f>IF(H59="非个人房产","——","个人所得税")</f>
        <v>——</v>
      </c>
      <c r="M55" s="3427"/>
      <c r="N55" s="2456" t="str">
        <f>D59</f>
        <v>——</v>
      </c>
      <c r="O55" s="2457" t="str">
        <f>E59</f>
        <v>——</v>
      </c>
      <c r="P55" s="2458" t="str">
        <f>F59</f>
        <v>——</v>
      </c>
      <c r="Q55" s="1236"/>
    </row>
    <row r="56" spans="1:17" ht="25.2">
      <c r="A56" s="3451" t="s">
        <v>1563</v>
      </c>
      <c r="B56" s="3447"/>
      <c r="C56" s="3447"/>
      <c r="D56" s="12">
        <f>IF(H56="个人住宅",D57,D58)</f>
        <v>0</v>
      </c>
      <c r="E56" s="2017" t="s">
        <v>1564</v>
      </c>
      <c r="F56" s="2490" t="str">
        <f>IF(H56="正常",F58,"免征")</f>
        <v>免征</v>
      </c>
      <c r="G56" s="2492" t="s">
        <v>1565</v>
      </c>
      <c r="H56" s="2493" t="s">
        <v>2494</v>
      </c>
      <c r="I56" s="2896"/>
      <c r="J56" s="2769"/>
      <c r="K56" s="2451" t="str">
        <f>IF(项目基本情况!I6="上海银行",IF(K55="",4,K55+1),"")</f>
        <v/>
      </c>
      <c r="L56" s="3425" t="str">
        <f>IF(项目基本情况!I6="上海银行","其他处置费用","")</f>
        <v/>
      </c>
      <c r="M56" s="3445"/>
      <c r="N56" s="2453" t="str">
        <f>IF(项目基本情况!I6="上海银行",N69,"")</f>
        <v/>
      </c>
      <c r="O56" s="3425" t="str">
        <f>IF(项目基本情况!I6="上海银行","包含处置中涉及的律师、诉讼、拍卖、评估等费用","")</f>
        <v/>
      </c>
      <c r="P56" s="3426"/>
      <c r="Q56" s="1236"/>
    </row>
    <row r="57" spans="1:17" ht="13.2">
      <c r="A57" s="2007" t="s">
        <v>1540</v>
      </c>
      <c r="B57" s="3498" t="s">
        <v>1566</v>
      </c>
      <c r="C57" s="3487"/>
      <c r="D57" s="2483">
        <v>0</v>
      </c>
      <c r="E57" s="261" t="s">
        <v>1542</v>
      </c>
      <c r="F57" s="235"/>
      <c r="G57" s="2491"/>
      <c r="H57" s="2896"/>
      <c r="I57" s="2896"/>
      <c r="J57" s="2769"/>
      <c r="K57" s="3427">
        <f>IF(AND(K55="",K56=""),4,IF(项目基本情况!I6="上海银行",K56+1,K55+1))</f>
        <v>4</v>
      </c>
      <c r="L57" s="3427" t="s">
        <v>2514</v>
      </c>
      <c r="M57" s="2459" t="s">
        <v>2515</v>
      </c>
      <c r="N57" s="2460"/>
      <c r="O57" s="2461">
        <f ca="1">SUMIF(N52:N56,"&lt;9e307")</f>
        <v>615096</v>
      </c>
      <c r="P57" s="2462"/>
      <c r="Q57" s="1234">
        <f ca="1">O57/N49</f>
        <v>5.2380938187791694E-2</v>
      </c>
    </row>
    <row r="58" spans="1:17" ht="25.2">
      <c r="A58" s="2007" t="s">
        <v>1551</v>
      </c>
      <c r="B58" s="3498" t="s">
        <v>1569</v>
      </c>
      <c r="C58" s="3486"/>
      <c r="D58" s="12">
        <f ca="1">IF(H58="转让取得",C81,C97)</f>
        <v>6657018</v>
      </c>
      <c r="E58" s="2017" t="s">
        <v>1564</v>
      </c>
      <c r="F58" s="235" t="s">
        <v>48</v>
      </c>
      <c r="G58" s="2491"/>
      <c r="H58" s="2493" t="s">
        <v>1570</v>
      </c>
      <c r="I58" s="2896"/>
      <c r="J58" s="2769"/>
      <c r="K58" s="3427"/>
      <c r="L58" s="3427"/>
      <c r="M58" s="2459" t="s">
        <v>2516</v>
      </c>
      <c r="N58" s="2463"/>
      <c r="O58" s="2464" t="str">
        <f ca="1">IF(H19="元",NUMBERSTRING(INT(O57),2)&amp;"元整",NUMBERSTRING(INT(O57*10000),2)&amp;"元整")</f>
        <v>陆拾壹万伍仟零玖拾陆元整</v>
      </c>
      <c r="P58" s="2465"/>
      <c r="Q58" s="1236"/>
    </row>
    <row r="59" spans="1:17" ht="24.6" thickBot="1">
      <c r="A59" s="3514" t="s">
        <v>1572</v>
      </c>
      <c r="B59" s="3515"/>
      <c r="C59" s="3515"/>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39" t="s">
        <v>2569</v>
      </c>
      <c r="H59" s="2021" t="s">
        <v>2579</v>
      </c>
      <c r="I59" s="2798" t="s">
        <v>2580</v>
      </c>
      <c r="J59" s="2769"/>
      <c r="K59" s="3480">
        <f>K57+1</f>
        <v>5</v>
      </c>
      <c r="L59" s="3427" t="s">
        <v>2517</v>
      </c>
      <c r="M59" s="2451" t="s">
        <v>2515</v>
      </c>
      <c r="N59" s="2466"/>
      <c r="O59" s="2467">
        <f ca="1">N49-O57</f>
        <v>11127649</v>
      </c>
      <c r="P59" s="2468"/>
      <c r="Q59" s="1236"/>
    </row>
    <row r="60" spans="1:17" ht="12" customHeight="1">
      <c r="A60" s="1382"/>
      <c r="B60" s="1386"/>
      <c r="C60" s="1386"/>
      <c r="D60" s="1386"/>
      <c r="E60" s="770"/>
      <c r="F60" s="2897"/>
      <c r="G60" s="2897"/>
      <c r="H60" s="2898"/>
      <c r="I60" s="31"/>
      <c r="K60" s="3481"/>
      <c r="L60" s="3427"/>
      <c r="M60" s="2459" t="s">
        <v>2516</v>
      </c>
      <c r="N60" s="2463"/>
      <c r="O60" s="2464" t="str">
        <f ca="1">IF(H19="元",NUMBERSTRING(INT(O59),2)&amp;"元整",NUMBERSTRING(INT(O59*10000),2)&amp;"元整")</f>
        <v>壹仟壹佰壹拾贰万柒仟陆佰肆拾玖元整</v>
      </c>
      <c r="P60" s="2465"/>
      <c r="Q60" s="1236"/>
    </row>
    <row r="61" spans="1:17" ht="13.8" thickBot="1">
      <c r="A61" s="3516" t="s">
        <v>1574</v>
      </c>
      <c r="B61" s="3516"/>
      <c r="C61" s="3516"/>
      <c r="D61" s="3516"/>
      <c r="E61" s="3516"/>
      <c r="F61" s="2897"/>
      <c r="G61" s="2897"/>
      <c r="H61" s="2899"/>
      <c r="I61" s="31"/>
      <c r="K61" s="2451">
        <f>K59+1</f>
        <v>6</v>
      </c>
      <c r="L61" s="3427" t="s">
        <v>2518</v>
      </c>
      <c r="M61" s="3427"/>
      <c r="N61" s="2469"/>
      <c r="O61" s="2470">
        <f ca="1">IF(H19="元",ROUND(O59/项目基本情况!C12,0),ROUND(O59*10000/项目基本情况!C12,0))</f>
        <v>42333</v>
      </c>
      <c r="P61" s="2471"/>
      <c r="Q61" s="1236"/>
    </row>
    <row r="62" spans="1:17" ht="13.2">
      <c r="A62" s="3465" t="s">
        <v>1576</v>
      </c>
      <c r="B62" s="3466"/>
      <c r="C62" s="1532"/>
      <c r="D62" s="1532" t="s">
        <v>1577</v>
      </c>
      <c r="E62" s="45" t="s">
        <v>1578</v>
      </c>
      <c r="F62" s="2897"/>
      <c r="G62" s="2897"/>
      <c r="H62" s="2899"/>
      <c r="I62" s="31"/>
      <c r="K62" s="2472"/>
      <c r="L62" s="2472"/>
      <c r="M62" s="2472"/>
      <c r="N62" s="2472"/>
      <c r="O62" s="2472"/>
      <c r="P62" s="2472"/>
      <c r="Q62" s="1236"/>
    </row>
    <row r="63" spans="1:17" ht="13.2">
      <c r="A63" s="46">
        <v>1</v>
      </c>
      <c r="B63" s="47" t="s">
        <v>1579</v>
      </c>
      <c r="C63" s="2700">
        <f ca="1">ROUND((C64+C65)/(1+'数据-取费表'!F30),0)</f>
        <v>11183567</v>
      </c>
      <c r="D63" s="47"/>
      <c r="E63" s="48"/>
      <c r="F63" s="2897"/>
      <c r="G63" s="2897"/>
      <c r="H63" s="2899"/>
      <c r="I63" s="31"/>
      <c r="K63" s="3446" t="s">
        <v>2519</v>
      </c>
      <c r="L63" s="2473" t="s">
        <v>2520</v>
      </c>
      <c r="M63" s="2473">
        <f ca="1">IF(N49&gt;10000,N49*0.5%,IF(AND(N49&gt;1000,N49&lt;=10000),N49*1%,IF(AND(N49&gt;100,N49&lt;=1000),N49*3%,IF(AND(N49&gt;10,N49&lt;=100),N49*5%,N49*8%))))</f>
        <v>58713.724999999999</v>
      </c>
      <c r="N63" s="2474">
        <f ca="1">ROUND(M63,1)</f>
        <v>58713.7</v>
      </c>
      <c r="O63" s="2472"/>
      <c r="P63" s="2472"/>
      <c r="Q63" s="1236"/>
    </row>
    <row r="64" spans="1:17" ht="13.2">
      <c r="A64" s="49" t="s">
        <v>71</v>
      </c>
      <c r="B64" s="50" t="s">
        <v>1582</v>
      </c>
      <c r="C64" s="2701">
        <f ca="1">D45</f>
        <v>11742745</v>
      </c>
      <c r="D64" s="50" t="s">
        <v>41</v>
      </c>
      <c r="E64" s="52"/>
      <c r="F64" s="2897"/>
      <c r="G64" s="2897"/>
      <c r="H64" s="2899"/>
      <c r="I64" s="31"/>
      <c r="K64" s="3446"/>
      <c r="L64" s="2473" t="s">
        <v>2521</v>
      </c>
      <c r="M64" s="2473">
        <f ca="1">IF(N49&gt;2000,N49*0.5%,IF(AND(N49&gt;1000,N49&lt;=2000),N49*0.6%,IF(AND(N49&gt;500,N49&lt;=1000),N49*0.7%,IF(AND(N49&gt;200,N49&lt;=500),N49*0.8%,IF(AND(N49&gt;100,N49&lt;=200),N49*0.9%,IF(AND(N49&gt;50,N49&lt;=100),N49*1%,IF(AND(N49&gt;20,N49&lt;=50),N49*1.5%,IF(AND(N49&gt;10,N49&lt;=20),N49*2%,IF(AND(N49&gt;1,N49&lt;=10),N49*2.5%)))))))))</f>
        <v>58713.724999999999</v>
      </c>
      <c r="N64" s="2474">
        <f t="shared" ref="N64:N65" ca="1" si="2">ROUND(M64,1)</f>
        <v>58713.7</v>
      </c>
      <c r="O64" s="2472" t="s">
        <v>2522</v>
      </c>
      <c r="P64" s="2472"/>
      <c r="Q64" s="1236"/>
    </row>
    <row r="65" spans="1:36" ht="13.2">
      <c r="A65" s="49" t="s">
        <v>72</v>
      </c>
      <c r="B65" s="50" t="s">
        <v>1585</v>
      </c>
      <c r="C65" s="2702"/>
      <c r="D65" s="50"/>
      <c r="E65" s="52"/>
      <c r="F65" s="2897"/>
      <c r="G65" s="2897"/>
      <c r="H65" s="2899"/>
      <c r="I65" s="31"/>
      <c r="K65" s="3446"/>
      <c r="L65" s="2473" t="s">
        <v>2523</v>
      </c>
      <c r="M65" s="2473">
        <f ca="1">IF(N49&gt;1000,N49*0.1%,IF(AND(N49&gt;500,N49&lt;=1000),N49*0.5%,IF(AND(N49&gt;50,N49&lt;=500),N49*1%,IF(AND(N49&gt;1,N49&lt;=50),N49*1.5%))))</f>
        <v>11742.745000000001</v>
      </c>
      <c r="N65" s="2474">
        <f t="shared" ca="1" si="2"/>
        <v>11742.7</v>
      </c>
      <c r="O65" s="2472" t="s">
        <v>2522</v>
      </c>
      <c r="P65" s="2472"/>
      <c r="Q65" s="1236"/>
    </row>
    <row r="66" spans="1:36" ht="25.2">
      <c r="A66" s="53" t="s">
        <v>47</v>
      </c>
      <c r="B66" s="54" t="s">
        <v>1587</v>
      </c>
      <c r="C66" s="2703"/>
      <c r="D66" s="54" t="s">
        <v>41</v>
      </c>
      <c r="E66" s="1244" t="s">
        <v>1588</v>
      </c>
      <c r="F66" s="2897"/>
      <c r="G66" s="2897"/>
      <c r="H66" s="2899"/>
      <c r="I66" s="31"/>
      <c r="K66" s="3446"/>
      <c r="L66" s="2473" t="s">
        <v>2524</v>
      </c>
      <c r="M66" s="2473">
        <f ca="1">N49*0.5%</f>
        <v>58713.724999999999</v>
      </c>
      <c r="N66" s="2474">
        <f ca="1">IF(M66&gt;0.5,0.5,ROUND(M66,0))</f>
        <v>0.5</v>
      </c>
      <c r="O66" s="2472" t="s">
        <v>2525</v>
      </c>
      <c r="P66" s="2472"/>
      <c r="Q66" s="1236"/>
    </row>
    <row r="67" spans="1:36" ht="13.2">
      <c r="A67" s="53" t="s">
        <v>42</v>
      </c>
      <c r="B67" s="54" t="s">
        <v>1591</v>
      </c>
      <c r="C67" s="2704">
        <f ca="1">C63-C66</f>
        <v>11183567</v>
      </c>
      <c r="D67" s="50" t="s">
        <v>41</v>
      </c>
      <c r="E67" s="52"/>
      <c r="F67" s="2897"/>
      <c r="G67" s="2897"/>
      <c r="H67" s="2899"/>
      <c r="I67" s="31"/>
      <c r="K67" s="3446"/>
      <c r="L67" s="2473" t="s">
        <v>2526</v>
      </c>
      <c r="M67" s="2473">
        <f ca="1">IF(N49&gt;=10000,(8.25+(N49-10000)*0.01%),IF(AND(N49&gt;=8000,N49&lt;10000),(7.85+(N49-8000)*0.02%),IF(AND(N49&gt;=5000,N49&lt;8000),(6.65+(N49-5000)*0.04%),IF(AND(N49&gt;=2000,N49&lt;5000),(4.25+(PN49-2000)*0.08%),IF(AND(N49&gt;=1000,N49&lt;2000),(2.75+(N49-1000)*0.15%),IF(AND(N49&gt;=100,N49&lt;1000),(0.5+(N49-100)*0.25%),IF(AND(N49&gt;0,N49&lt;100),N49*0.5%)))))))</f>
        <v>1181.5245</v>
      </c>
      <c r="N67" s="2474">
        <f ca="1">ROUND(M67*0.9,1)</f>
        <v>1063.4000000000001</v>
      </c>
      <c r="O67" s="2472"/>
      <c r="P67" s="2472"/>
      <c r="Q67" s="1236"/>
    </row>
    <row r="68" spans="1:36" ht="13.8" thickBot="1">
      <c r="A68" s="55" t="s">
        <v>46</v>
      </c>
      <c r="B68" s="56" t="s">
        <v>1593</v>
      </c>
      <c r="C68" s="2705">
        <f ca="1">IF(C67&lt;=0,0,ROUND(C67*D68,0))</f>
        <v>615096</v>
      </c>
      <c r="D68" s="2167">
        <f>'数据-取费表'!E29</f>
        <v>5.5000000000000007E-2</v>
      </c>
      <c r="E68" s="57"/>
      <c r="F68" s="2897"/>
      <c r="G68" s="2897"/>
      <c r="H68" s="2899"/>
      <c r="I68" s="31"/>
      <c r="K68" s="3446"/>
      <c r="L68" s="2473" t="s">
        <v>2527</v>
      </c>
      <c r="M68" s="2473">
        <f ca="1">IF(N49&gt;10000,N49*0.5%,IF(AND(N49&gt;5000,N49&lt;=10000),N49*1%,IF(AND(N49&gt;1000,N49&lt;=5000),N49*2%,IF(AND(N49&gt;200,N49&lt;=1000),N49*3%,N49*5%))))</f>
        <v>58713.724999999999</v>
      </c>
      <c r="N68" s="2474">
        <f ca="1">ROUND(M68,1)</f>
        <v>58713.7</v>
      </c>
      <c r="O68" s="2472"/>
      <c r="P68" s="2472"/>
      <c r="Q68" s="1236"/>
    </row>
    <row r="69" spans="1:36" s="1390" customFormat="1" ht="7.5" customHeight="1">
      <c r="A69" s="1402"/>
      <c r="B69" s="1403"/>
      <c r="C69" s="1404"/>
      <c r="D69" s="1405"/>
      <c r="E69" s="1406"/>
      <c r="F69" s="770"/>
      <c r="G69" s="770"/>
      <c r="H69" s="1395"/>
      <c r="I69" s="1386"/>
      <c r="J69" s="2757"/>
      <c r="K69" s="3446"/>
      <c r="L69" s="2473" t="s">
        <v>54</v>
      </c>
      <c r="M69" s="2473"/>
      <c r="N69" s="2474">
        <f ca="1">ROUND(SUM(N63:N68),0)</f>
        <v>188948</v>
      </c>
      <c r="O69" s="2475">
        <f ca="1">N69/N49</f>
        <v>1.6090615950529453E-2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08" customFormat="1" ht="14.4" thickBot="1">
      <c r="A70" s="3467" t="s">
        <v>1596</v>
      </c>
      <c r="B70" s="3468"/>
      <c r="C70" s="3468"/>
      <c r="D70" s="3468"/>
      <c r="E70" s="3468"/>
      <c r="F70" s="3468"/>
      <c r="G70" s="3468"/>
      <c r="H70" s="3468"/>
      <c r="I70" s="1407"/>
      <c r="J70" s="2770"/>
      <c r="P70" s="934"/>
      <c r="Q70" s="934"/>
      <c r="R70" s="934"/>
      <c r="S70" s="934"/>
      <c r="T70" s="934"/>
      <c r="U70" s="934"/>
      <c r="V70" s="934"/>
      <c r="W70" s="934"/>
      <c r="X70" s="934"/>
      <c r="Y70" s="934"/>
      <c r="Z70" s="934"/>
      <c r="AA70" s="934"/>
      <c r="AB70" s="1409"/>
      <c r="AC70" s="1409"/>
      <c r="AD70" s="1409"/>
      <c r="AE70" s="1409"/>
      <c r="AF70" s="1409"/>
      <c r="AG70" s="1409"/>
      <c r="AH70" s="1409"/>
      <c r="AI70" s="1409"/>
      <c r="AJ70" s="1409"/>
    </row>
    <row r="71" spans="1:36" s="1408" customFormat="1" ht="13.8">
      <c r="A71" s="3465" t="s">
        <v>1576</v>
      </c>
      <c r="B71" s="3466"/>
      <c r="C71" s="1532"/>
      <c r="D71" s="1532" t="s">
        <v>1577</v>
      </c>
      <c r="E71" s="58" t="s">
        <v>1578</v>
      </c>
      <c r="F71" s="59"/>
      <c r="G71" s="59"/>
      <c r="H71" s="60"/>
      <c r="I71" s="1410"/>
      <c r="J71" s="2771"/>
      <c r="P71" s="934"/>
      <c r="Q71" s="934"/>
      <c r="R71" s="934"/>
      <c r="S71" s="934"/>
      <c r="T71" s="934"/>
      <c r="U71" s="934"/>
      <c r="V71" s="934"/>
      <c r="W71" s="934"/>
      <c r="X71" s="934"/>
      <c r="Y71" s="934"/>
      <c r="Z71" s="934"/>
      <c r="AA71" s="934"/>
      <c r="AB71" s="1409"/>
      <c r="AC71" s="1409"/>
      <c r="AD71" s="1409"/>
      <c r="AE71" s="1409"/>
      <c r="AF71" s="1409"/>
      <c r="AG71" s="1409"/>
      <c r="AH71" s="1409"/>
      <c r="AI71" s="1409"/>
      <c r="AJ71" s="1409"/>
    </row>
    <row r="72" spans="1:36" s="1408" customFormat="1" ht="13.8">
      <c r="A72" s="61">
        <v>1</v>
      </c>
      <c r="B72" s="54" t="s">
        <v>1597</v>
      </c>
      <c r="C72" s="2704">
        <f ca="1">ROUND(D45/(1+'数据-取费表'!F30),0)</f>
        <v>11183567</v>
      </c>
      <c r="D72" s="50" t="s">
        <v>41</v>
      </c>
      <c r="E72" s="12" t="s">
        <v>1598</v>
      </c>
      <c r="F72" s="2014"/>
      <c r="G72" s="2014"/>
      <c r="H72" s="62"/>
      <c r="I72" s="1410"/>
      <c r="J72" s="2771"/>
      <c r="P72" s="934"/>
      <c r="Q72" s="934"/>
      <c r="R72" s="934"/>
      <c r="S72" s="934"/>
      <c r="T72" s="934"/>
      <c r="U72" s="934"/>
      <c r="V72" s="934"/>
      <c r="W72" s="934"/>
      <c r="X72" s="934"/>
      <c r="Y72" s="934"/>
      <c r="Z72" s="934"/>
      <c r="AA72" s="934"/>
      <c r="AB72" s="1409"/>
      <c r="AC72" s="1409"/>
      <c r="AD72" s="1409"/>
      <c r="AE72" s="1409"/>
      <c r="AF72" s="1409"/>
      <c r="AG72" s="1409"/>
      <c r="AH72" s="1409"/>
      <c r="AI72" s="1409"/>
      <c r="AJ72" s="1409"/>
    </row>
    <row r="73" spans="1:36" s="1408" customFormat="1" ht="13.8">
      <c r="A73" s="63">
        <v>2</v>
      </c>
      <c r="B73" s="41" t="s">
        <v>1599</v>
      </c>
      <c r="C73" s="2704">
        <f ca="1">C74+C78</f>
        <v>55918</v>
      </c>
      <c r="D73" s="50" t="s">
        <v>41</v>
      </c>
      <c r="E73" s="2013"/>
      <c r="F73" s="2014"/>
      <c r="G73" s="2014"/>
      <c r="H73" s="62"/>
      <c r="I73" s="1410"/>
      <c r="J73" s="2771"/>
      <c r="P73" s="934"/>
      <c r="Q73" s="934"/>
      <c r="R73" s="934"/>
      <c r="S73" s="934"/>
      <c r="T73" s="934"/>
      <c r="U73" s="934"/>
      <c r="V73" s="934"/>
      <c r="W73" s="934"/>
      <c r="X73" s="934"/>
      <c r="Y73" s="934"/>
      <c r="Z73" s="934"/>
      <c r="AA73" s="934"/>
      <c r="AB73" s="1409"/>
      <c r="AC73" s="1409"/>
      <c r="AD73" s="1409"/>
      <c r="AE73" s="1409"/>
      <c r="AF73" s="1409"/>
      <c r="AG73" s="1409"/>
      <c r="AH73" s="1409"/>
      <c r="AI73" s="1409"/>
      <c r="AJ73" s="1409"/>
    </row>
    <row r="74" spans="1:36" s="1408" customFormat="1" ht="24">
      <c r="A74" s="49" t="s">
        <v>73</v>
      </c>
      <c r="B74" s="50" t="s">
        <v>1600</v>
      </c>
      <c r="C74" s="50">
        <f>ROUND(IF(G77="2016年5月1日后购买",C75/(1+'数据-取费表'!F30)+C76+C77,C75+C76+C77),0)</f>
        <v>0</v>
      </c>
      <c r="D74" s="50" t="s">
        <v>41</v>
      </c>
      <c r="E74" s="2013"/>
      <c r="F74" s="2014"/>
      <c r="G74" s="2014"/>
      <c r="H74" s="62"/>
      <c r="I74" s="1410"/>
      <c r="J74" s="2771"/>
      <c r="P74" s="934"/>
      <c r="Q74" s="934"/>
      <c r="R74" s="934"/>
      <c r="S74" s="934"/>
      <c r="T74" s="934"/>
      <c r="U74" s="934"/>
      <c r="V74" s="934"/>
      <c r="W74" s="934"/>
      <c r="X74" s="934"/>
      <c r="Y74" s="934"/>
      <c r="Z74" s="934"/>
      <c r="AA74" s="934"/>
      <c r="AB74" s="1409"/>
      <c r="AC74" s="1409"/>
      <c r="AD74" s="1409"/>
      <c r="AE74" s="1409"/>
      <c r="AF74" s="1409"/>
      <c r="AG74" s="1409"/>
      <c r="AH74" s="1409"/>
      <c r="AI74" s="1409"/>
      <c r="AJ74" s="1409"/>
    </row>
    <row r="75" spans="1:36" s="1408" customFormat="1" ht="28.8">
      <c r="A75" s="49" t="s">
        <v>74</v>
      </c>
      <c r="B75" s="50" t="s">
        <v>1601</v>
      </c>
      <c r="C75" s="2193"/>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09"/>
      <c r="AC75" s="1409"/>
      <c r="AD75" s="1409"/>
      <c r="AE75" s="1409"/>
      <c r="AF75" s="1409"/>
      <c r="AG75" s="1409"/>
      <c r="AH75" s="1409"/>
      <c r="AI75" s="1409"/>
      <c r="AJ75" s="1409"/>
    </row>
    <row r="76" spans="1:36" s="1408" customFormat="1" ht="24.75" customHeight="1">
      <c r="A76" s="49" t="s">
        <v>75</v>
      </c>
      <c r="B76" s="65" t="s">
        <v>1605</v>
      </c>
      <c r="C76" s="50">
        <f>IF(F75="购房发票",ROUND(C75*H75*D76,0),0)</f>
        <v>0</v>
      </c>
      <c r="D76" s="2710">
        <v>0.05</v>
      </c>
      <c r="E76" s="3498" t="s">
        <v>1606</v>
      </c>
      <c r="F76" s="3486"/>
      <c r="G76" s="3486"/>
      <c r="H76" s="3499"/>
      <c r="I76" s="1410"/>
      <c r="J76" s="2771"/>
      <c r="P76" s="934"/>
      <c r="Q76" s="934"/>
      <c r="R76" s="934"/>
      <c r="S76" s="934"/>
      <c r="T76" s="934"/>
      <c r="U76" s="934"/>
      <c r="V76" s="934"/>
      <c r="W76" s="934"/>
      <c r="X76" s="934"/>
      <c r="Y76" s="934"/>
      <c r="Z76" s="934"/>
      <c r="AA76" s="934"/>
      <c r="AB76" s="1409"/>
      <c r="AC76" s="1409"/>
      <c r="AD76" s="1409"/>
      <c r="AE76" s="1409"/>
      <c r="AF76" s="1409"/>
      <c r="AG76" s="1409"/>
      <c r="AH76" s="1409"/>
      <c r="AI76" s="1409"/>
      <c r="AJ76" s="1409"/>
    </row>
    <row r="77" spans="1:36" s="1408"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0"/>
      <c r="G77" s="1411" t="s">
        <v>1609</v>
      </c>
      <c r="H77" s="2015" t="str">
        <f>IF(G77="个人买卖住房","免征印花税"," ")</f>
        <v xml:space="preserve"> </v>
      </c>
      <c r="I77" s="1410"/>
      <c r="J77" s="2771"/>
      <c r="K77" s="934"/>
      <c r="L77" s="934"/>
      <c r="M77" s="934"/>
      <c r="N77" s="934"/>
      <c r="O77" s="934"/>
      <c r="P77" s="934"/>
      <c r="Q77" s="934"/>
      <c r="R77" s="934"/>
      <c r="S77" s="934"/>
      <c r="T77" s="934"/>
      <c r="U77" s="934"/>
      <c r="V77" s="934"/>
      <c r="W77" s="934"/>
      <c r="X77" s="934"/>
      <c r="Y77" s="934"/>
      <c r="Z77" s="934"/>
      <c r="AA77" s="934"/>
      <c r="AB77" s="1409"/>
      <c r="AC77" s="1409"/>
      <c r="AD77" s="1409"/>
      <c r="AE77" s="1409"/>
      <c r="AF77" s="1409"/>
      <c r="AG77" s="1409"/>
      <c r="AH77" s="1409"/>
      <c r="AI77" s="1409"/>
      <c r="AJ77" s="1409"/>
    </row>
    <row r="78" spans="1:36" s="1408" customFormat="1" ht="24.75" customHeight="1">
      <c r="A78" s="49" t="s">
        <v>77</v>
      </c>
      <c r="B78" s="50" t="s">
        <v>1610</v>
      </c>
      <c r="C78" s="2712">
        <f ca="1">ROUND(D45*D78/(1+'数据-取费表'!F30),0)</f>
        <v>55918</v>
      </c>
      <c r="D78" s="2713">
        <f>'数据-取费表'!E31</f>
        <v>5.000000000000001E-3</v>
      </c>
      <c r="E78" s="3434" t="s">
        <v>1611</v>
      </c>
      <c r="F78" s="3435"/>
      <c r="G78" s="3435"/>
      <c r="H78" s="3455"/>
      <c r="I78" s="1412"/>
      <c r="J78" s="2773"/>
      <c r="K78" s="934"/>
      <c r="L78" s="934"/>
      <c r="M78" s="934"/>
      <c r="N78" s="934"/>
      <c r="O78" s="934"/>
      <c r="P78" s="934"/>
      <c r="Q78" s="934"/>
      <c r="R78" s="934"/>
      <c r="S78" s="934"/>
      <c r="T78" s="934"/>
      <c r="U78" s="934"/>
      <c r="V78" s="934"/>
      <c r="W78" s="934"/>
      <c r="X78" s="934"/>
      <c r="Y78" s="934"/>
      <c r="Z78" s="934"/>
      <c r="AA78" s="934"/>
      <c r="AB78" s="1409"/>
      <c r="AC78" s="1409"/>
      <c r="AD78" s="1409"/>
      <c r="AE78" s="1409"/>
      <c r="AF78" s="1409"/>
      <c r="AG78" s="1409"/>
      <c r="AH78" s="1409"/>
      <c r="AI78" s="1409"/>
      <c r="AJ78" s="1409"/>
    </row>
    <row r="79" spans="1:36" s="1408" customFormat="1" ht="13.8">
      <c r="A79" s="53" t="s">
        <v>42</v>
      </c>
      <c r="B79" s="54" t="s">
        <v>1612</v>
      </c>
      <c r="C79" s="2704">
        <f ca="1">C72-C73</f>
        <v>11127649</v>
      </c>
      <c r="D79" s="50" t="s">
        <v>41</v>
      </c>
      <c r="E79" s="2013"/>
      <c r="F79" s="2014"/>
      <c r="G79" s="2014"/>
      <c r="H79" s="62"/>
      <c r="I79" s="1410"/>
      <c r="J79" s="2771"/>
      <c r="K79" s="934"/>
      <c r="L79" s="934"/>
      <c r="M79" s="934"/>
      <c r="N79" s="934"/>
      <c r="O79" s="934"/>
      <c r="P79" s="934"/>
      <c r="Q79" s="934"/>
      <c r="R79" s="934"/>
      <c r="S79" s="934"/>
      <c r="T79" s="934"/>
      <c r="U79" s="934"/>
      <c r="V79" s="934"/>
      <c r="W79" s="934"/>
      <c r="X79" s="934"/>
      <c r="Y79" s="934"/>
      <c r="Z79" s="934"/>
      <c r="AA79" s="934"/>
      <c r="AB79" s="1409"/>
      <c r="AC79" s="1409"/>
      <c r="AD79" s="1409"/>
      <c r="AE79" s="1409"/>
      <c r="AF79" s="1409"/>
      <c r="AG79" s="1409"/>
      <c r="AH79" s="1409"/>
      <c r="AI79" s="1409"/>
      <c r="AJ79" s="1409"/>
    </row>
    <row r="80" spans="1:36" s="1408" customFormat="1" ht="24">
      <c r="A80" s="53" t="s">
        <v>43</v>
      </c>
      <c r="B80" s="54" t="s">
        <v>1613</v>
      </c>
      <c r="C80" s="2714">
        <f ca="1">IF(C79&lt;=0,0,C79/C73)</f>
        <v>198.99940985013771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0"/>
      <c r="J80" s="2771"/>
      <c r="K80" s="934"/>
      <c r="L80" s="934"/>
      <c r="M80" s="934"/>
      <c r="N80" s="934"/>
      <c r="O80" s="934"/>
      <c r="P80" s="934"/>
      <c r="Q80" s="934"/>
      <c r="R80" s="934"/>
      <c r="S80" s="934"/>
      <c r="T80" s="934"/>
      <c r="U80" s="934"/>
      <c r="V80" s="934"/>
      <c r="W80" s="934"/>
      <c r="X80" s="934"/>
      <c r="Y80" s="934"/>
      <c r="Z80" s="934"/>
      <c r="AA80" s="934"/>
      <c r="AB80" s="1409"/>
      <c r="AC80" s="1409"/>
      <c r="AD80" s="1409"/>
      <c r="AE80" s="1409"/>
      <c r="AF80" s="1409"/>
      <c r="AG80" s="1409"/>
      <c r="AH80" s="1409"/>
      <c r="AI80" s="1409"/>
      <c r="AJ80" s="1409"/>
    </row>
    <row r="81" spans="1:36" s="1408" customFormat="1" ht="24.6" thickBot="1">
      <c r="A81" s="55" t="s">
        <v>44</v>
      </c>
      <c r="B81" s="56" t="s">
        <v>1614</v>
      </c>
      <c r="C81" s="2715">
        <f ca="1">ROUND(IF(C79&lt;=0,0,IF(C80&gt;=200%,C79*60%-C73*35%,IF(C80&gt;=100%,C79*50%-C73*15%,IF(C80&gt;=50%,C79*40%-C73*5%,IF(C80&lt;50%,C79*30%,0))))),0)</f>
        <v>6657018</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0"/>
      <c r="J81" s="2771"/>
      <c r="K81" s="934"/>
      <c r="L81" s="934"/>
      <c r="M81" s="934"/>
      <c r="N81" s="934"/>
      <c r="O81" s="934"/>
      <c r="P81" s="934"/>
      <c r="Q81" s="934"/>
      <c r="R81" s="934"/>
      <c r="S81" s="934"/>
      <c r="T81" s="934"/>
      <c r="U81" s="934"/>
      <c r="V81" s="934"/>
      <c r="W81" s="934"/>
      <c r="X81" s="934"/>
      <c r="Y81" s="934"/>
      <c r="Z81" s="934"/>
      <c r="AA81" s="934"/>
      <c r="AB81" s="1409"/>
      <c r="AC81" s="1409"/>
      <c r="AD81" s="1409"/>
      <c r="AE81" s="1409"/>
      <c r="AF81" s="1409"/>
      <c r="AG81" s="1409"/>
      <c r="AH81" s="1409"/>
      <c r="AI81" s="1409"/>
      <c r="AJ81" s="1409"/>
    </row>
    <row r="82" spans="1:36" s="1408" customFormat="1" ht="7.5" customHeight="1">
      <c r="A82" s="607"/>
      <c r="B82" s="608"/>
      <c r="C82" s="9"/>
      <c r="D82" s="9"/>
      <c r="E82" s="608"/>
      <c r="F82" s="608"/>
      <c r="G82" s="608"/>
      <c r="H82" s="609"/>
      <c r="I82" s="1412"/>
      <c r="J82" s="2773"/>
      <c r="K82" s="934"/>
      <c r="L82" s="934"/>
      <c r="M82" s="934"/>
      <c r="N82" s="934"/>
      <c r="O82" s="934"/>
      <c r="P82" s="934"/>
      <c r="Q82" s="934"/>
      <c r="R82" s="934"/>
      <c r="S82" s="934"/>
      <c r="T82" s="934"/>
      <c r="U82" s="934"/>
      <c r="V82" s="934"/>
      <c r="W82" s="934"/>
      <c r="X82" s="934"/>
      <c r="Y82" s="934"/>
      <c r="Z82" s="934"/>
      <c r="AA82" s="934"/>
      <c r="AB82" s="1409"/>
      <c r="AC82" s="1409"/>
      <c r="AD82" s="1409"/>
      <c r="AE82" s="1409"/>
      <c r="AF82" s="1409"/>
      <c r="AG82" s="1409"/>
      <c r="AH82" s="1409"/>
      <c r="AI82" s="1409"/>
      <c r="AJ82" s="1409"/>
    </row>
    <row r="83" spans="1:36" s="1408" customFormat="1" ht="14.4" thickBot="1">
      <c r="A83" s="3467" t="s">
        <v>1615</v>
      </c>
      <c r="B83" s="3468"/>
      <c r="C83" s="3468"/>
      <c r="D83" s="3468"/>
      <c r="E83" s="3468"/>
      <c r="F83" s="3468"/>
      <c r="G83" s="3468"/>
      <c r="H83" s="3468"/>
      <c r="I83" s="9"/>
      <c r="J83" s="2772"/>
      <c r="K83" s="934"/>
      <c r="L83" s="934"/>
      <c r="M83" s="934"/>
      <c r="N83" s="934"/>
      <c r="O83" s="934"/>
      <c r="P83" s="934"/>
      <c r="Q83" s="934"/>
      <c r="R83" s="934"/>
      <c r="S83" s="934"/>
      <c r="T83" s="934"/>
      <c r="U83" s="934"/>
      <c r="V83" s="934"/>
      <c r="W83" s="934"/>
      <c r="X83" s="934"/>
      <c r="Y83" s="934"/>
      <c r="Z83" s="934"/>
      <c r="AA83" s="934"/>
      <c r="AB83" s="1409"/>
      <c r="AC83" s="1409"/>
      <c r="AD83" s="1409"/>
      <c r="AE83" s="1409"/>
      <c r="AF83" s="1409"/>
      <c r="AG83" s="1409"/>
      <c r="AH83" s="1409"/>
      <c r="AI83" s="1409"/>
      <c r="AJ83" s="1409"/>
    </row>
    <row r="84" spans="1:36" s="1408" customFormat="1" ht="13.8">
      <c r="A84" s="3465" t="s">
        <v>1576</v>
      </c>
      <c r="B84" s="3466"/>
      <c r="C84" s="1532"/>
      <c r="D84" s="1532"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09"/>
      <c r="AC84" s="1409"/>
      <c r="AD84" s="1409"/>
      <c r="AE84" s="1409"/>
      <c r="AF84" s="1409"/>
      <c r="AG84" s="1409"/>
      <c r="AH84" s="1409"/>
      <c r="AI84" s="1409"/>
      <c r="AJ84" s="1409"/>
    </row>
    <row r="85" spans="1:36" s="1408" customFormat="1" ht="24">
      <c r="A85" s="61">
        <v>1</v>
      </c>
      <c r="B85" s="54" t="s">
        <v>1597</v>
      </c>
      <c r="C85" s="2704">
        <f ca="1">ROUND(D45/(1+'数据-取费表'!F30),0)</f>
        <v>11183567</v>
      </c>
      <c r="D85" s="50" t="s">
        <v>41</v>
      </c>
      <c r="E85" s="2013" t="s">
        <v>1598</v>
      </c>
      <c r="F85" s="2014"/>
      <c r="G85" s="2014"/>
      <c r="H85" s="73"/>
      <c r="I85" s="9"/>
      <c r="J85" s="2772"/>
      <c r="K85" s="934"/>
      <c r="L85" s="934"/>
      <c r="M85" s="934"/>
      <c r="N85" s="934"/>
      <c r="O85" s="934"/>
      <c r="P85" s="934"/>
      <c r="Q85" s="934"/>
      <c r="R85" s="934"/>
      <c r="S85" s="934"/>
      <c r="T85" s="934"/>
      <c r="U85" s="934"/>
      <c r="V85" s="934"/>
      <c r="W85" s="934"/>
      <c r="X85" s="934"/>
      <c r="Y85" s="934"/>
      <c r="Z85" s="934"/>
      <c r="AA85" s="934"/>
      <c r="AB85" s="1409"/>
      <c r="AC85" s="1409"/>
      <c r="AD85" s="1409"/>
      <c r="AE85" s="1409"/>
      <c r="AF85" s="1409"/>
      <c r="AG85" s="1409"/>
      <c r="AH85" s="1409"/>
      <c r="AI85" s="1409"/>
      <c r="AJ85" s="1409"/>
    </row>
    <row r="86" spans="1:36" s="1408" customFormat="1" ht="13.8">
      <c r="A86" s="63">
        <v>2</v>
      </c>
      <c r="B86" s="41" t="s">
        <v>1599</v>
      </c>
      <c r="C86" s="2704">
        <f ca="1">IF(H88="仅含出让金",C87+C90+C91+C92+C93+C94,C87+C91+C92+C93+C94)</f>
        <v>55918</v>
      </c>
      <c r="D86" s="2716"/>
      <c r="E86" s="2013"/>
      <c r="F86" s="2014"/>
      <c r="G86" s="2014"/>
      <c r="H86" s="73"/>
      <c r="I86" s="9"/>
      <c r="J86" s="2772"/>
      <c r="K86" s="934"/>
      <c r="L86" s="934"/>
      <c r="M86" s="934"/>
      <c r="N86" s="934"/>
      <c r="O86" s="934"/>
      <c r="P86" s="934"/>
      <c r="Q86" s="934"/>
      <c r="R86" s="934"/>
      <c r="S86" s="934"/>
      <c r="T86" s="934"/>
      <c r="U86" s="934"/>
      <c r="V86" s="934"/>
      <c r="W86" s="934"/>
      <c r="X86" s="934"/>
      <c r="Y86" s="934"/>
      <c r="Z86" s="934"/>
      <c r="AA86" s="934"/>
      <c r="AB86" s="1409"/>
      <c r="AC86" s="1409"/>
      <c r="AD86" s="1409"/>
      <c r="AE86" s="1409"/>
      <c r="AF86" s="1409"/>
      <c r="AG86" s="1409"/>
      <c r="AH86" s="1409"/>
      <c r="AI86" s="1409"/>
      <c r="AJ86" s="1409"/>
    </row>
    <row r="87" spans="1:36" s="1408" customFormat="1" ht="13.8">
      <c r="A87" s="49" t="s">
        <v>73</v>
      </c>
      <c r="B87" s="50" t="s">
        <v>1616</v>
      </c>
      <c r="C87" s="2712">
        <f>C88+C89</f>
        <v>0</v>
      </c>
      <c r="D87" s="2713"/>
      <c r="E87" s="2010"/>
      <c r="F87" s="2011"/>
      <c r="G87" s="2011"/>
      <c r="H87" s="2012"/>
      <c r="I87" s="9"/>
      <c r="J87" s="2772"/>
      <c r="K87" s="934"/>
      <c r="L87" s="934"/>
      <c r="M87" s="934"/>
      <c r="N87" s="934"/>
      <c r="O87" s="934"/>
      <c r="P87" s="934"/>
      <c r="Q87" s="934"/>
      <c r="R87" s="934"/>
      <c r="S87" s="934"/>
      <c r="T87" s="934"/>
      <c r="U87" s="934"/>
      <c r="V87" s="934"/>
      <c r="W87" s="934"/>
      <c r="X87" s="934"/>
      <c r="Y87" s="934"/>
      <c r="Z87" s="934"/>
      <c r="AA87" s="934"/>
      <c r="AB87" s="1409"/>
      <c r="AC87" s="1409"/>
      <c r="AD87" s="1409"/>
      <c r="AE87" s="1409"/>
      <c r="AF87" s="1409"/>
      <c r="AG87" s="1409"/>
      <c r="AH87" s="1409"/>
      <c r="AI87" s="1409"/>
      <c r="AJ87" s="1409"/>
    </row>
    <row r="88" spans="1:36" s="1408" customFormat="1" ht="14.4">
      <c r="A88" s="49" t="s">
        <v>74</v>
      </c>
      <c r="B88" s="50" t="s">
        <v>1617</v>
      </c>
      <c r="C88" s="2717"/>
      <c r="D88" s="2713"/>
      <c r="E88" s="74" t="s">
        <v>1618</v>
      </c>
      <c r="F88" s="2011"/>
      <c r="G88" s="75" t="s">
        <v>1619</v>
      </c>
      <c r="H88" s="1413"/>
      <c r="I88" s="9"/>
      <c r="J88" s="2772"/>
      <c r="K88" s="2888" t="s">
        <v>2573</v>
      </c>
      <c r="L88" s="1409"/>
      <c r="M88" s="1409"/>
      <c r="N88" s="1409"/>
      <c r="O88" s="1409"/>
      <c r="P88" s="1409"/>
      <c r="Q88" s="1409"/>
      <c r="R88" s="1409"/>
      <c r="S88" s="1409"/>
      <c r="T88" s="934"/>
      <c r="U88" s="934"/>
      <c r="V88" s="934"/>
      <c r="W88" s="934"/>
      <c r="X88" s="934"/>
      <c r="Y88" s="934"/>
      <c r="Z88" s="934"/>
      <c r="AA88" s="934"/>
      <c r="AB88" s="1409"/>
      <c r="AC88" s="1409"/>
      <c r="AD88" s="1409"/>
      <c r="AE88" s="1409"/>
      <c r="AF88" s="1409"/>
      <c r="AG88" s="1409"/>
      <c r="AH88" s="1409"/>
      <c r="AI88" s="1409"/>
      <c r="AJ88" s="1409"/>
    </row>
    <row r="89" spans="1:36" s="1408" customFormat="1" ht="13.8">
      <c r="A89" s="49" t="s">
        <v>75</v>
      </c>
      <c r="B89" s="50" t="s">
        <v>1607</v>
      </c>
      <c r="C89" s="2712">
        <f>ROUND(C88*D89,0)</f>
        <v>0</v>
      </c>
      <c r="D89" s="2713">
        <f>'数据-取费表'!E36+'数据-取费表'!E37</f>
        <v>3.0499999999999999E-2</v>
      </c>
      <c r="E89" s="74" t="s">
        <v>1620</v>
      </c>
      <c r="F89" s="2011"/>
      <c r="G89" s="2011"/>
      <c r="H89" s="2012"/>
      <c r="I89" s="9"/>
      <c r="J89" s="2772"/>
      <c r="K89" s="934"/>
      <c r="L89" s="934"/>
      <c r="M89" s="934"/>
      <c r="N89" s="934"/>
      <c r="O89" s="934"/>
      <c r="P89" s="934"/>
      <c r="Q89" s="934"/>
      <c r="R89" s="934"/>
      <c r="S89" s="934"/>
      <c r="T89" s="934"/>
      <c r="U89" s="934"/>
      <c r="V89" s="934"/>
      <c r="W89" s="934"/>
      <c r="X89" s="934"/>
      <c r="Y89" s="934"/>
      <c r="Z89" s="934"/>
      <c r="AA89" s="934"/>
      <c r="AB89" s="1409"/>
      <c r="AC89" s="1409"/>
      <c r="AD89" s="1409"/>
      <c r="AE89" s="1409"/>
      <c r="AF89" s="1409"/>
      <c r="AG89" s="1409"/>
      <c r="AH89" s="1409"/>
      <c r="AI89" s="1409"/>
      <c r="AJ89" s="1409"/>
    </row>
    <row r="90" spans="1:36" s="1408" customFormat="1" ht="24" customHeight="1">
      <c r="A90" s="49" t="s">
        <v>77</v>
      </c>
      <c r="B90" s="50" t="s">
        <v>1621</v>
      </c>
      <c r="C90" s="2717"/>
      <c r="D90" s="2713"/>
      <c r="E90" s="74" t="str">
        <f>IF(H88="-","土地取得成本中已包含该笔费用"," ")</f>
        <v xml:space="preserve"> </v>
      </c>
      <c r="F90" s="2011"/>
      <c r="G90" s="3474" t="s">
        <v>2489</v>
      </c>
      <c r="H90" s="3474"/>
      <c r="I90" s="9"/>
      <c r="J90" s="2772"/>
      <c r="K90" s="2888" t="s">
        <v>2574</v>
      </c>
      <c r="L90" s="1409"/>
      <c r="M90" s="1409"/>
      <c r="N90" s="1409"/>
      <c r="O90" s="1409"/>
      <c r="P90" s="1409"/>
      <c r="Q90" s="1409"/>
      <c r="R90" s="1409"/>
      <c r="S90" s="1409"/>
      <c r="T90" s="1409"/>
      <c r="U90" s="934"/>
      <c r="V90" s="934"/>
      <c r="W90" s="934"/>
      <c r="X90" s="934"/>
      <c r="Y90" s="934"/>
      <c r="Z90" s="934"/>
      <c r="AA90" s="934"/>
      <c r="AB90" s="1409"/>
      <c r="AC90" s="1409"/>
      <c r="AD90" s="1409"/>
      <c r="AE90" s="1409"/>
      <c r="AF90" s="1409"/>
      <c r="AG90" s="1409"/>
      <c r="AH90" s="1409"/>
      <c r="AI90" s="1409"/>
      <c r="AJ90" s="1409"/>
    </row>
    <row r="91" spans="1:36" s="1408" customFormat="1" ht="30.75" customHeight="1">
      <c r="A91" s="49" t="s">
        <v>78</v>
      </c>
      <c r="B91" s="50" t="s">
        <v>1622</v>
      </c>
      <c r="C91" s="2712">
        <f>IF(H91="——",成本法!C33,I91)</f>
        <v>0</v>
      </c>
      <c r="D91" s="2713"/>
      <c r="E91" s="3434" t="s">
        <v>1623</v>
      </c>
      <c r="F91" s="3435"/>
      <c r="G91" s="3435"/>
      <c r="H91" s="1414" t="s">
        <v>1624</v>
      </c>
      <c r="I91" s="1415"/>
      <c r="J91" s="2774"/>
      <c r="K91" s="934"/>
      <c r="L91" s="934"/>
      <c r="M91" s="934"/>
      <c r="N91" s="934"/>
      <c r="O91" s="934"/>
      <c r="P91" s="934"/>
      <c r="Q91" s="934"/>
      <c r="R91" s="934"/>
      <c r="S91" s="934"/>
      <c r="T91" s="934"/>
      <c r="U91" s="934"/>
      <c r="V91" s="934"/>
      <c r="W91" s="934"/>
      <c r="X91" s="934"/>
      <c r="Y91" s="934"/>
      <c r="Z91" s="934"/>
      <c r="AA91" s="934"/>
      <c r="AB91" s="1409"/>
      <c r="AC91" s="1409"/>
      <c r="AD91" s="1409"/>
      <c r="AE91" s="1409"/>
      <c r="AF91" s="1409"/>
      <c r="AG91" s="1409"/>
      <c r="AH91" s="1409"/>
      <c r="AI91" s="1409"/>
      <c r="AJ91" s="1409"/>
    </row>
    <row r="92" spans="1:36" s="1408" customFormat="1" ht="25.5" customHeight="1">
      <c r="A92" s="49" t="s">
        <v>79</v>
      </c>
      <c r="B92" s="50" t="s">
        <v>1625</v>
      </c>
      <c r="C92" s="2712">
        <f>ROUND((C87+C90+C91)*D92,0)</f>
        <v>0</v>
      </c>
      <c r="D92" s="2756">
        <v>0.1</v>
      </c>
      <c r="E92" s="3434" t="s">
        <v>1626</v>
      </c>
      <c r="F92" s="3435"/>
      <c r="G92" s="3435"/>
      <c r="H92" s="3455"/>
      <c r="I92" s="9"/>
      <c r="J92" s="2772"/>
      <c r="K92" s="2889" t="s">
        <v>2575</v>
      </c>
      <c r="L92" s="1409"/>
      <c r="M92" s="1409"/>
      <c r="N92" s="1409"/>
      <c r="O92" s="1409"/>
      <c r="P92" s="1409"/>
      <c r="Q92" s="934"/>
      <c r="R92" s="934"/>
      <c r="S92" s="934"/>
      <c r="T92" s="934"/>
      <c r="U92" s="934"/>
      <c r="V92" s="934"/>
      <c r="W92" s="934"/>
      <c r="X92" s="934"/>
      <c r="Y92" s="934"/>
      <c r="Z92" s="934"/>
      <c r="AA92" s="934"/>
      <c r="AB92" s="1409"/>
      <c r="AC92" s="1409"/>
      <c r="AD92" s="1409"/>
      <c r="AE92" s="1409"/>
      <c r="AF92" s="1409"/>
      <c r="AG92" s="1409"/>
      <c r="AH92" s="1409"/>
      <c r="AI92" s="1409"/>
      <c r="AJ92" s="1409"/>
    </row>
    <row r="93" spans="1:36" s="1408" customFormat="1" ht="25.5" customHeight="1">
      <c r="A93" s="49" t="s">
        <v>80</v>
      </c>
      <c r="B93" s="50" t="s">
        <v>1610</v>
      </c>
      <c r="C93" s="2712">
        <f ca="1">ROUND(D45*D93/(1+'数据-取费表'!F30),0)</f>
        <v>55918</v>
      </c>
      <c r="D93" s="2713">
        <f>'数据-取费表'!E31</f>
        <v>5.000000000000001E-3</v>
      </c>
      <c r="E93" s="3434" t="s">
        <v>1611</v>
      </c>
      <c r="F93" s="3435"/>
      <c r="G93" s="3435"/>
      <c r="H93" s="3455"/>
      <c r="I93" s="9"/>
      <c r="J93" s="2772"/>
      <c r="K93" s="934"/>
      <c r="L93" s="934"/>
      <c r="M93" s="934"/>
      <c r="N93" s="934"/>
      <c r="O93" s="934"/>
      <c r="P93" s="934"/>
      <c r="Q93" s="934"/>
      <c r="R93" s="934"/>
      <c r="S93" s="934"/>
      <c r="T93" s="934"/>
      <c r="U93" s="934"/>
      <c r="V93" s="934"/>
      <c r="W93" s="934"/>
      <c r="X93" s="934"/>
      <c r="Y93" s="934"/>
      <c r="Z93" s="934"/>
      <c r="AA93" s="934"/>
      <c r="AB93" s="1409"/>
      <c r="AC93" s="1409"/>
      <c r="AD93" s="1409"/>
      <c r="AE93" s="1409"/>
      <c r="AF93" s="1409"/>
      <c r="AG93" s="1409"/>
      <c r="AH93" s="1409"/>
      <c r="AI93" s="1409"/>
      <c r="AJ93" s="1409"/>
    </row>
    <row r="94" spans="1:36" s="1408" customFormat="1" ht="25.5" customHeight="1">
      <c r="A94" s="49" t="s">
        <v>81</v>
      </c>
      <c r="B94" s="50" t="s">
        <v>1627</v>
      </c>
      <c r="C94" s="2712">
        <f>ROUND((C87+C90+C91)*D94,0)</f>
        <v>0</v>
      </c>
      <c r="D94" s="2713">
        <v>0.2</v>
      </c>
      <c r="E94" s="3434" t="s">
        <v>1628</v>
      </c>
      <c r="F94" s="3435"/>
      <c r="G94" s="3435"/>
      <c r="H94" s="3455"/>
      <c r="I94" s="9"/>
      <c r="J94" s="2772"/>
      <c r="K94" s="934"/>
      <c r="L94" s="934"/>
      <c r="M94" s="934"/>
      <c r="N94" s="934"/>
      <c r="O94" s="934"/>
      <c r="P94" s="934"/>
      <c r="Q94" s="934"/>
      <c r="R94" s="934"/>
      <c r="S94" s="934"/>
      <c r="T94" s="934"/>
      <c r="U94" s="934"/>
      <c r="V94" s="934"/>
      <c r="W94" s="934"/>
      <c r="X94" s="934"/>
      <c r="Y94" s="934"/>
      <c r="Z94" s="934"/>
      <c r="AA94" s="934"/>
      <c r="AB94" s="1409"/>
      <c r="AC94" s="1409"/>
      <c r="AD94" s="1409"/>
      <c r="AE94" s="1409"/>
      <c r="AF94" s="1409"/>
      <c r="AG94" s="1409"/>
      <c r="AH94" s="1409"/>
      <c r="AI94" s="1409"/>
      <c r="AJ94" s="1409"/>
    </row>
    <row r="95" spans="1:36" s="1408" customFormat="1" ht="13.8">
      <c r="A95" s="53" t="s">
        <v>42</v>
      </c>
      <c r="B95" s="54" t="s">
        <v>1612</v>
      </c>
      <c r="C95" s="2704">
        <f ca="1">ROUND(C85-C86,0)</f>
        <v>11127649</v>
      </c>
      <c r="D95" s="50" t="s">
        <v>41</v>
      </c>
      <c r="E95" s="2013"/>
      <c r="F95" s="2014"/>
      <c r="G95" s="2014"/>
      <c r="H95" s="73"/>
      <c r="I95" s="9"/>
      <c r="J95" s="2772"/>
      <c r="K95" s="934"/>
      <c r="L95" s="934"/>
      <c r="M95" s="934"/>
      <c r="N95" s="934"/>
      <c r="O95" s="934"/>
      <c r="P95" s="934"/>
      <c r="Q95" s="934"/>
      <c r="R95" s="934"/>
      <c r="S95" s="934"/>
      <c r="T95" s="934"/>
      <c r="U95" s="934"/>
      <c r="V95" s="934"/>
      <c r="W95" s="934"/>
      <c r="X95" s="934"/>
      <c r="Y95" s="934"/>
      <c r="Z95" s="934"/>
      <c r="AA95" s="934"/>
      <c r="AB95" s="1409"/>
      <c r="AC95" s="1409"/>
      <c r="AD95" s="1409"/>
      <c r="AE95" s="1409"/>
      <c r="AF95" s="1409"/>
      <c r="AG95" s="1409"/>
      <c r="AH95" s="1409"/>
      <c r="AI95" s="1409"/>
      <c r="AJ95" s="1409"/>
    </row>
    <row r="96" spans="1:36" s="1408" customFormat="1" ht="24">
      <c r="A96" s="53" t="s">
        <v>43</v>
      </c>
      <c r="B96" s="54" t="s">
        <v>1613</v>
      </c>
      <c r="C96" s="2714">
        <f ca="1">IF(C95&lt;=0,0,C95/C86)</f>
        <v>198.99940985013771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2"/>
      <c r="K96" s="934"/>
      <c r="L96" s="934"/>
      <c r="M96" s="934"/>
      <c r="N96" s="934"/>
      <c r="O96" s="934"/>
      <c r="P96" s="934"/>
      <c r="Q96" s="934"/>
      <c r="R96" s="934"/>
      <c r="S96" s="934"/>
      <c r="T96" s="934"/>
      <c r="U96" s="934"/>
      <c r="V96" s="934"/>
      <c r="W96" s="934"/>
      <c r="X96" s="934"/>
      <c r="Y96" s="934"/>
      <c r="Z96" s="934"/>
      <c r="AA96" s="934"/>
      <c r="AB96" s="1409"/>
      <c r="AC96" s="1409"/>
      <c r="AD96" s="1409"/>
      <c r="AE96" s="1409"/>
      <c r="AF96" s="1409"/>
      <c r="AG96" s="1409"/>
      <c r="AH96" s="1409"/>
      <c r="AI96" s="1409"/>
      <c r="AJ96" s="1409"/>
    </row>
    <row r="97" spans="1:36" s="1408" customFormat="1" ht="24.6" thickBot="1">
      <c r="A97" s="55" t="s">
        <v>44</v>
      </c>
      <c r="B97" s="56" t="s">
        <v>1614</v>
      </c>
      <c r="C97" s="2715">
        <f ca="1">ROUND(IF(C95&lt;=0,0,IF(C96&gt;=200%,C95*60%-C86*35%,IF(C96&gt;=100%,C95*50%-C86*15%,IF(C96&gt;=50%,C95*40%-C86*5%,IF(C96&lt;50%,C95*30%,0))))),0)</f>
        <v>6657018</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09"/>
      <c r="AC97" s="1409"/>
      <c r="AD97" s="1409"/>
      <c r="AE97" s="1409"/>
      <c r="AF97" s="1409"/>
      <c r="AG97" s="1409"/>
      <c r="AH97" s="1409"/>
      <c r="AI97" s="1409"/>
      <c r="AJ97" s="1409"/>
    </row>
    <row r="98" spans="1:36" ht="21.75" customHeight="1" thickBot="1">
      <c r="A98" s="1396" t="s">
        <v>1629</v>
      </c>
      <c r="B98" s="1386"/>
      <c r="C98" s="1386"/>
      <c r="D98" s="1386"/>
      <c r="E98" s="770"/>
      <c r="F98" s="770"/>
      <c r="G98" s="770"/>
      <c r="H98" s="1395"/>
      <c r="I98" s="1386"/>
    </row>
    <row r="99" spans="1:36" ht="15.6">
      <c r="A99" s="3452" t="s">
        <v>1630</v>
      </c>
      <c r="B99" s="3453"/>
      <c r="C99" s="3453"/>
      <c r="D99" s="3454"/>
      <c r="E99" s="1386"/>
      <c r="F99" s="3462" t="s">
        <v>1631</v>
      </c>
      <c r="G99" s="3463"/>
      <c r="H99" s="3463"/>
      <c r="I99" s="3464"/>
      <c r="J99" s="2775"/>
    </row>
    <row r="100" spans="1:36" ht="15">
      <c r="A100" s="3469" t="s">
        <v>1632</v>
      </c>
      <c r="B100" s="3470"/>
      <c r="C100" s="1235" t="str">
        <f>C4</f>
        <v>比较法-商业</v>
      </c>
      <c r="D100" s="2723" t="str">
        <f>D4</f>
        <v>收益法</v>
      </c>
      <c r="E100" s="1386"/>
      <c r="F100" s="3471" t="s">
        <v>2533</v>
      </c>
      <c r="G100" s="3473"/>
      <c r="H100" s="3471" t="s">
        <v>2534</v>
      </c>
      <c r="I100" s="3472"/>
      <c r="J100" s="2776"/>
    </row>
    <row r="101" spans="1:36" ht="13.2">
      <c r="A101" s="3488" t="s">
        <v>2566</v>
      </c>
      <c r="B101" s="2232" t="str">
        <f>IF(H19="元","总价（元）","总价（万元）")</f>
        <v>总价（元）</v>
      </c>
      <c r="C101" s="1235">
        <f ca="1">C19</f>
        <v>11939364</v>
      </c>
      <c r="D101" s="2723">
        <f ca="1">D19</f>
        <v>11545808</v>
      </c>
      <c r="E101" s="1386"/>
      <c r="F101" s="3471" t="str">
        <f>项目基本情况!I1</f>
        <v>北京市大兴区北京经济技术开发区荣华南路10号院4号楼1至2层107号商业用房房地产</v>
      </c>
      <c r="G101" s="3473"/>
      <c r="H101" s="3475">
        <f>项目基本情况!C12</f>
        <v>262.86</v>
      </c>
      <c r="I101" s="3472"/>
      <c r="J101" s="2776"/>
    </row>
    <row r="102" spans="1:36" ht="13.2">
      <c r="A102" s="3488"/>
      <c r="B102" s="2232" t="s">
        <v>2567</v>
      </c>
      <c r="C102" s="2724">
        <f ca="1">C20</f>
        <v>45421</v>
      </c>
      <c r="D102" s="2725">
        <f ca="1">D20</f>
        <v>43924</v>
      </c>
      <c r="E102" s="1386"/>
      <c r="F102" s="3458" t="s">
        <v>2563</v>
      </c>
      <c r="G102" s="3459"/>
      <c r="H102" s="2733" t="str">
        <f>C106</f>
        <v>总价（元）</v>
      </c>
      <c r="I102" s="2734">
        <f ca="1">H121</f>
        <v>11742745</v>
      </c>
      <c r="J102" s="2776"/>
    </row>
    <row r="103" spans="1:36" ht="13.2">
      <c r="A103" s="3488" t="s">
        <v>2568</v>
      </c>
      <c r="B103" s="2170" t="str">
        <f>B101</f>
        <v>总价（元）</v>
      </c>
      <c r="C103" s="2728">
        <f ca="1">H121</f>
        <v>11742745</v>
      </c>
      <c r="D103" s="2726"/>
      <c r="E103" s="1386"/>
      <c r="F103" s="3458"/>
      <c r="G103" s="3459"/>
      <c r="H103" s="2733" t="s">
        <v>2536</v>
      </c>
      <c r="I103" s="52">
        <f ca="1">I121</f>
        <v>44673</v>
      </c>
      <c r="J103" s="2760"/>
    </row>
    <row r="104" spans="1:36" ht="13.8" thickBot="1">
      <c r="A104" s="3489"/>
      <c r="B104" s="2730" t="s">
        <v>2567</v>
      </c>
      <c r="C104" s="2731">
        <f ca="1">I121</f>
        <v>44673</v>
      </c>
      <c r="D104" s="2732"/>
      <c r="E104" s="1386"/>
      <c r="F104" s="3458"/>
      <c r="G104" s="3459"/>
      <c r="H104" s="3490"/>
      <c r="I104" s="3491"/>
      <c r="J104" s="2777"/>
    </row>
    <row r="105" spans="1:36" ht="13.8">
      <c r="A105" s="3452" t="s">
        <v>1633</v>
      </c>
      <c r="B105" s="3453"/>
      <c r="C105" s="3453"/>
      <c r="D105" s="3454"/>
      <c r="E105" s="1386"/>
      <c r="F105" s="3494" t="s">
        <v>2537</v>
      </c>
      <c r="G105" s="3495"/>
      <c r="H105" s="2735" t="str">
        <f>C108</f>
        <v>总额（元）</v>
      </c>
      <c r="I105" s="2734">
        <f>SUMIF(I106:I108,"&lt;9E307")</f>
        <v>0</v>
      </c>
      <c r="J105" s="2776"/>
    </row>
    <row r="106" spans="1:36" ht="13.8">
      <c r="A106" s="3458" t="s">
        <v>2560</v>
      </c>
      <c r="B106" s="3459"/>
      <c r="C106" s="2733" t="str">
        <f>B101</f>
        <v>总价（元）</v>
      </c>
      <c r="D106" s="2734">
        <f ca="1">H121</f>
        <v>11742745</v>
      </c>
      <c r="E106" s="1386"/>
      <c r="F106" s="3460" t="s">
        <v>2538</v>
      </c>
      <c r="G106" s="3461"/>
      <c r="H106" s="2735" t="str">
        <f>C109</f>
        <v>总额（元）</v>
      </c>
      <c r="I106" s="2736">
        <f>IF(D36="同一抵押权人同一抵押物续贷",C36&amp;"（续贷，未扣减，详见特别提示）",C36)</f>
        <v>0</v>
      </c>
      <c r="J106" s="2760"/>
      <c r="L106" s="1389" t="str">
        <f>IF(D123=0,"本次评估不存在"&amp;A123&amp;"。","本次评估"&amp;A123&amp;"为"&amp;D123&amp;"元人民币。")</f>
        <v>本次评估不存在估价师所知悉的法定优先受偿款。</v>
      </c>
      <c r="M106" s="1386"/>
      <c r="N106" s="1386"/>
      <c r="O106" s="1386"/>
      <c r="P106" s="1386"/>
      <c r="Q106" s="1386"/>
    </row>
    <row r="107" spans="1:36" ht="13.2">
      <c r="A107" s="3458"/>
      <c r="B107" s="3459"/>
      <c r="C107" s="2733" t="s">
        <v>2561</v>
      </c>
      <c r="D107" s="52">
        <f ca="1">I121</f>
        <v>44673</v>
      </c>
      <c r="E107" s="1386"/>
      <c r="F107" s="3460" t="s">
        <v>2539</v>
      </c>
      <c r="G107" s="3461"/>
      <c r="H107" s="2735" t="str">
        <f>C110</f>
        <v>总额（元）</v>
      </c>
      <c r="I107" s="52">
        <f>C37</f>
        <v>0</v>
      </c>
      <c r="J107" s="2760"/>
    </row>
    <row r="108" spans="1:36" ht="13.2">
      <c r="A108" s="3529" t="s">
        <v>2537</v>
      </c>
      <c r="B108" s="3530"/>
      <c r="C108" s="2735" t="str">
        <f>IF(H19="元","总额（元）","总额（万元）")</f>
        <v>总额（元）</v>
      </c>
      <c r="D108" s="2734">
        <f>IF(D36="正常操作",I106+I107+I108,I107+I108)</f>
        <v>0</v>
      </c>
      <c r="E108" s="1386"/>
      <c r="F108" s="3460" t="s">
        <v>2564</v>
      </c>
      <c r="G108" s="3461"/>
      <c r="H108" s="2735" t="str">
        <f>C111</f>
        <v>总额（元）</v>
      </c>
      <c r="I108" s="52">
        <f>C38</f>
        <v>0</v>
      </c>
      <c r="J108" s="2760"/>
    </row>
    <row r="109" spans="1:36" ht="13.2">
      <c r="A109" s="3460" t="s">
        <v>2538</v>
      </c>
      <c r="B109" s="3461"/>
      <c r="C109" s="2735" t="str">
        <f>C108</f>
        <v>总额（元）</v>
      </c>
      <c r="D109" s="52">
        <f>IF(D36="同一抵押权人同一抵押物续贷",C36&amp;"（未扣减，详见特别提示）",C36)</f>
        <v>0</v>
      </c>
      <c r="E109" s="1386"/>
      <c r="F109" s="3458"/>
      <c r="G109" s="3459"/>
      <c r="H109" s="3492"/>
      <c r="I109" s="3493"/>
      <c r="J109" s="2778"/>
    </row>
    <row r="110" spans="1:36" ht="28.5" customHeight="1">
      <c r="A110" s="3460" t="s">
        <v>2562</v>
      </c>
      <c r="B110" s="3461"/>
      <c r="C110" s="2735" t="str">
        <f>C108</f>
        <v>总额（元）</v>
      </c>
      <c r="D110" s="52">
        <f>C37</f>
        <v>0</v>
      </c>
      <c r="E110" s="1386"/>
      <c r="F110" s="3441" t="str">
        <f>IF(项目基本情况!F5="已注销","——","3.房地产抵押价值")</f>
        <v>——</v>
      </c>
      <c r="G110" s="3442"/>
      <c r="H110" s="2721" t="str">
        <f>C112</f>
        <v>总价（元）</v>
      </c>
      <c r="I110" s="2734" t="str">
        <f>IF(F110="——","——",I102-I105)</f>
        <v>——</v>
      </c>
      <c r="J110" s="2776"/>
    </row>
    <row r="111" spans="1:36" ht="13.2">
      <c r="A111" s="3460" t="s">
        <v>2541</v>
      </c>
      <c r="B111" s="3461"/>
      <c r="C111" s="2735" t="str">
        <f>C108</f>
        <v>总额（元）</v>
      </c>
      <c r="D111" s="52">
        <f>C38</f>
        <v>0</v>
      </c>
      <c r="E111" s="1386"/>
      <c r="F111" s="3443"/>
      <c r="G111" s="3444"/>
      <c r="H111" s="2733" t="s">
        <v>2536</v>
      </c>
      <c r="I111" s="2737" t="e">
        <f ca="1">D113</f>
        <v>#VALUE!</v>
      </c>
      <c r="J111" s="2779"/>
    </row>
    <row r="112" spans="1:36" ht="26.25" customHeight="1">
      <c r="A112" s="3458" t="str">
        <f>IF(项目基本情况!F5="已注销","——","3.房地产抵押价值")</f>
        <v>——</v>
      </c>
      <c r="B112" s="3459"/>
      <c r="C112" s="2733" t="str">
        <f>B101</f>
        <v>总价（元）</v>
      </c>
      <c r="D112" s="2734" t="str">
        <f>IF(A112="——","——",D106-D108)</f>
        <v>——</v>
      </c>
      <c r="E112" s="1386"/>
      <c r="F112" s="3441" t="str">
        <f>IF(项目基本情况!F5="已注销及未注销","4.抵押担保权已注销时的房地产抵押价值",IF(项目基本情况!F5="已注销","3.抵押担保权已注销时的房地产抵押价值","——"))</f>
        <v>3.抵押担保权已注销时的房地产抵押价值</v>
      </c>
      <c r="G112" s="3442"/>
      <c r="H112" s="2721" t="str">
        <f>C114</f>
        <v>总价（元）</v>
      </c>
      <c r="I112" s="2734">
        <f ca="1">IF(F112="——","——",I102-I107-I108)</f>
        <v>11742745</v>
      </c>
      <c r="J112" s="2776"/>
    </row>
    <row r="113" spans="1:16" ht="13.2">
      <c r="A113" s="3458"/>
      <c r="B113" s="3459"/>
      <c r="C113" s="2733" t="s">
        <v>2529</v>
      </c>
      <c r="D113" s="52" t="e">
        <f ca="1">ROUND(IF(D112=D106,D107,IF(H19="元",D112/项目基本情况!C12,D112*10000/项目基本情况!C12)),0)</f>
        <v>#VALUE!</v>
      </c>
      <c r="E113" s="1386"/>
      <c r="F113" s="3443"/>
      <c r="G113" s="3444"/>
      <c r="H113" s="2733" t="s">
        <v>2565</v>
      </c>
      <c r="I113" s="52">
        <f ca="1">D115</f>
        <v>44673</v>
      </c>
      <c r="J113" s="2760"/>
    </row>
    <row r="114" spans="1:16" ht="13.2">
      <c r="A114" s="3458" t="str">
        <f>IF(项目基本情况!F5="已注销及未注销","4.抵押担保权已注销时的房地产抵押价值",IF(项目基本情况!F5="已注销","3.抵押担保权已注销时的房地产抵押价值","——"))</f>
        <v>3.抵押担保权已注销时的房地产抵押价值</v>
      </c>
      <c r="B114" s="3459"/>
      <c r="C114" s="2733" t="str">
        <f>B101</f>
        <v>总价（元）</v>
      </c>
      <c r="D114" s="2734">
        <f ca="1">IF(A114="——","——",D106-D110-D111)</f>
        <v>11742745</v>
      </c>
      <c r="E114" s="1386"/>
      <c r="F114" s="3441" t="str">
        <f>IF(项目基本情况!G5="抵押净值",IF(OR(项目基本情况!F5="已注销",项目基本情况!F5="房地产抵押价值"),"4.抵押净值","5.抵押净值"),"——")</f>
        <v>——</v>
      </c>
      <c r="G114" s="3442"/>
      <c r="H114" s="2733" t="str">
        <f>C116</f>
        <v>总价（元）</v>
      </c>
      <c r="I114" s="2734" t="str">
        <f>IF(F114="——","——",O59)</f>
        <v>——</v>
      </c>
      <c r="J114" s="2776"/>
    </row>
    <row r="115" spans="1:16" ht="13.8" thickBot="1">
      <c r="A115" s="3458"/>
      <c r="B115" s="3459"/>
      <c r="C115" s="2733" t="s">
        <v>2529</v>
      </c>
      <c r="D115" s="52">
        <f ca="1">IF(A114="——","——",ROUND(IF(D114=D106,D107,IF(H19="元",D114/项目基本情况!C12,D114*10000/项目基本情况!C12)),0))</f>
        <v>44673</v>
      </c>
      <c r="E115" s="1386"/>
      <c r="F115" s="3521"/>
      <c r="G115" s="3522"/>
      <c r="H115" s="2738" t="s">
        <v>2529</v>
      </c>
      <c r="I115" s="2722" t="e">
        <f ca="1">D117</f>
        <v>#VALUE!</v>
      </c>
      <c r="J115" s="2760"/>
    </row>
    <row r="116" spans="1:16" ht="15.6">
      <c r="A116" s="3458" t="str">
        <f>IF(项目基本情况!G5="抵押净值",IF(OR(项目基本情况!F5="已注销",项目基本情况!F5="房地产抵押价值"),"4.抵押净值","5.抵押净值"),"——")</f>
        <v>——</v>
      </c>
      <c r="B116" s="3459"/>
      <c r="C116" s="2733" t="str">
        <f>B101</f>
        <v>总价（元）</v>
      </c>
      <c r="D116" s="2734" t="str">
        <f>IF(A116="——","——",O59)</f>
        <v>——</v>
      </c>
      <c r="E116" s="1386"/>
      <c r="F116" s="3436"/>
      <c r="G116" s="3436"/>
      <c r="H116" s="3477"/>
      <c r="I116" s="3477"/>
      <c r="J116" s="2780"/>
      <c r="O116" s="32"/>
      <c r="P116" s="32"/>
    </row>
    <row r="117" spans="1:16" ht="13.8" thickBot="1">
      <c r="A117" s="3527"/>
      <c r="B117" s="3528"/>
      <c r="C117" s="2738" t="s">
        <v>2529</v>
      </c>
      <c r="D117" s="2722" t="e">
        <f ca="1">IF(D116=D112,D113,IF(A116="——","——",O61))</f>
        <v>#VALUE!</v>
      </c>
      <c r="E117" s="1386"/>
      <c r="F117" s="3520" t="str">
        <f>IF(B32="总价","（以上估价结果中单价为总价除以建筑面积得出）","（以上估价结果中总价为楼面单价乘以建筑面积得出）")</f>
        <v>（以上估价结果中总价为楼面单价乘以建筑面积得出）</v>
      </c>
      <c r="G117" s="3520"/>
      <c r="H117" s="3520"/>
      <c r="I117" s="3520"/>
      <c r="J117" s="2781"/>
      <c r="O117" s="32"/>
      <c r="P117" s="32"/>
    </row>
    <row r="118" spans="1:16" ht="14.4">
      <c r="A118" s="3478" t="s">
        <v>1634</v>
      </c>
      <c r="B118" s="3479"/>
      <c r="C118" s="3479"/>
      <c r="D118" s="3479"/>
      <c r="E118" s="3479"/>
      <c r="F118" s="3479"/>
      <c r="G118" s="3479"/>
      <c r="H118" s="3479"/>
      <c r="I118" s="3479"/>
      <c r="J118" s="2782"/>
    </row>
    <row r="119" spans="1:16" ht="13.2">
      <c r="A119" s="3451" t="s">
        <v>2547</v>
      </c>
      <c r="B119" s="3449" t="s">
        <v>2557</v>
      </c>
      <c r="C119" s="3449" t="s">
        <v>2558</v>
      </c>
      <c r="D119" s="3456" t="s">
        <v>2549</v>
      </c>
      <c r="E119" s="3457"/>
      <c r="F119" s="3447" t="s">
        <v>2559</v>
      </c>
      <c r="G119" s="3447"/>
      <c r="H119" s="3447" t="s">
        <v>2550</v>
      </c>
      <c r="I119" s="3448"/>
      <c r="J119" s="2760"/>
    </row>
    <row r="120" spans="1:16" ht="13.2">
      <c r="A120" s="3451"/>
      <c r="B120" s="3450"/>
      <c r="C120" s="3450"/>
      <c r="D120" s="2017" t="s">
        <v>2551</v>
      </c>
      <c r="E120" s="2017" t="s">
        <v>2556</v>
      </c>
      <c r="F120" s="2017" t="s">
        <v>2551</v>
      </c>
      <c r="G120" s="2017" t="s">
        <v>2552</v>
      </c>
      <c r="H120" s="2017" t="s">
        <v>2551</v>
      </c>
      <c r="I120" s="52" t="s">
        <v>2552</v>
      </c>
      <c r="J120" s="2760"/>
    </row>
    <row r="121" spans="1:16" ht="92.4">
      <c r="A121" s="2007" t="str">
        <f>项目基本情况!I1</f>
        <v>北京市大兴区北京经济技术开发区荣华南路10号院4号楼1至2层107号商业用房房地产</v>
      </c>
      <c r="B121" s="2017">
        <f>项目基本情况!C12</f>
        <v>262.86</v>
      </c>
      <c r="C121" s="2017">
        <f>项目基本情况!C13</f>
        <v>0</v>
      </c>
      <c r="D121" s="2017">
        <f ca="1">ROUND(IF(B32="总价",C34,IF('数据-取费表'!B3="万元",E121*B121/10000,E121*B121)),0)</f>
        <v>10380604</v>
      </c>
      <c r="E121" s="2017">
        <f ca="1">ROUND(IF(B32="楼面单价",C34,IF(H19="元",D121/B121,D121*10000/B121)),0)</f>
        <v>39491</v>
      </c>
      <c r="F121" s="2017">
        <f ca="1">ROUND(IF(B32="总价",C35,IF('数据-取费表'!B3="万元",G121*B121/10000,G121*B121)),0)</f>
        <v>1362141</v>
      </c>
      <c r="G121" s="2017">
        <f ca="1">ROUND(IF(B32="楼面单价",C35,IF(H19="元",F121/B121,F121*10000/B121)),0)</f>
        <v>5182</v>
      </c>
      <c r="H121" s="2017">
        <f ca="1">ROUND(IF(B32="总价",C32,IF('数据-取费表'!B3="万元",I121*B121/10000,I121*B121)),0)</f>
        <v>11742745</v>
      </c>
      <c r="I121" s="52">
        <f ca="1">ROUND(IF(B32="楼面单价",C32,IF(H19="元",H121/B121,H121*10000/B121)),0)</f>
        <v>44673</v>
      </c>
      <c r="J121" s="2760"/>
    </row>
    <row r="122" spans="1:16" ht="13.2">
      <c r="A122" s="3451" t="s">
        <v>2553</v>
      </c>
      <c r="B122" s="3447"/>
      <c r="C122" s="3447"/>
      <c r="D122" s="3482" t="str">
        <f ca="1">IF(H19="元",NUMBERSTRING(INT(D121),2)&amp;"元整",NUMBERSTRING(INT(D121*10000),2)&amp;"元整")</f>
        <v>壹仟零叁拾捌万零陆佰零肆元整</v>
      </c>
      <c r="E122" s="3483"/>
      <c r="F122" s="3482" t="str">
        <f ca="1">IF(H19="元",NUMBERSTRING(INT(F121),2)&amp;"元整",NUMBERSTRING(INT(F121*10000),2)&amp;"元整")</f>
        <v>壹佰叁拾陆万贰仟壹佰肆拾壹元整</v>
      </c>
      <c r="G122" s="3483"/>
      <c r="H122" s="3482" t="str">
        <f ca="1">IF(H19="元",NUMBERSTRING(INT(H121),2)&amp;"元整",NUMBERSTRING(INT(H121*10000),2)&amp;"元整")</f>
        <v>壹仟壹佰柒拾肆万贰仟柒佰肆拾伍元整</v>
      </c>
      <c r="I122" s="3531"/>
      <c r="J122" s="2783"/>
    </row>
    <row r="123" spans="1:16" ht="13.2">
      <c r="A123" s="3471" t="str">
        <f>IF(项目基本情况!D5="房地产市场价值","——",MID(A108,3,LEN(A108)-2))</f>
        <v>估价师所知悉的法定优先受偿款</v>
      </c>
      <c r="B123" s="3484"/>
      <c r="C123" s="3473"/>
      <c r="D123" s="3475">
        <f>I105</f>
        <v>0</v>
      </c>
      <c r="E123" s="3484"/>
      <c r="F123" s="3484"/>
      <c r="G123" s="3484"/>
      <c r="H123" s="3484"/>
      <c r="I123" s="3472"/>
      <c r="J123" s="2776"/>
    </row>
    <row r="124" spans="1:16" ht="13.2">
      <c r="A124" s="3485" t="s">
        <v>2553</v>
      </c>
      <c r="B124" s="3486"/>
      <c r="C124" s="3487"/>
      <c r="D124" s="3523">
        <f>H109</f>
        <v>0</v>
      </c>
      <c r="E124" s="3524"/>
      <c r="F124" s="3524"/>
      <c r="G124" s="3524"/>
      <c r="H124" s="3524"/>
      <c r="I124" s="3525"/>
      <c r="J124" s="2784"/>
    </row>
    <row r="125" spans="1:16" ht="13.2">
      <c r="A125" s="3458" t="str">
        <f>IF(项目基本情况!D5="房地产市场价值","——",MID(A112,3,LEN(A112)-2))</f>
        <v/>
      </c>
      <c r="B125" s="3459"/>
      <c r="C125" s="3459"/>
      <c r="D125" s="3475" t="str">
        <f>I110</f>
        <v>——</v>
      </c>
      <c r="E125" s="3484"/>
      <c r="F125" s="3484"/>
      <c r="G125" s="3484"/>
      <c r="H125" s="3484"/>
      <c r="I125" s="3472"/>
      <c r="J125" s="2776"/>
    </row>
    <row r="126" spans="1:16" ht="13.2">
      <c r="A126" s="3451" t="s">
        <v>2553</v>
      </c>
      <c r="B126" s="3447"/>
      <c r="C126" s="3447"/>
      <c r="D126" s="3523" t="e">
        <f ca="1">I111</f>
        <v>#VALUE!</v>
      </c>
      <c r="E126" s="3524"/>
      <c r="F126" s="3524"/>
      <c r="G126" s="3524"/>
      <c r="H126" s="3524"/>
      <c r="I126" s="3525"/>
      <c r="J126" s="2784"/>
    </row>
    <row r="127" spans="1:16" ht="13.8" thickBot="1">
      <c r="A127" s="3458" t="str">
        <f>IF(项目基本情况!D5="房地产市场价值","——",MID(A114,3,LEN(A114)-2))</f>
        <v>抵押担保权已注销时的房地产抵押价值</v>
      </c>
      <c r="B127" s="3459"/>
      <c r="C127" s="3459"/>
      <c r="D127" s="3431">
        <f ca="1">I112</f>
        <v>11742745</v>
      </c>
      <c r="E127" s="3432"/>
      <c r="F127" s="3432"/>
      <c r="G127" s="3432"/>
      <c r="H127" s="3432"/>
      <c r="I127" s="3433"/>
      <c r="J127" s="2776"/>
    </row>
    <row r="128" spans="1:16" ht="14.4" thickTop="1" thickBot="1">
      <c r="A128" s="3451" t="s">
        <v>2553</v>
      </c>
      <c r="B128" s="3447"/>
      <c r="C128" s="3498"/>
      <c r="D128" s="3476">
        <f ca="1">I113</f>
        <v>44673</v>
      </c>
      <c r="E128" s="3476"/>
      <c r="F128" s="3476"/>
      <c r="G128" s="3476"/>
      <c r="H128" s="3476"/>
      <c r="I128" s="3476"/>
      <c r="J128" s="2784"/>
    </row>
    <row r="129" spans="1:10" ht="14.4" thickTop="1" thickBot="1">
      <c r="A129" s="3458" t="str">
        <f>IF(项目基本情况!D5="房地产市场价值","——",MID(F114,3,LEN(F114)-2))</f>
        <v/>
      </c>
      <c r="B129" s="3459"/>
      <c r="C129" s="3475"/>
      <c r="D129" s="3526" t="str">
        <f>I114</f>
        <v>——</v>
      </c>
      <c r="E129" s="3526"/>
      <c r="F129" s="3526"/>
      <c r="G129" s="3526"/>
      <c r="H129" s="3526"/>
      <c r="I129" s="3526"/>
      <c r="J129" s="2776"/>
    </row>
    <row r="130" spans="1:10" ht="14.4" thickTop="1" thickBot="1">
      <c r="A130" s="3514" t="s">
        <v>2553</v>
      </c>
      <c r="B130" s="3515"/>
      <c r="C130" s="3515"/>
      <c r="D130" s="3532">
        <f>H116</f>
        <v>0</v>
      </c>
      <c r="E130" s="3533"/>
      <c r="F130" s="3533"/>
      <c r="G130" s="3533"/>
      <c r="H130" s="3533"/>
      <c r="I130" s="3534"/>
      <c r="J130" s="2784"/>
    </row>
    <row r="131" spans="1:10" ht="13.2">
      <c r="A131" s="1406" t="str">
        <f>IF(H19="元","单位：平方米、元、元/平方米（币种：人民币）","单位：平方米、万元、元/平方米（币种：人民币）")</f>
        <v>单位：平方米、元、元/平方米（币种：人民币）</v>
      </c>
      <c r="B131" s="1406"/>
      <c r="C131" s="1406"/>
      <c r="D131" s="1406"/>
      <c r="E131" s="1406"/>
      <c r="F131" s="1406"/>
      <c r="G131" s="1406"/>
      <c r="H131" s="1406"/>
      <c r="I131" s="1406"/>
      <c r="J131" s="2785"/>
    </row>
    <row r="132" spans="1:10" ht="13.8" thickBot="1">
      <c r="A132" s="3519" t="str">
        <f>IF(B32="总价","（以上估价结果中楼面单价为总价除以建筑面积得出）","（以上估价结果中总价为楼面单价乘以建筑面积得出）")</f>
        <v>（以上估价结果中总价为楼面单价乘以建筑面积得出）</v>
      </c>
      <c r="B132" s="3519"/>
      <c r="C132" s="3519"/>
      <c r="D132" s="3519"/>
      <c r="E132" s="3519"/>
      <c r="F132" s="3519"/>
      <c r="G132" s="3519"/>
      <c r="H132" s="3519"/>
      <c r="I132" s="3519"/>
      <c r="J132" s="2778"/>
    </row>
    <row r="133" spans="1:10" ht="21.75" customHeight="1">
      <c r="A133" s="1416" t="s">
        <v>1635</v>
      </c>
      <c r="B133" s="1417"/>
      <c r="C133" s="1418" t="s">
        <v>1636</v>
      </c>
      <c r="D133" s="1419"/>
      <c r="E133" s="1419"/>
      <c r="F133" s="1419"/>
      <c r="G133" s="1419"/>
      <c r="H133" s="1420"/>
      <c r="I133" s="1421"/>
      <c r="J133" s="2786"/>
    </row>
    <row r="134" spans="1:10" ht="21.75" customHeight="1">
      <c r="A134" s="1422">
        <v>1</v>
      </c>
      <c r="B134" s="1423"/>
      <c r="C134" s="1423"/>
      <c r="D134" s="1419"/>
      <c r="E134" s="1419"/>
      <c r="F134" s="1419"/>
      <c r="G134" s="1419"/>
      <c r="H134" s="1420"/>
      <c r="I134" s="1421"/>
      <c r="J134" s="2786"/>
    </row>
    <row r="135" spans="1:10" ht="21.75" customHeight="1">
      <c r="A135" s="1422">
        <v>2</v>
      </c>
      <c r="B135" s="1423"/>
      <c r="C135" s="1423"/>
      <c r="D135" s="1419"/>
      <c r="E135" s="1419"/>
      <c r="F135" s="1419"/>
      <c r="G135" s="1419"/>
      <c r="H135" s="1420"/>
      <c r="I135" s="1421"/>
      <c r="J135" s="2786"/>
    </row>
    <row r="136" spans="1:10" ht="21.75" customHeight="1">
      <c r="A136" s="1422">
        <v>3</v>
      </c>
      <c r="B136" s="1423"/>
      <c r="C136" s="1423"/>
      <c r="D136" s="1419"/>
      <c r="E136" s="1419"/>
      <c r="F136" s="32"/>
      <c r="G136" s="32"/>
      <c r="H136" s="32"/>
      <c r="I136" s="32"/>
      <c r="J136" s="2787"/>
    </row>
    <row r="137" spans="1:10" ht="21.75" customHeight="1">
      <c r="A137" s="1424"/>
      <c r="B137" s="1425"/>
      <c r="C137" s="1425"/>
      <c r="D137" s="1426"/>
      <c r="E137" s="1426"/>
      <c r="F137" s="1426"/>
      <c r="G137" s="1426"/>
      <c r="H137" s="1427"/>
      <c r="I137" s="1428"/>
      <c r="J137" s="2786"/>
    </row>
    <row r="138" spans="1:10" ht="21.75" customHeight="1">
      <c r="A138" s="1423"/>
      <c r="B138" s="1423"/>
      <c r="C138" s="1423"/>
      <c r="D138" s="1419"/>
      <c r="E138" s="1419"/>
      <c r="F138" s="1419"/>
      <c r="G138" s="1419"/>
      <c r="H138" s="1420"/>
      <c r="I138" s="659"/>
      <c r="J138" s="2787"/>
    </row>
    <row r="139" spans="1:10" ht="21.75" customHeight="1">
      <c r="A139" s="659"/>
      <c r="B139" s="659"/>
      <c r="C139" s="659"/>
      <c r="D139" s="659"/>
      <c r="E139" s="659"/>
      <c r="F139" s="1429" t="s">
        <v>1637</v>
      </c>
      <c r="G139" s="1430"/>
      <c r="H139" s="1430"/>
      <c r="I139" s="1431" t="s">
        <v>1638</v>
      </c>
      <c r="J139" s="2788"/>
    </row>
    <row r="140" spans="1:10" ht="21.75" customHeight="1">
      <c r="A140" s="659"/>
      <c r="B140" s="1432"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0"/>
      <c r="C142" s="1430"/>
      <c r="D142" s="1430"/>
      <c r="E142" s="1430"/>
      <c r="F142" s="1430"/>
      <c r="G142" s="1430"/>
      <c r="H142" s="1430"/>
      <c r="I142" s="1431" t="s">
        <v>1640</v>
      </c>
      <c r="J142" s="2788"/>
    </row>
    <row r="143" spans="1:10" ht="21.75" customHeight="1">
      <c r="A143" s="659"/>
      <c r="B143" s="1432" t="s">
        <v>1641</v>
      </c>
      <c r="C143" s="659"/>
      <c r="D143" s="659"/>
      <c r="E143" s="659"/>
      <c r="F143" s="659"/>
      <c r="G143" s="659"/>
      <c r="H143" s="659"/>
      <c r="I143" s="659"/>
      <c r="J143" s="2787"/>
    </row>
    <row r="144" spans="1:10" ht="21.75" customHeight="1">
      <c r="A144" s="659"/>
      <c r="B144" s="1432"/>
      <c r="C144" s="659"/>
      <c r="D144" s="659"/>
      <c r="E144" s="659"/>
      <c r="F144" s="659"/>
      <c r="G144" s="659"/>
      <c r="H144" s="659"/>
      <c r="I144" s="659"/>
      <c r="J144" s="2787"/>
    </row>
    <row r="145" spans="1:36" ht="21.75" customHeight="1">
      <c r="A145" s="659"/>
      <c r="B145" s="1430"/>
      <c r="C145" s="1430"/>
      <c r="D145" s="1430"/>
      <c r="E145" s="1430"/>
      <c r="F145" s="1430"/>
      <c r="G145" s="1430"/>
      <c r="H145" s="1430"/>
      <c r="I145" s="1431" t="s">
        <v>1640</v>
      </c>
      <c r="J145" s="2788"/>
    </row>
    <row r="146" spans="1:36" ht="21.75" customHeight="1">
      <c r="A146" s="659"/>
      <c r="B146" s="1432"/>
      <c r="C146" s="1433"/>
      <c r="D146" s="1434"/>
      <c r="E146" s="1434"/>
      <c r="F146" s="1435"/>
      <c r="G146" s="659"/>
      <c r="H146" s="659"/>
      <c r="I146" s="659"/>
      <c r="J146" s="2787"/>
    </row>
    <row r="147" spans="1:36" s="32" customFormat="1" ht="21.75" customHeight="1">
      <c r="A147" s="659"/>
      <c r="B147" s="1432"/>
      <c r="C147" s="1433"/>
      <c r="D147" s="1434"/>
      <c r="E147" s="1434"/>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7"/>
      <c r="G516" s="1387"/>
      <c r="H516" s="1387"/>
      <c r="I516" s="1387"/>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87"/>
    <col min="2" max="2" width="17.6640625" style="1387" customWidth="1"/>
    <col min="3" max="4" width="12.6640625" style="1387" customWidth="1"/>
    <col min="5" max="9" width="12.6640625" style="1387"/>
    <col min="10" max="10" width="4.10937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87"/>
  </cols>
  <sheetData>
    <row r="1" spans="1:15" ht="21.75" customHeight="1">
      <c r="A1" s="1385" t="s">
        <v>1642</v>
      </c>
      <c r="B1" s="1386"/>
      <c r="C1" s="1386"/>
      <c r="D1" s="1386"/>
      <c r="E1" s="1386"/>
      <c r="F1" s="1386"/>
      <c r="G1" s="1386"/>
      <c r="H1" s="1386"/>
      <c r="I1" s="1386"/>
    </row>
    <row r="2" spans="1:15" ht="21.75" customHeight="1">
      <c r="A2" s="3541" t="s">
        <v>1643</v>
      </c>
      <c r="B2" s="3541"/>
      <c r="C2" s="3541"/>
      <c r="D2" s="3541"/>
      <c r="E2" s="3541"/>
      <c r="F2" s="3541"/>
      <c r="G2" s="3541"/>
      <c r="H2" s="3541"/>
      <c r="I2" s="3541"/>
      <c r="J2" s="2789"/>
    </row>
    <row r="3" spans="1:15" ht="13.2">
      <c r="A3" s="3501" t="s">
        <v>1471</v>
      </c>
      <c r="B3" s="3502"/>
      <c r="C3" s="3502"/>
      <c r="D3" s="3502"/>
      <c r="E3" s="3502"/>
      <c r="F3" s="3502"/>
      <c r="G3" s="3502"/>
      <c r="H3" s="3502"/>
      <c r="I3" s="3502"/>
      <c r="J3" s="2759"/>
    </row>
    <row r="4" spans="1:15" ht="14.4">
      <c r="A4" s="2627" t="s">
        <v>1472</v>
      </c>
      <c r="B4" s="2627" t="s">
        <v>1473</v>
      </c>
      <c r="C4" s="2628"/>
      <c r="D4" s="2628"/>
      <c r="E4" s="3498" t="s">
        <v>1644</v>
      </c>
      <c r="F4" s="3486"/>
      <c r="G4" s="3486"/>
      <c r="H4" s="3486"/>
      <c r="I4" s="3487"/>
      <c r="J4" s="2760"/>
      <c r="L4" s="138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6"/>
      <c r="O4" s="1386"/>
    </row>
    <row r="5" spans="1:15" ht="13.2">
      <c r="A5" s="3497" t="s">
        <v>1475</v>
      </c>
      <c r="B5" s="3497">
        <v>25</v>
      </c>
      <c r="C5" s="3503"/>
      <c r="D5" s="3500"/>
      <c r="E5" s="12" t="s">
        <v>1476</v>
      </c>
      <c r="F5" s="2014"/>
      <c r="G5" s="2014"/>
      <c r="H5" s="2014"/>
      <c r="I5" s="2009"/>
      <c r="J5" s="2760"/>
    </row>
    <row r="6" spans="1:15" ht="13.2">
      <c r="A6" s="3497"/>
      <c r="B6" s="3497"/>
      <c r="C6" s="3504"/>
      <c r="D6" s="3500"/>
      <c r="E6" s="12" t="s">
        <v>1477</v>
      </c>
      <c r="F6" s="2014"/>
      <c r="G6" s="2014"/>
      <c r="H6" s="2014"/>
      <c r="I6" s="2009"/>
      <c r="J6" s="2760"/>
    </row>
    <row r="7" spans="1:15" ht="13.2">
      <c r="A7" s="3497"/>
      <c r="B7" s="3497"/>
      <c r="C7" s="3505"/>
      <c r="D7" s="3500"/>
      <c r="E7" s="12" t="s">
        <v>1478</v>
      </c>
      <c r="F7" s="2014"/>
      <c r="G7" s="2014"/>
      <c r="H7" s="2014"/>
      <c r="I7" s="2009"/>
      <c r="J7" s="2760"/>
    </row>
    <row r="8" spans="1:15" ht="13.2">
      <c r="A8" s="3497" t="s">
        <v>1479</v>
      </c>
      <c r="B8" s="3497">
        <v>15</v>
      </c>
      <c r="C8" s="3503"/>
      <c r="D8" s="3500"/>
      <c r="E8" s="12" t="s">
        <v>1480</v>
      </c>
      <c r="F8" s="2014"/>
      <c r="G8" s="2014"/>
      <c r="H8" s="2014"/>
      <c r="I8" s="2009"/>
      <c r="J8" s="2760"/>
    </row>
    <row r="9" spans="1:15" ht="13.2">
      <c r="A9" s="3497"/>
      <c r="B9" s="3497"/>
      <c r="C9" s="3505"/>
      <c r="D9" s="3500"/>
      <c r="E9" s="12" t="s">
        <v>1481</v>
      </c>
      <c r="F9" s="2014"/>
      <c r="G9" s="2014"/>
      <c r="H9" s="2014"/>
      <c r="I9" s="2009"/>
      <c r="J9" s="2760"/>
    </row>
    <row r="10" spans="1:15" ht="13.2">
      <c r="A10" s="3497" t="s">
        <v>1482</v>
      </c>
      <c r="B10" s="3497">
        <v>15</v>
      </c>
      <c r="C10" s="3503"/>
      <c r="D10" s="3500"/>
      <c r="E10" s="12" t="s">
        <v>1483</v>
      </c>
      <c r="F10" s="2014"/>
      <c r="G10" s="2014"/>
      <c r="H10" s="2014"/>
      <c r="I10" s="2009"/>
      <c r="J10" s="2760"/>
    </row>
    <row r="11" spans="1:15" ht="13.2">
      <c r="A11" s="3497"/>
      <c r="B11" s="3497"/>
      <c r="C11" s="3505"/>
      <c r="D11" s="3500"/>
      <c r="E11" s="12" t="s">
        <v>1484</v>
      </c>
      <c r="F11" s="2014"/>
      <c r="G11" s="2014"/>
      <c r="H11" s="2014"/>
      <c r="I11" s="2009"/>
      <c r="J11" s="2760"/>
    </row>
    <row r="12" spans="1:15" ht="13.2">
      <c r="A12" s="3497" t="s">
        <v>1485</v>
      </c>
      <c r="B12" s="3497">
        <v>15</v>
      </c>
      <c r="C12" s="3503"/>
      <c r="D12" s="3500"/>
      <c r="E12" s="12" t="s">
        <v>1486</v>
      </c>
      <c r="F12" s="2014"/>
      <c r="G12" s="2014"/>
      <c r="H12" s="2014"/>
      <c r="I12" s="2009"/>
      <c r="J12" s="2760"/>
    </row>
    <row r="13" spans="1:15" ht="13.2">
      <c r="A13" s="3497"/>
      <c r="B13" s="3497"/>
      <c r="C13" s="3505"/>
      <c r="D13" s="3500"/>
      <c r="E13" s="12" t="s">
        <v>1487</v>
      </c>
      <c r="F13" s="2014"/>
      <c r="G13" s="2014"/>
      <c r="H13" s="2014"/>
      <c r="I13" s="2009"/>
      <c r="J13" s="2760"/>
    </row>
    <row r="14" spans="1:15" ht="13.2">
      <c r="A14" s="3497" t="s">
        <v>1488</v>
      </c>
      <c r="B14" s="3497">
        <v>30</v>
      </c>
      <c r="C14" s="3503"/>
      <c r="D14" s="3500"/>
      <c r="E14" s="12" t="s">
        <v>1489</v>
      </c>
      <c r="F14" s="2014"/>
      <c r="G14" s="2014"/>
      <c r="H14" s="2014"/>
      <c r="I14" s="2009"/>
      <c r="J14" s="2760"/>
    </row>
    <row r="15" spans="1:15" ht="13.2">
      <c r="A15" s="3497"/>
      <c r="B15" s="3497"/>
      <c r="C15" s="3504"/>
      <c r="D15" s="3500"/>
      <c r="E15" s="12" t="s">
        <v>1490</v>
      </c>
      <c r="F15" s="2014"/>
      <c r="G15" s="2014"/>
      <c r="H15" s="2014"/>
      <c r="I15" s="2009"/>
      <c r="J15" s="2760"/>
    </row>
    <row r="16" spans="1:15" ht="13.2">
      <c r="A16" s="3497"/>
      <c r="B16" s="3497"/>
      <c r="C16" s="3505"/>
      <c r="D16" s="3500"/>
      <c r="E16" s="12" t="s">
        <v>1491</v>
      </c>
      <c r="F16" s="2014"/>
      <c r="G16" s="2014"/>
      <c r="H16" s="2014"/>
      <c r="I16" s="2009"/>
      <c r="J16" s="2760"/>
    </row>
    <row r="17" spans="1:36" ht="14.4">
      <c r="A17" s="2629" t="s">
        <v>1492</v>
      </c>
      <c r="B17" s="2019"/>
      <c r="C17" s="2630">
        <f>SUM(C5:C16)</f>
        <v>0</v>
      </c>
      <c r="D17" s="2630">
        <f>SUM(D5:D16)</f>
        <v>0</v>
      </c>
      <c r="E17" s="2478"/>
      <c r="F17" s="2478"/>
      <c r="G17" s="2478"/>
      <c r="H17" s="2478"/>
      <c r="I17" s="2478"/>
      <c r="J17" s="2761"/>
    </row>
    <row r="18" spans="1:36" ht="32.4" customHeight="1" thickBot="1">
      <c r="A18" s="2631" t="s">
        <v>1493</v>
      </c>
      <c r="B18" s="2632"/>
      <c r="C18" s="2633" t="e">
        <f>ROUND(C17/SUM(C17:D17),2)</f>
        <v>#DIV/0!</v>
      </c>
      <c r="D18" s="2633" t="e">
        <f>1-C18</f>
        <v>#DIV/0!</v>
      </c>
      <c r="E18" s="3517" t="s">
        <v>2572</v>
      </c>
      <c r="F18" s="3518"/>
      <c r="G18" s="3518"/>
      <c r="H18" s="3518"/>
      <c r="I18" s="3518"/>
      <c r="J18" s="2761"/>
    </row>
    <row r="19" spans="1:36" ht="14.4">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78"/>
      <c r="J19" s="2761"/>
    </row>
    <row r="20" spans="1:36" ht="14.4">
      <c r="A20" s="2640"/>
      <c r="B20" s="1619" t="s">
        <v>1497</v>
      </c>
      <c r="C20" s="1844" t="e">
        <f ca="1">SUMIF(INDIRECT("'"&amp;C4&amp;"'"&amp;"!A:A"),'结果表 (1修多)'!B20,INDIRECT("'"&amp;C4&amp;"'"&amp;"!B:B"))</f>
        <v>#REF!</v>
      </c>
      <c r="D20" s="1847" t="e">
        <f ca="1">SUMIF(INDIRECT("'"&amp;D4&amp;"'"&amp;"!A:A"),'结果表 (1修多)'!B20,INDIRECT("'"&amp;D4&amp;"'"&amp;"!B:B"))</f>
        <v>#REF!</v>
      </c>
      <c r="E20" s="2640"/>
      <c r="F20" s="1619" t="s">
        <v>1497</v>
      </c>
      <c r="G20" s="2018" t="e">
        <f ca="1">ROUND(C20*$C$18+D20*$D$18,0)</f>
        <v>#REF!</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t="e">
        <f ca="1">IF(C19&lt;D19,D19/C19-1,C19/D19-1)</f>
        <v>#REF!</v>
      </c>
      <c r="E22" s="905"/>
      <c r="F22" s="905"/>
      <c r="G22" s="905"/>
      <c r="H22" s="905"/>
      <c r="I22" s="905"/>
      <c r="J22" s="2761"/>
    </row>
    <row r="23" spans="1:36" ht="13.8" thickBot="1">
      <c r="A23" s="2478"/>
      <c r="B23" s="2478"/>
      <c r="C23" s="2478"/>
      <c r="D23" s="2478"/>
      <c r="E23" s="905"/>
      <c r="F23" s="905"/>
      <c r="G23" s="905"/>
      <c r="H23" s="905"/>
      <c r="I23" s="905"/>
      <c r="J23" s="2761"/>
    </row>
    <row r="24" spans="1:36" ht="21.75" customHeight="1">
      <c r="A24" s="3506" t="s">
        <v>1500</v>
      </c>
      <c r="B24" s="2635" t="s">
        <v>1495</v>
      </c>
      <c r="C24" s="2638">
        <f>D30</f>
        <v>0</v>
      </c>
      <c r="D24" s="2590"/>
      <c r="E24" s="905"/>
      <c r="F24" s="905"/>
      <c r="G24" s="905"/>
      <c r="H24" s="905"/>
      <c r="I24" s="905"/>
      <c r="J24" s="2761"/>
    </row>
    <row r="25" spans="1:36" ht="21.75" customHeight="1">
      <c r="A25" s="3507"/>
      <c r="B25" s="1619"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4">
      <c r="A27" s="2655" t="s">
        <v>1645</v>
      </c>
      <c r="B27" s="2653">
        <v>0</v>
      </c>
      <c r="C27" s="2653">
        <v>0</v>
      </c>
      <c r="D27" s="2654">
        <f>ROUND(C27*B27/10000,0)</f>
        <v>0</v>
      </c>
      <c r="E27" s="905"/>
      <c r="F27" s="905"/>
      <c r="G27" s="905"/>
      <c r="H27" s="905"/>
      <c r="I27" s="905"/>
      <c r="J27" s="2761"/>
    </row>
    <row r="28" spans="1:36" ht="13.8">
      <c r="A28" s="2652"/>
      <c r="B28" s="2653"/>
      <c r="C28" s="2653"/>
      <c r="D28" s="2654">
        <f>ROUND(C28*B28/10000,0)</f>
        <v>0</v>
      </c>
      <c r="E28" s="905"/>
      <c r="F28" s="905"/>
      <c r="G28" s="905"/>
      <c r="H28" s="905"/>
      <c r="I28" s="905"/>
      <c r="J28" s="2761"/>
    </row>
    <row r="29" spans="1:36" ht="13.8">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2576</v>
      </c>
      <c r="F30" s="2478"/>
      <c r="G30" s="2478"/>
      <c r="H30" s="2478"/>
      <c r="I30" s="2478"/>
      <c r="J30" s="2761"/>
    </row>
    <row r="31" spans="1:36" s="2754" customFormat="1" ht="27.6" customHeight="1" thickTop="1" thickBot="1">
      <c r="A31" s="2749"/>
      <c r="B31" s="2750"/>
      <c r="C31" s="2750"/>
      <c r="D31" s="2750"/>
      <c r="E31" s="2750"/>
      <c r="F31" s="2750"/>
      <c r="G31" s="2750"/>
      <c r="H31" s="2750"/>
      <c r="I31" s="2751" t="s">
        <v>2577</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0" customFormat="1" ht="15.6" thickTop="1" thickBot="1">
      <c r="A32" s="3563" t="s">
        <v>1647</v>
      </c>
      <c r="B32" s="3563"/>
      <c r="C32" s="3563"/>
      <c r="D32" s="3563"/>
      <c r="E32" s="3563"/>
      <c r="F32" s="3563"/>
      <c r="G32" s="3563"/>
      <c r="H32" s="3563"/>
      <c r="I32" s="3563"/>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6"/>
      <c r="B33" s="2690" t="s">
        <v>1648</v>
      </c>
      <c r="C33" s="2691">
        <f>典型户型修正!R27</f>
        <v>0</v>
      </c>
      <c r="D33" s="2478" t="s">
        <v>1649</v>
      </c>
      <c r="E33" s="905"/>
      <c r="F33" s="905"/>
      <c r="G33" s="905"/>
      <c r="H33" s="905"/>
      <c r="I33" s="905"/>
      <c r="J33" s="2761"/>
    </row>
    <row r="34" spans="1:16" ht="14.4">
      <c r="A34" s="1437" t="s">
        <v>1650</v>
      </c>
      <c r="B34" s="2692" t="s">
        <v>1651</v>
      </c>
      <c r="C34" s="2693">
        <f>典型户型修正!B2</f>
        <v>0</v>
      </c>
      <c r="D34" s="2694" t="str">
        <f>IF('数据-取费表'!B3="万元","万元","元")</f>
        <v>元</v>
      </c>
      <c r="E34" s="905"/>
      <c r="F34" s="905"/>
      <c r="G34" s="905"/>
      <c r="H34" s="905"/>
      <c r="I34" s="905"/>
      <c r="J34" s="2761"/>
    </row>
    <row r="35" spans="1:16" ht="15" thickBot="1">
      <c r="A35" s="1438"/>
      <c r="B35" s="2695" t="s">
        <v>1652</v>
      </c>
      <c r="C35" s="2644" t="e">
        <f>典型户型修正!B3</f>
        <v>#DIV/0!</v>
      </c>
      <c r="D35" s="2478" t="s">
        <v>1653</v>
      </c>
      <c r="E35" s="905"/>
      <c r="F35" s="905"/>
      <c r="G35" s="905"/>
      <c r="H35" s="905"/>
      <c r="I35" s="905"/>
      <c r="J35" s="2761"/>
    </row>
    <row r="36" spans="1:16" ht="14.4">
      <c r="A36" s="1439"/>
      <c r="B36" s="1393" t="s">
        <v>1654</v>
      </c>
      <c r="C36" s="2696">
        <f>IF('数据-取费表'!B3="万元",典型户型修正!V25,典型户型修正!U25)</f>
        <v>0</v>
      </c>
      <c r="D36" s="2478" t="str">
        <f>D34</f>
        <v>元</v>
      </c>
      <c r="E36" s="905"/>
      <c r="F36" s="905"/>
      <c r="G36" s="905"/>
      <c r="H36" s="905"/>
      <c r="I36" s="905"/>
      <c r="J36" s="2761"/>
    </row>
    <row r="37" spans="1:16" ht="15" thickBot="1">
      <c r="A37" s="1392"/>
      <c r="B37" s="1394" t="s">
        <v>1655</v>
      </c>
      <c r="C37" s="2697">
        <f>IF('数据-取费表'!B3="万元",典型户型修正!Y25,典型户型修正!X25)</f>
        <v>0</v>
      </c>
      <c r="D37" s="2478" t="str">
        <f>D34</f>
        <v>元</v>
      </c>
      <c r="E37" s="905"/>
      <c r="F37" s="905"/>
      <c r="G37" s="905"/>
      <c r="H37" s="905"/>
      <c r="I37" s="905"/>
      <c r="J37" s="2761"/>
    </row>
    <row r="38" spans="1:16" ht="15" thickBot="1">
      <c r="A38" s="3506" t="s">
        <v>1656</v>
      </c>
      <c r="B38" s="1393" t="s">
        <v>1657</v>
      </c>
      <c r="C38" s="2671"/>
      <c r="D38" s="2672"/>
      <c r="E38" s="1605"/>
      <c r="F38" s="1605"/>
      <c r="G38" s="905"/>
      <c r="H38" s="905"/>
      <c r="I38" s="905"/>
      <c r="J38" s="2761"/>
    </row>
    <row r="39" spans="1:16" ht="15" thickBot="1">
      <c r="A39" s="3511"/>
      <c r="B39" s="2019" t="s">
        <v>1658</v>
      </c>
      <c r="C39" s="2673"/>
      <c r="D39" s="1239"/>
      <c r="E39" s="1239"/>
      <c r="F39" s="1605"/>
      <c r="G39" s="1239"/>
      <c r="H39" s="1239"/>
      <c r="I39" s="1239"/>
      <c r="J39" s="2765"/>
    </row>
    <row r="40" spans="1:16" ht="15" thickBot="1">
      <c r="A40" s="3512"/>
      <c r="B40" s="1394" t="s">
        <v>1659</v>
      </c>
      <c r="C40" s="2674"/>
      <c r="D40" s="2675" t="s">
        <v>1660</v>
      </c>
      <c r="E40" s="1239"/>
      <c r="F40" s="1605"/>
      <c r="G40" s="1239"/>
      <c r="H40" s="1239"/>
      <c r="I40" s="1239"/>
      <c r="J40" s="2765"/>
    </row>
    <row r="41" spans="1:16" ht="14.4">
      <c r="A41" s="2640" t="s">
        <v>1661</v>
      </c>
      <c r="B41" s="2676" t="s">
        <v>1662</v>
      </c>
      <c r="C41" s="2677" t="s">
        <v>1663</v>
      </c>
      <c r="D41" s="2677" t="s">
        <v>1664</v>
      </c>
      <c r="E41" s="2678" t="s">
        <v>1665</v>
      </c>
      <c r="F41" s="1605"/>
      <c r="G41" s="1239"/>
      <c r="H41" s="1239"/>
      <c r="I41" s="1239"/>
      <c r="J41" s="2765"/>
    </row>
    <row r="42" spans="1:16" ht="13.8">
      <c r="A42" s="2679" t="s">
        <v>1666</v>
      </c>
      <c r="B42" s="2680"/>
      <c r="C42" s="2681"/>
      <c r="D42" s="2681"/>
      <c r="E42" s="2682"/>
      <c r="F42" s="1605"/>
      <c r="G42" s="1239"/>
      <c r="H42" s="1239"/>
      <c r="I42" s="1239"/>
      <c r="J42" s="2765"/>
    </row>
    <row r="43" spans="1:16" ht="13.8">
      <c r="A43" s="2679" t="s">
        <v>1667</v>
      </c>
      <c r="B43" s="2680"/>
      <c r="C43" s="2681"/>
      <c r="D43" s="2681"/>
      <c r="E43" s="2682"/>
      <c r="F43" s="1605"/>
      <c r="G43" s="1239"/>
      <c r="H43" s="1239"/>
      <c r="I43" s="1239"/>
      <c r="J43" s="2765"/>
    </row>
    <row r="44" spans="1:16" ht="14.4" thickBot="1">
      <c r="A44" s="2683"/>
      <c r="B44" s="2684"/>
      <c r="C44" s="2685"/>
      <c r="D44" s="2685"/>
      <c r="E44" s="2670"/>
      <c r="F44" s="1605"/>
      <c r="G44" s="1239"/>
      <c r="H44" s="1239"/>
      <c r="I44" s="1239"/>
      <c r="J44" s="2765"/>
    </row>
    <row r="45" spans="1:16" ht="13.2">
      <c r="A45" s="1406"/>
      <c r="B45" s="1406"/>
      <c r="C45" s="1406"/>
      <c r="D45" s="1406"/>
      <c r="E45" s="1406"/>
      <c r="F45" s="1363"/>
      <c r="G45" s="1363"/>
      <c r="H45" s="1363"/>
      <c r="I45" s="2686"/>
      <c r="J45" s="2766"/>
    </row>
    <row r="46" spans="1:16" ht="17.399999999999999">
      <c r="A46" s="1396" t="s">
        <v>1668</v>
      </c>
      <c r="B46" s="1397"/>
      <c r="C46" s="1397"/>
      <c r="D46" s="2698"/>
      <c r="E46" s="2698"/>
      <c r="F46" s="2698"/>
      <c r="G46" s="2698"/>
      <c r="H46" s="2698"/>
      <c r="I46" s="2755" t="s">
        <v>2571</v>
      </c>
      <c r="J46" s="2791"/>
      <c r="K46" s="1400" t="s">
        <v>1523</v>
      </c>
      <c r="L46" s="1401"/>
      <c r="M46" s="1401"/>
      <c r="N46" s="1401"/>
      <c r="O46" s="1401"/>
      <c r="P46" s="1401"/>
    </row>
    <row r="47" spans="1:16" ht="14.25" customHeight="1" thickBot="1">
      <c r="A47" s="3431" t="s">
        <v>1669</v>
      </c>
      <c r="B47" s="3432"/>
      <c r="C47" s="3442"/>
      <c r="D47" s="246">
        <f>ROUND(I104*F47,0)</f>
        <v>0</v>
      </c>
      <c r="E47" s="1467" t="s">
        <v>1670</v>
      </c>
      <c r="F47" s="2476">
        <v>1</v>
      </c>
      <c r="G47" s="2477" t="s">
        <v>1671</v>
      </c>
      <c r="H47" s="905"/>
      <c r="I47" s="905"/>
      <c r="J47" s="2761"/>
      <c r="K47" s="3536" t="s">
        <v>1527</v>
      </c>
      <c r="L47" s="3536"/>
      <c r="M47" s="3536"/>
      <c r="N47" s="3536"/>
      <c r="O47" s="3536"/>
      <c r="P47" s="3536"/>
    </row>
    <row r="48" spans="1:16" ht="14.25" customHeight="1">
      <c r="A48" s="3508" t="s">
        <v>1528</v>
      </c>
      <c r="B48" s="3509"/>
      <c r="C48" s="3509"/>
      <c r="D48" s="3509"/>
      <c r="E48" s="3509"/>
      <c r="F48" s="3509"/>
      <c r="G48" s="3510"/>
      <c r="H48" s="2893"/>
      <c r="I48" s="905"/>
      <c r="J48" s="2761"/>
      <c r="K48" s="2428">
        <v>1</v>
      </c>
      <c r="L48" s="3537" t="s">
        <v>1529</v>
      </c>
      <c r="M48" s="3537"/>
      <c r="N48" s="3538"/>
      <c r="O48" s="3538"/>
      <c r="P48" s="3538"/>
    </row>
    <row r="49" spans="1:17" ht="12" customHeight="1">
      <c r="A49" s="38" t="s">
        <v>1530</v>
      </c>
      <c r="B49" s="39"/>
      <c r="C49" s="40"/>
      <c r="D49" s="1028" t="s">
        <v>1531</v>
      </c>
      <c r="E49" s="235" t="s">
        <v>1532</v>
      </c>
      <c r="F49" s="41" t="s">
        <v>1533</v>
      </c>
      <c r="G49" s="2479" t="s">
        <v>1534</v>
      </c>
      <c r="H49" s="2893"/>
      <c r="I49" s="905"/>
      <c r="J49" s="2761"/>
      <c r="K49" s="2428">
        <v>2</v>
      </c>
      <c r="L49" s="3537" t="s">
        <v>1535</v>
      </c>
      <c r="M49" s="3537"/>
      <c r="N49" s="3540">
        <f>'数据-取费表'!B2</f>
        <v>44701</v>
      </c>
      <c r="O49" s="3540"/>
      <c r="P49" s="3540"/>
    </row>
    <row r="50" spans="1:17" ht="26.4">
      <c r="A50" s="3513" t="s">
        <v>1536</v>
      </c>
      <c r="B50" s="3447"/>
      <c r="C50" s="3447"/>
      <c r="D50" s="12">
        <f>IF(H50="情况1",0,IF(H50="情况2",D54,IF(H50="情况3",D55,IF(H50="情况4",D56))))</f>
        <v>0</v>
      </c>
      <c r="E50" s="2017" t="str">
        <f>IF(H50="情况4","(销售额-原购置价)×税（费）率","销售额×税（费）率")</f>
        <v>销售额×税（费）率</v>
      </c>
      <c r="F50" s="2480">
        <f>IF(H50="情况1","免征",'数据-取费表'!E29)</f>
        <v>5.5000000000000007E-2</v>
      </c>
      <c r="G50" s="2481" t="s">
        <v>1537</v>
      </c>
      <c r="H50" s="2482" t="s">
        <v>1538</v>
      </c>
      <c r="I50" s="2893"/>
      <c r="J50" s="2768"/>
      <c r="K50" s="2428">
        <v>3</v>
      </c>
      <c r="L50" s="3537" t="s">
        <v>1539</v>
      </c>
      <c r="M50" s="3537"/>
      <c r="N50" s="3542">
        <f>I104</f>
        <v>0</v>
      </c>
      <c r="O50" s="3542"/>
      <c r="P50" s="3542"/>
    </row>
    <row r="51" spans="1:17" ht="25.5" customHeight="1">
      <c r="A51" s="2016" t="s">
        <v>1540</v>
      </c>
      <c r="B51" s="3486" t="s">
        <v>1541</v>
      </c>
      <c r="C51" s="3486"/>
      <c r="D51" s="2483">
        <v>0</v>
      </c>
      <c r="E51" s="261" t="s">
        <v>1542</v>
      </c>
      <c r="F51" s="2484" t="s">
        <v>48</v>
      </c>
      <c r="G51" s="3428"/>
      <c r="H51" s="2485" t="s">
        <v>2496</v>
      </c>
      <c r="I51" s="2486"/>
      <c r="J51" s="2769"/>
      <c r="K51" s="2428">
        <v>4</v>
      </c>
      <c r="L51" s="3537" t="str">
        <f>IF(项目基本情况!F5="房地产抵押价值","房地产抵押价值","抵押担保权已注销时的房地产抵押价值")</f>
        <v>抵押担保权已注销时的房地产抵押价值</v>
      </c>
      <c r="M51" s="3537"/>
      <c r="N51" s="3542">
        <f>IF(项目基本情况!F5="房地产抵押价值",I112,I114)</f>
        <v>0</v>
      </c>
      <c r="O51" s="3542"/>
      <c r="P51" s="3542"/>
    </row>
    <row r="52" spans="1:17" ht="25.5" customHeight="1">
      <c r="A52" s="2006"/>
      <c r="B52" s="3486" t="s">
        <v>1543</v>
      </c>
      <c r="C52" s="3486"/>
      <c r="D52" s="2487"/>
      <c r="E52" s="269"/>
      <c r="F52" s="2484"/>
      <c r="G52" s="3429"/>
      <c r="H52" s="2488" t="s">
        <v>2497</v>
      </c>
      <c r="I52" s="2486"/>
      <c r="J52" s="2769"/>
      <c r="K52" s="3537" t="s">
        <v>1544</v>
      </c>
      <c r="L52" s="3537"/>
      <c r="M52" s="3537"/>
      <c r="N52" s="3537"/>
      <c r="O52" s="3537"/>
      <c r="P52" s="3537"/>
    </row>
    <row r="53" spans="1:17" ht="20.399999999999999" customHeight="1">
      <c r="A53" s="2489"/>
      <c r="B53" s="3486" t="s">
        <v>1545</v>
      </c>
      <c r="C53" s="3486"/>
      <c r="D53" s="1028"/>
      <c r="E53" s="264"/>
      <c r="F53" s="2484"/>
      <c r="G53" s="3430"/>
      <c r="H53" s="2488" t="s">
        <v>2498</v>
      </c>
      <c r="I53" s="2486"/>
      <c r="J53" s="2769"/>
      <c r="K53" s="2429" t="s">
        <v>1546</v>
      </c>
      <c r="L53" s="3537" t="s">
        <v>1547</v>
      </c>
      <c r="M53" s="3537"/>
      <c r="N53" s="2429" t="s">
        <v>1548</v>
      </c>
      <c r="O53" s="2429" t="s">
        <v>1549</v>
      </c>
      <c r="P53" s="2429" t="s">
        <v>1550</v>
      </c>
    </row>
    <row r="54" spans="1:17" ht="24" customHeight="1">
      <c r="A54" s="2007" t="s">
        <v>1551</v>
      </c>
      <c r="B54" s="3486" t="s">
        <v>1552</v>
      </c>
      <c r="C54" s="3486"/>
      <c r="D54" s="1028">
        <f>ROUND(D47*'数据-取费表'!E29/(1+'数据-取费表'!F30),0)</f>
        <v>0</v>
      </c>
      <c r="E54" s="2017" t="s">
        <v>1553</v>
      </c>
      <c r="F54" s="2490">
        <f>'数据-取费表'!E29</f>
        <v>5.5000000000000007E-2</v>
      </c>
      <c r="G54" s="2491"/>
      <c r="H54" s="905"/>
      <c r="I54" s="2894"/>
      <c r="J54" s="2769"/>
      <c r="K54" s="2428">
        <v>1</v>
      </c>
      <c r="L54" s="3539" t="s">
        <v>1554</v>
      </c>
      <c r="M54" s="3539"/>
      <c r="N54" s="2430">
        <f>D50</f>
        <v>0</v>
      </c>
      <c r="O54" s="2428" t="str">
        <f>E50</f>
        <v>销售额×税（费）率</v>
      </c>
      <c r="P54" s="2431">
        <f>F50</f>
        <v>5.5000000000000007E-2</v>
      </c>
    </row>
    <row r="55" spans="1:17" ht="12" customHeight="1">
      <c r="A55" s="2007" t="s">
        <v>1555</v>
      </c>
      <c r="B55" s="3498" t="s">
        <v>2589</v>
      </c>
      <c r="C55" s="3487"/>
      <c r="D55" s="1028">
        <f>ROUND(D47*'数据-取费表'!E29/(1+'数据-取费表'!F30),0)</f>
        <v>0</v>
      </c>
      <c r="E55" s="2017" t="s">
        <v>1553</v>
      </c>
      <c r="F55" s="2490">
        <f>'数据-取费表'!E29</f>
        <v>5.5000000000000007E-2</v>
      </c>
      <c r="G55" s="2491"/>
      <c r="H55" s="905"/>
      <c r="I55" s="2894"/>
      <c r="J55" s="2769"/>
      <c r="K55" s="2428">
        <v>2</v>
      </c>
      <c r="L55" s="3539" t="s">
        <v>1556</v>
      </c>
      <c r="M55" s="3539"/>
      <c r="N55" s="2430">
        <f t="shared" ref="N55:P56" si="1">D57</f>
        <v>0</v>
      </c>
      <c r="O55" s="2428" t="str">
        <f t="shared" si="1"/>
        <v>销售额×税（费）率</v>
      </c>
      <c r="P55" s="2431">
        <f t="shared" si="1"/>
        <v>5.0000000000000001E-4</v>
      </c>
    </row>
    <row r="56" spans="1:17" ht="12" customHeight="1">
      <c r="A56" s="2007" t="s">
        <v>1557</v>
      </c>
      <c r="B56" s="3498" t="s">
        <v>2590</v>
      </c>
      <c r="C56" s="3487"/>
      <c r="D56" s="1028">
        <f>C70</f>
        <v>0</v>
      </c>
      <c r="E56" s="264" t="s">
        <v>1558</v>
      </c>
      <c r="F56" s="2490">
        <f>'数据-取费表'!E29</f>
        <v>5.5000000000000007E-2</v>
      </c>
      <c r="G56" s="2491"/>
      <c r="H56" s="2895"/>
      <c r="I56" s="2894"/>
      <c r="J56" s="2769"/>
      <c r="K56" s="2428">
        <v>3</v>
      </c>
      <c r="L56" s="3539" t="s">
        <v>1559</v>
      </c>
      <c r="M56" s="3539"/>
      <c r="N56" s="2430">
        <f t="shared" si="1"/>
        <v>0</v>
      </c>
      <c r="O56" s="2428" t="str">
        <f t="shared" si="1"/>
        <v>增值额×税（费）率</v>
      </c>
      <c r="P56" s="2432" t="str">
        <f t="shared" si="1"/>
        <v>——</v>
      </c>
    </row>
    <row r="57" spans="1:17" ht="24" customHeight="1">
      <c r="A57" s="3451" t="s">
        <v>1560</v>
      </c>
      <c r="B57" s="3447"/>
      <c r="C57" s="3447"/>
      <c r="D57" s="12">
        <f>IF(H57="个人住宅",0,ROUND(D47*I57,0))</f>
        <v>0</v>
      </c>
      <c r="E57" s="2017" t="s">
        <v>1561</v>
      </c>
      <c r="F57" s="2490">
        <f>IF(H57="正常",I57,"免征")</f>
        <v>5.0000000000000001E-4</v>
      </c>
      <c r="G57" s="2491"/>
      <c r="H57" s="2482" t="s">
        <v>1562</v>
      </c>
      <c r="I57" s="74">
        <f>'数据-取费表'!E37</f>
        <v>5.0000000000000001E-4</v>
      </c>
      <c r="J57" s="2769"/>
      <c r="K57" s="2428">
        <f>IF(H61="非个人房产","",4)</f>
        <v>4</v>
      </c>
      <c r="L57" s="3539" t="str">
        <f>IF(H61="非个人房产","——","个人所得税")</f>
        <v>个人所得税</v>
      </c>
      <c r="M57" s="3539"/>
      <c r="N57" s="2433">
        <f>D61</f>
        <v>0</v>
      </c>
      <c r="O57" s="2434" t="str">
        <f>E61</f>
        <v>销售额×税（费）率</v>
      </c>
      <c r="P57" s="2435">
        <f>F61</f>
        <v>0.01</v>
      </c>
    </row>
    <row r="58" spans="1:17" ht="25.2">
      <c r="A58" s="3451" t="s">
        <v>1563</v>
      </c>
      <c r="B58" s="3447"/>
      <c r="C58" s="3447"/>
      <c r="D58" s="12">
        <f>IF(H58="个人住宅",D59,D60)</f>
        <v>0</v>
      </c>
      <c r="E58" s="2017" t="s">
        <v>1564</v>
      </c>
      <c r="F58" s="2490" t="str">
        <f>IF(H58="正常",F60,"免征")</f>
        <v>——</v>
      </c>
      <c r="G58" s="2492" t="s">
        <v>1565</v>
      </c>
      <c r="H58" s="2493" t="s">
        <v>1562</v>
      </c>
      <c r="I58" s="2896"/>
      <c r="J58" s="2769"/>
      <c r="K58" s="2428" t="str">
        <f>IF(项目基本情况!I6="上海银行",IF(K57="",4,K57+1),"")</f>
        <v/>
      </c>
      <c r="L58" s="3543" t="str">
        <f>IF(项目基本情况!I6="上海银行","其他处置费用","")</f>
        <v/>
      </c>
      <c r="M58" s="3548"/>
      <c r="N58" s="2430" t="str">
        <f>IF(项目基本情况!I6="上海银行",N71,"")</f>
        <v/>
      </c>
      <c r="O58" s="3543" t="str">
        <f>IF(项目基本情况!I6="上海银行","包含处置中涉及的律师、诉讼、拍卖、评估等费用","")</f>
        <v/>
      </c>
      <c r="P58" s="3544"/>
    </row>
    <row r="59" spans="1:17" ht="13.2">
      <c r="A59" s="2007" t="s">
        <v>1540</v>
      </c>
      <c r="B59" s="3498" t="s">
        <v>1566</v>
      </c>
      <c r="C59" s="3487"/>
      <c r="D59" s="2483">
        <v>0</v>
      </c>
      <c r="E59" s="261" t="s">
        <v>1542</v>
      </c>
      <c r="F59" s="235"/>
      <c r="G59" s="2491"/>
      <c r="H59" s="2896"/>
      <c r="I59" s="2896"/>
      <c r="J59" s="2769"/>
      <c r="K59" s="3539">
        <f>IF(AND(K57="",K58=""),4,IF(项目基本情况!I6="上海银行",K58+1,K57+1))</f>
        <v>5</v>
      </c>
      <c r="L59" s="3539" t="s">
        <v>1567</v>
      </c>
      <c r="M59" s="2436" t="s">
        <v>1568</v>
      </c>
      <c r="N59" s="2437"/>
      <c r="O59" s="2438">
        <f>SUMIF(N54:N58,"&lt;9e307")</f>
        <v>0</v>
      </c>
      <c r="P59" s="2439"/>
      <c r="Q59" s="1234" t="e">
        <f>O59/N51</f>
        <v>#DIV/0!</v>
      </c>
    </row>
    <row r="60" spans="1:17" ht="25.2">
      <c r="A60" s="2007" t="s">
        <v>1551</v>
      </c>
      <c r="B60" s="3498" t="s">
        <v>1569</v>
      </c>
      <c r="C60" s="3486"/>
      <c r="D60" s="12">
        <f>IF(H60="转让取得",C83,C99)</f>
        <v>0</v>
      </c>
      <c r="E60" s="2017" t="s">
        <v>1564</v>
      </c>
      <c r="F60" s="235" t="s">
        <v>48</v>
      </c>
      <c r="G60" s="2491"/>
      <c r="H60" s="2493" t="s">
        <v>1570</v>
      </c>
      <c r="I60" s="2896"/>
      <c r="J60" s="2769"/>
      <c r="K60" s="3539"/>
      <c r="L60" s="3539"/>
      <c r="M60" s="2436" t="s">
        <v>1571</v>
      </c>
      <c r="N60" s="2440"/>
      <c r="O60" s="2441" t="str">
        <f>IF(H19="元",NUMBERSTRING(INT(O59),2)&amp;"元整",NUMBERSTRING(INT(O59*10000),2)&amp;"元整")</f>
        <v>零元整</v>
      </c>
      <c r="P60" s="2442"/>
    </row>
    <row r="61" spans="1:17" ht="27" thickBot="1">
      <c r="A61" s="3514" t="s">
        <v>1572</v>
      </c>
      <c r="B61" s="3515"/>
      <c r="C61" s="3515"/>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2569</v>
      </c>
      <c r="H61" s="2021" t="s">
        <v>2495</v>
      </c>
      <c r="I61" s="2797" t="s">
        <v>2581</v>
      </c>
      <c r="J61" s="2769"/>
      <c r="K61" s="3545">
        <f>K59+1</f>
        <v>6</v>
      </c>
      <c r="L61" s="3539" t="s">
        <v>1573</v>
      </c>
      <c r="M61" s="2428" t="s">
        <v>1568</v>
      </c>
      <c r="N61" s="2443"/>
      <c r="O61" s="2444">
        <f>N51-O59</f>
        <v>0</v>
      </c>
      <c r="P61" s="2445"/>
    </row>
    <row r="62" spans="1:17" ht="12" customHeight="1">
      <c r="A62" s="1382"/>
      <c r="B62" s="2478"/>
      <c r="C62" s="2478"/>
      <c r="D62" s="2478"/>
      <c r="E62" s="1382"/>
      <c r="F62" s="2896"/>
      <c r="G62" s="2896"/>
      <c r="H62" s="2891"/>
      <c r="I62" s="905"/>
      <c r="J62" s="2769"/>
      <c r="K62" s="3546"/>
      <c r="L62" s="3539"/>
      <c r="M62" s="2436" t="s">
        <v>1571</v>
      </c>
      <c r="N62" s="2440"/>
      <c r="O62" s="2441" t="str">
        <f>IF(H19="元",NUMBERSTRING(INT(O61),2)&amp;"元整",NUMBERSTRING(INT(O61*10000),2)&amp;"元整")</f>
        <v>零元整</v>
      </c>
      <c r="P62" s="2442"/>
    </row>
    <row r="63" spans="1:17" ht="13.8" thickBot="1">
      <c r="A63" s="3547" t="s">
        <v>1574</v>
      </c>
      <c r="B63" s="3547"/>
      <c r="C63" s="3547"/>
      <c r="D63" s="3547"/>
      <c r="E63" s="3547"/>
      <c r="F63" s="2896"/>
      <c r="G63" s="2896"/>
      <c r="H63" s="2891"/>
      <c r="I63" s="905"/>
      <c r="J63" s="2761"/>
      <c r="K63" s="2428">
        <f>K61+1</f>
        <v>7</v>
      </c>
      <c r="L63" s="3539" t="s">
        <v>1575</v>
      </c>
      <c r="M63" s="3539"/>
      <c r="N63" s="2446"/>
      <c r="O63" s="2447">
        <f>IF(H19="元",ROUND(O61/项目基本情况!C12,0),ROUND(O61*10000/项目基本情况!C12,0))</f>
        <v>0</v>
      </c>
      <c r="P63" s="2448"/>
    </row>
    <row r="64" spans="1:17" ht="13.2">
      <c r="A64" s="3465" t="s">
        <v>1576</v>
      </c>
      <c r="B64" s="3466"/>
      <c r="C64" s="1532"/>
      <c r="D64" s="1532" t="s">
        <v>1577</v>
      </c>
      <c r="E64" s="45" t="s">
        <v>1578</v>
      </c>
      <c r="F64" s="2896"/>
      <c r="G64" s="2896"/>
      <c r="H64" s="2891"/>
      <c r="I64" s="905"/>
      <c r="J64" s="2761"/>
      <c r="K64" s="1236"/>
      <c r="L64" s="1236"/>
      <c r="M64" s="1236"/>
      <c r="N64" s="1236"/>
      <c r="O64" s="1236"/>
    </row>
    <row r="65" spans="1:36" ht="13.2">
      <c r="A65" s="46">
        <v>1</v>
      </c>
      <c r="B65" s="47" t="s">
        <v>1579</v>
      </c>
      <c r="C65" s="2700">
        <f>ROUND((C66+C67)/(1+'数据-取费表'!F30),0)</f>
        <v>0</v>
      </c>
      <c r="D65" s="47"/>
      <c r="E65" s="48"/>
      <c r="F65" s="2896"/>
      <c r="G65" s="2896"/>
      <c r="H65" s="2891"/>
      <c r="I65" s="905"/>
      <c r="J65" s="2761"/>
      <c r="K65" s="3535" t="s">
        <v>1580</v>
      </c>
      <c r="L65" s="1235" t="s">
        <v>1581</v>
      </c>
      <c r="M65" s="1235">
        <f>IF(N51&gt;10000,N51*0.5%,IF(AND(N51&gt;1000,N51&lt;=10000),N51*1%,IF(AND(N51&gt;100,N51&lt;=1000),N51*3%,IF(AND(N51&gt;10,N51&lt;=100),N51*5%,N51*8%))))</f>
        <v>0</v>
      </c>
      <c r="N65" s="235">
        <f>ROUND(M65,1)</f>
        <v>0</v>
      </c>
      <c r="O65" s="2449"/>
    </row>
    <row r="66" spans="1:36" ht="13.2">
      <c r="A66" s="49" t="s">
        <v>71</v>
      </c>
      <c r="B66" s="50" t="s">
        <v>1582</v>
      </c>
      <c r="C66" s="2701">
        <f>D47</f>
        <v>0</v>
      </c>
      <c r="D66" s="50" t="s">
        <v>41</v>
      </c>
      <c r="E66" s="52"/>
      <c r="F66" s="2896"/>
      <c r="G66" s="2896"/>
      <c r="H66" s="2891"/>
      <c r="I66" s="905"/>
      <c r="J66" s="2761"/>
      <c r="K66" s="353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3.2">
      <c r="A67" s="49" t="s">
        <v>72</v>
      </c>
      <c r="B67" s="50" t="s">
        <v>1585</v>
      </c>
      <c r="C67" s="2702"/>
      <c r="D67" s="50"/>
      <c r="E67" s="52"/>
      <c r="F67" s="2896"/>
      <c r="G67" s="2896"/>
      <c r="H67" s="2891"/>
      <c r="I67" s="905"/>
      <c r="J67" s="2761"/>
      <c r="K67" s="3535"/>
      <c r="L67" s="1235" t="s">
        <v>1586</v>
      </c>
      <c r="M67" s="1235" t="b">
        <f>IF(N51&gt;1000,N51*0.1%,IF(AND(N51&gt;500,N51&lt;=1000),N51*0.5%,IF(AND(N51&gt;50,N51&lt;=500),N51*1%,IF(AND(N51&gt;1,N51&lt;=50),N51*1.5%))))</f>
        <v>0</v>
      </c>
      <c r="N67" s="235">
        <f t="shared" si="2"/>
        <v>0</v>
      </c>
      <c r="O67" s="2449" t="s">
        <v>1584</v>
      </c>
    </row>
    <row r="68" spans="1:36" ht="13.2">
      <c r="A68" s="53" t="s">
        <v>47</v>
      </c>
      <c r="B68" s="54" t="s">
        <v>1587</v>
      </c>
      <c r="C68" s="2703"/>
      <c r="D68" s="54" t="s">
        <v>41</v>
      </c>
      <c r="E68" s="1244" t="s">
        <v>1588</v>
      </c>
      <c r="F68" s="2896"/>
      <c r="G68" s="2896"/>
      <c r="H68" s="2891"/>
      <c r="I68" s="905"/>
      <c r="J68" s="2761"/>
      <c r="K68" s="3535"/>
      <c r="L68" s="1235" t="s">
        <v>1589</v>
      </c>
      <c r="M68" s="1235">
        <f>N51*0.5%</f>
        <v>0</v>
      </c>
      <c r="N68" s="235">
        <f>IF(M68&gt;0.5,0.5,ROUND(M68,0))</f>
        <v>0</v>
      </c>
      <c r="O68" s="2449" t="s">
        <v>1590</v>
      </c>
    </row>
    <row r="69" spans="1:36" ht="13.2">
      <c r="A69" s="53" t="s">
        <v>42</v>
      </c>
      <c r="B69" s="54" t="s">
        <v>1591</v>
      </c>
      <c r="C69" s="2704">
        <f>C65-C68</f>
        <v>0</v>
      </c>
      <c r="D69" s="50" t="s">
        <v>41</v>
      </c>
      <c r="E69" s="52"/>
      <c r="F69" s="2896"/>
      <c r="G69" s="2896"/>
      <c r="H69" s="2891"/>
      <c r="I69" s="905"/>
      <c r="J69" s="2761"/>
      <c r="K69" s="353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8" thickBot="1">
      <c r="A70" s="55" t="s">
        <v>46</v>
      </c>
      <c r="B70" s="56" t="s">
        <v>1593</v>
      </c>
      <c r="C70" s="2705">
        <f>IF(C69&lt;=0,0,ROUND(C69*D70,0))</f>
        <v>0</v>
      </c>
      <c r="D70" s="2167">
        <f>'数据-取费表'!E29</f>
        <v>5.5000000000000007E-2</v>
      </c>
      <c r="E70" s="57"/>
      <c r="F70" s="2896"/>
      <c r="G70" s="2896"/>
      <c r="H70" s="2891"/>
      <c r="I70" s="905"/>
      <c r="J70" s="2761"/>
      <c r="K70" s="3535"/>
      <c r="L70" s="1235" t="s">
        <v>1594</v>
      </c>
      <c r="M70" s="1235">
        <f>IF(N51&gt;10000,N51*0.5%,IF(AND(N51&gt;5000,N51&lt;=10000),N51*1%,IF(AND(N51&gt;1000,N51&lt;=5000),N51*2%,IF(AND(N51&gt;200,N51&lt;=1000),N51*3%,N51*5%))))</f>
        <v>0</v>
      </c>
      <c r="N70" s="235">
        <f>ROUND(M70,1)</f>
        <v>0</v>
      </c>
      <c r="O70" s="2449"/>
    </row>
    <row r="71" spans="1:36" s="1390" customFormat="1" ht="7.5" customHeight="1">
      <c r="A71" s="1402"/>
      <c r="B71" s="1403"/>
      <c r="C71" s="2706"/>
      <c r="D71" s="2210"/>
      <c r="E71" s="1406"/>
      <c r="F71" s="1382"/>
      <c r="G71" s="1382"/>
      <c r="H71" s="1406"/>
      <c r="I71" s="2478"/>
      <c r="J71" s="2761"/>
      <c r="K71" s="3535"/>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08" customFormat="1" ht="14.4" thickBot="1">
      <c r="A72" s="3552" t="s">
        <v>1596</v>
      </c>
      <c r="B72" s="3553"/>
      <c r="C72" s="3553"/>
      <c r="D72" s="3553"/>
      <c r="E72" s="3553"/>
      <c r="F72" s="3553"/>
      <c r="G72" s="3553"/>
      <c r="H72" s="3553"/>
      <c r="I72" s="1407"/>
      <c r="J72" s="2770"/>
      <c r="K72" s="934"/>
      <c r="L72" s="934"/>
      <c r="M72" s="934"/>
      <c r="N72" s="934"/>
      <c r="O72" s="934"/>
      <c r="P72" s="934"/>
      <c r="Q72" s="934"/>
      <c r="R72" s="934"/>
      <c r="S72" s="934"/>
      <c r="T72" s="934"/>
      <c r="U72" s="934"/>
      <c r="V72" s="934"/>
      <c r="W72" s="934"/>
      <c r="X72" s="934"/>
      <c r="Y72" s="934"/>
      <c r="Z72" s="934"/>
      <c r="AA72" s="934"/>
      <c r="AB72" s="1409"/>
      <c r="AC72" s="1409"/>
      <c r="AD72" s="1409"/>
      <c r="AE72" s="1409"/>
      <c r="AF72" s="1409"/>
      <c r="AG72" s="1409"/>
      <c r="AH72" s="1409"/>
      <c r="AI72" s="1409"/>
      <c r="AJ72" s="1409"/>
    </row>
    <row r="73" spans="1:36" s="1408" customFormat="1" ht="13.8">
      <c r="A73" s="3465" t="s">
        <v>1576</v>
      </c>
      <c r="B73" s="3466"/>
      <c r="C73" s="1532"/>
      <c r="D73" s="1532"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09"/>
      <c r="AC73" s="1409"/>
      <c r="AD73" s="1409"/>
      <c r="AE73" s="1409"/>
      <c r="AF73" s="1409"/>
      <c r="AG73" s="1409"/>
      <c r="AH73" s="1409"/>
      <c r="AI73" s="1409"/>
      <c r="AJ73" s="1409"/>
    </row>
    <row r="74" spans="1:36" s="1408" customFormat="1" ht="13.8">
      <c r="A74" s="61">
        <v>1</v>
      </c>
      <c r="B74" s="54" t="s">
        <v>1597</v>
      </c>
      <c r="C74" s="2704">
        <f>ROUND(D47/(1+'数据-取费表'!F30),0)</f>
        <v>0</v>
      </c>
      <c r="D74" s="50" t="s">
        <v>41</v>
      </c>
      <c r="E74" s="2013"/>
      <c r="F74" s="2014"/>
      <c r="G74" s="2014"/>
      <c r="H74" s="62"/>
      <c r="I74" s="2707"/>
      <c r="J74" s="2792"/>
      <c r="K74" s="934"/>
      <c r="L74" s="934"/>
      <c r="M74" s="934"/>
      <c r="N74" s="934"/>
      <c r="O74" s="934"/>
      <c r="P74" s="934"/>
      <c r="Q74" s="934"/>
      <c r="R74" s="934"/>
      <c r="S74" s="934"/>
      <c r="T74" s="934"/>
      <c r="U74" s="934"/>
      <c r="V74" s="934"/>
      <c r="W74" s="934"/>
      <c r="X74" s="934"/>
      <c r="Y74" s="934"/>
      <c r="Z74" s="934"/>
      <c r="AA74" s="934"/>
      <c r="AB74" s="1409"/>
      <c r="AC74" s="1409"/>
      <c r="AD74" s="1409"/>
      <c r="AE74" s="1409"/>
      <c r="AF74" s="1409"/>
      <c r="AG74" s="1409"/>
      <c r="AH74" s="1409"/>
      <c r="AI74" s="1409"/>
      <c r="AJ74" s="1409"/>
    </row>
    <row r="75" spans="1:36" s="1408" customFormat="1" ht="13.8">
      <c r="A75" s="63">
        <v>2</v>
      </c>
      <c r="B75" s="41" t="s">
        <v>1599</v>
      </c>
      <c r="C75" s="2704">
        <f>C76+C80</f>
        <v>0</v>
      </c>
      <c r="D75" s="50" t="s">
        <v>41</v>
      </c>
      <c r="E75" s="2013"/>
      <c r="F75" s="2014"/>
      <c r="G75" s="2014"/>
      <c r="H75" s="62"/>
      <c r="I75" s="2707"/>
      <c r="J75" s="2792"/>
      <c r="K75" s="934"/>
      <c r="L75" s="934"/>
      <c r="M75" s="934"/>
      <c r="N75" s="934"/>
      <c r="O75" s="934"/>
      <c r="P75" s="934"/>
      <c r="Q75" s="934"/>
      <c r="R75" s="934"/>
      <c r="S75" s="934"/>
      <c r="T75" s="934"/>
      <c r="U75" s="934"/>
      <c r="V75" s="934"/>
      <c r="W75" s="934"/>
      <c r="X75" s="934"/>
      <c r="Y75" s="934"/>
      <c r="Z75" s="934"/>
      <c r="AA75" s="934"/>
      <c r="AB75" s="1409"/>
      <c r="AC75" s="1409"/>
      <c r="AD75" s="1409"/>
      <c r="AE75" s="1409"/>
      <c r="AF75" s="1409"/>
      <c r="AG75" s="1409"/>
      <c r="AH75" s="1409"/>
      <c r="AI75" s="1409"/>
      <c r="AJ75" s="1409"/>
    </row>
    <row r="76" spans="1:36" s="1408" customFormat="1" ht="24">
      <c r="A76" s="49" t="s">
        <v>73</v>
      </c>
      <c r="B76" s="50" t="s">
        <v>1600</v>
      </c>
      <c r="C76" s="50">
        <f>ROUND(IF(G79="2016年5月1日后购买",C77/(1+'数据-取费表'!F30)+C78+C79,C77+C78+C79),0)</f>
        <v>0</v>
      </c>
      <c r="D76" s="50" t="s">
        <v>41</v>
      </c>
      <c r="E76" s="2013"/>
      <c r="F76" s="2014"/>
      <c r="G76" s="2014"/>
      <c r="H76" s="62"/>
      <c r="I76" s="2707"/>
      <c r="J76" s="2792"/>
      <c r="K76" s="934"/>
      <c r="L76" s="934"/>
      <c r="M76" s="934"/>
      <c r="N76" s="934"/>
      <c r="O76" s="934"/>
      <c r="P76" s="934"/>
      <c r="Q76" s="934"/>
      <c r="R76" s="934"/>
      <c r="S76" s="934"/>
      <c r="T76" s="934"/>
      <c r="U76" s="934"/>
      <c r="V76" s="934"/>
      <c r="W76" s="934"/>
      <c r="X76" s="934"/>
      <c r="Y76" s="934"/>
      <c r="Z76" s="934"/>
      <c r="AA76" s="934"/>
      <c r="AB76" s="1409"/>
      <c r="AC76" s="1409"/>
      <c r="AD76" s="1409"/>
      <c r="AE76" s="1409"/>
      <c r="AF76" s="1409"/>
      <c r="AG76" s="1409"/>
      <c r="AH76" s="1409"/>
      <c r="AI76" s="1409"/>
      <c r="AJ76" s="1409"/>
    </row>
    <row r="77" spans="1:36" s="1408" customFormat="1" ht="28.8">
      <c r="A77" s="49" t="s">
        <v>74</v>
      </c>
      <c r="B77" s="50" t="s">
        <v>1601</v>
      </c>
      <c r="C77" s="2193"/>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09"/>
      <c r="AC77" s="1409"/>
      <c r="AD77" s="1409"/>
      <c r="AE77" s="1409"/>
      <c r="AF77" s="1409"/>
      <c r="AG77" s="1409"/>
      <c r="AH77" s="1409"/>
      <c r="AI77" s="1409"/>
      <c r="AJ77" s="1409"/>
    </row>
    <row r="78" spans="1:36" s="1408" customFormat="1" ht="24.75" customHeight="1">
      <c r="A78" s="49" t="s">
        <v>75</v>
      </c>
      <c r="B78" s="65" t="s">
        <v>1605</v>
      </c>
      <c r="C78" s="50">
        <f>IF(F77="购房发票",ROUND(C77*H77*D78,0),0)</f>
        <v>0</v>
      </c>
      <c r="D78" s="2710">
        <v>0.05</v>
      </c>
      <c r="E78" s="3498" t="s">
        <v>1606</v>
      </c>
      <c r="F78" s="3486"/>
      <c r="G78" s="3486"/>
      <c r="H78" s="3499"/>
      <c r="I78" s="2707"/>
      <c r="J78" s="2792"/>
      <c r="K78" s="934"/>
      <c r="L78" s="934"/>
      <c r="M78" s="934"/>
      <c r="N78" s="934"/>
      <c r="O78" s="934"/>
      <c r="P78" s="934"/>
      <c r="Q78" s="934"/>
      <c r="R78" s="934"/>
      <c r="S78" s="934"/>
      <c r="T78" s="934"/>
      <c r="U78" s="934"/>
      <c r="V78" s="934"/>
      <c r="W78" s="934"/>
      <c r="X78" s="934"/>
      <c r="Y78" s="934"/>
      <c r="Z78" s="934"/>
      <c r="AA78" s="934"/>
      <c r="AB78" s="1409"/>
      <c r="AC78" s="1409"/>
      <c r="AD78" s="1409"/>
      <c r="AE78" s="1409"/>
      <c r="AF78" s="1409"/>
      <c r="AG78" s="1409"/>
      <c r="AH78" s="1409"/>
      <c r="AI78" s="1409"/>
      <c r="AJ78" s="1409"/>
    </row>
    <row r="79" spans="1:36" s="1408"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0"/>
      <c r="G79" s="1411" t="s">
        <v>1609</v>
      </c>
      <c r="H79" s="2015"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09"/>
      <c r="AC79" s="1409"/>
      <c r="AD79" s="1409"/>
      <c r="AE79" s="1409"/>
      <c r="AF79" s="1409"/>
      <c r="AG79" s="1409"/>
      <c r="AH79" s="1409"/>
      <c r="AI79" s="1409"/>
      <c r="AJ79" s="1409"/>
    </row>
    <row r="80" spans="1:36" s="1408" customFormat="1" ht="24.75" customHeight="1">
      <c r="A80" s="49" t="s">
        <v>77</v>
      </c>
      <c r="B80" s="50" t="s">
        <v>1610</v>
      </c>
      <c r="C80" s="2712">
        <f>ROUND(D47*D80/(1+'数据-取费表'!F30),0)</f>
        <v>0</v>
      </c>
      <c r="D80" s="2713">
        <f>'数据-取费表'!E31</f>
        <v>5.000000000000001E-3</v>
      </c>
      <c r="E80" s="3434" t="s">
        <v>1611</v>
      </c>
      <c r="F80" s="3435"/>
      <c r="G80" s="3435"/>
      <c r="H80" s="3455"/>
      <c r="I80" s="609"/>
      <c r="J80" s="2794"/>
      <c r="K80" s="934"/>
      <c r="L80" s="934"/>
      <c r="M80" s="934"/>
      <c r="N80" s="934"/>
      <c r="O80" s="934"/>
      <c r="P80" s="934"/>
      <c r="Q80" s="934"/>
      <c r="R80" s="934"/>
      <c r="S80" s="934"/>
      <c r="T80" s="934"/>
      <c r="U80" s="934"/>
      <c r="V80" s="934"/>
      <c r="W80" s="934"/>
      <c r="X80" s="934"/>
      <c r="Y80" s="934"/>
      <c r="Z80" s="934"/>
      <c r="AA80" s="934"/>
      <c r="AB80" s="1409"/>
      <c r="AC80" s="1409"/>
      <c r="AD80" s="1409"/>
      <c r="AE80" s="1409"/>
      <c r="AF80" s="1409"/>
      <c r="AG80" s="1409"/>
      <c r="AH80" s="1409"/>
      <c r="AI80" s="1409"/>
      <c r="AJ80" s="1409"/>
    </row>
    <row r="81" spans="1:36" s="1408" customFormat="1" ht="13.8">
      <c r="A81" s="53" t="s">
        <v>42</v>
      </c>
      <c r="B81" s="54" t="s">
        <v>1612</v>
      </c>
      <c r="C81" s="2704">
        <f>C74-C75</f>
        <v>0</v>
      </c>
      <c r="D81" s="50" t="s">
        <v>41</v>
      </c>
      <c r="E81" s="2013"/>
      <c r="F81" s="2014"/>
      <c r="G81" s="2014"/>
      <c r="H81" s="62"/>
      <c r="I81" s="2707"/>
      <c r="J81" s="2792"/>
      <c r="K81" s="934"/>
      <c r="L81" s="934"/>
      <c r="M81" s="934"/>
      <c r="N81" s="934"/>
      <c r="O81" s="934"/>
      <c r="P81" s="934"/>
      <c r="Q81" s="934"/>
      <c r="R81" s="934"/>
      <c r="S81" s="934"/>
      <c r="T81" s="934"/>
      <c r="U81" s="934"/>
      <c r="V81" s="934"/>
      <c r="W81" s="934"/>
      <c r="X81" s="934"/>
      <c r="Y81" s="934"/>
      <c r="Z81" s="934"/>
      <c r="AA81" s="934"/>
      <c r="AB81" s="1409"/>
      <c r="AC81" s="1409"/>
      <c r="AD81" s="1409"/>
      <c r="AE81" s="1409"/>
      <c r="AF81" s="1409"/>
      <c r="AG81" s="1409"/>
      <c r="AH81" s="1409"/>
      <c r="AI81" s="1409"/>
      <c r="AJ81" s="1409"/>
    </row>
    <row r="82" spans="1:36" s="1408" customFormat="1" ht="24">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7"/>
      <c r="J82" s="2792"/>
      <c r="K82" s="934"/>
      <c r="L82" s="934"/>
      <c r="M82" s="934"/>
      <c r="N82" s="934"/>
      <c r="O82" s="934"/>
      <c r="P82" s="934"/>
      <c r="Q82" s="934"/>
      <c r="R82" s="934"/>
      <c r="S82" s="934"/>
      <c r="T82" s="934"/>
      <c r="U82" s="934"/>
      <c r="V82" s="934"/>
      <c r="W82" s="934"/>
      <c r="X82" s="934"/>
      <c r="Y82" s="934"/>
      <c r="Z82" s="934"/>
      <c r="AA82" s="934"/>
      <c r="AB82" s="1409"/>
      <c r="AC82" s="1409"/>
      <c r="AD82" s="1409"/>
      <c r="AE82" s="1409"/>
      <c r="AF82" s="1409"/>
      <c r="AG82" s="1409"/>
      <c r="AH82" s="1409"/>
      <c r="AI82" s="1409"/>
      <c r="AJ82" s="1409"/>
    </row>
    <row r="83" spans="1:36" s="1408" customFormat="1" ht="14.4" thickBot="1">
      <c r="A83" s="55" t="s">
        <v>44</v>
      </c>
      <c r="B83" s="56" t="s">
        <v>1614</v>
      </c>
      <c r="C83" s="2715">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09"/>
      <c r="AC83" s="1409"/>
      <c r="AD83" s="1409"/>
      <c r="AE83" s="1409"/>
      <c r="AF83" s="1409"/>
      <c r="AG83" s="1409"/>
      <c r="AH83" s="1409"/>
      <c r="AI83" s="1409"/>
      <c r="AJ83" s="1409"/>
    </row>
    <row r="84" spans="1:36" s="1408"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09"/>
      <c r="AC84" s="1409"/>
      <c r="AD84" s="1409"/>
      <c r="AE84" s="1409"/>
      <c r="AF84" s="1409"/>
      <c r="AG84" s="1409"/>
      <c r="AH84" s="1409"/>
      <c r="AI84" s="1409"/>
      <c r="AJ84" s="1409"/>
    </row>
    <row r="85" spans="1:36" s="1408" customFormat="1" ht="14.4" thickBot="1">
      <c r="A85" s="3552" t="s">
        <v>1615</v>
      </c>
      <c r="B85" s="3553"/>
      <c r="C85" s="3553"/>
      <c r="D85" s="3553"/>
      <c r="E85" s="3553"/>
      <c r="F85" s="3553"/>
      <c r="G85" s="3553"/>
      <c r="H85" s="3553"/>
      <c r="I85" s="608"/>
      <c r="J85" s="2793"/>
      <c r="K85" s="934"/>
      <c r="L85" s="934"/>
      <c r="M85" s="934"/>
      <c r="N85" s="934"/>
      <c r="O85" s="934"/>
      <c r="P85" s="934"/>
      <c r="Q85" s="934"/>
      <c r="R85" s="934"/>
      <c r="S85" s="934"/>
      <c r="T85" s="934"/>
      <c r="U85" s="934"/>
      <c r="V85" s="934"/>
      <c r="W85" s="934"/>
      <c r="X85" s="934"/>
      <c r="Y85" s="934"/>
      <c r="Z85" s="934"/>
      <c r="AA85" s="934"/>
      <c r="AB85" s="1409"/>
      <c r="AC85" s="1409"/>
      <c r="AD85" s="1409"/>
      <c r="AE85" s="1409"/>
      <c r="AF85" s="1409"/>
      <c r="AG85" s="1409"/>
      <c r="AH85" s="1409"/>
      <c r="AI85" s="1409"/>
      <c r="AJ85" s="1409"/>
    </row>
    <row r="86" spans="1:36" s="1408" customFormat="1" ht="13.8">
      <c r="A86" s="3465" t="s">
        <v>1576</v>
      </c>
      <c r="B86" s="3466"/>
      <c r="C86" s="1532"/>
      <c r="D86" s="1532"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09"/>
      <c r="AC86" s="1409"/>
      <c r="AD86" s="1409"/>
      <c r="AE86" s="1409"/>
      <c r="AF86" s="1409"/>
      <c r="AG86" s="1409"/>
      <c r="AH86" s="1409"/>
      <c r="AI86" s="1409"/>
      <c r="AJ86" s="1409"/>
    </row>
    <row r="87" spans="1:36" s="1408" customFormat="1" ht="13.8">
      <c r="A87" s="61">
        <v>1</v>
      </c>
      <c r="B87" s="54" t="s">
        <v>1597</v>
      </c>
      <c r="C87" s="2704">
        <f>ROUND(D47/(1+'数据-取费表'!F30),0)</f>
        <v>0</v>
      </c>
      <c r="D87" s="50" t="s">
        <v>41</v>
      </c>
      <c r="E87" s="2013"/>
      <c r="F87" s="2014"/>
      <c r="G87" s="2014"/>
      <c r="H87" s="73"/>
      <c r="I87" s="608"/>
      <c r="J87" s="2793"/>
      <c r="K87" s="934"/>
      <c r="L87" s="934"/>
      <c r="M87" s="934"/>
      <c r="N87" s="934"/>
      <c r="O87" s="934"/>
      <c r="P87" s="934"/>
      <c r="Q87" s="934"/>
      <c r="R87" s="934"/>
      <c r="S87" s="934"/>
      <c r="T87" s="934"/>
      <c r="U87" s="934"/>
      <c r="V87" s="934"/>
      <c r="W87" s="934"/>
      <c r="X87" s="934"/>
      <c r="Y87" s="934"/>
      <c r="Z87" s="934"/>
      <c r="AA87" s="934"/>
      <c r="AB87" s="1409"/>
      <c r="AC87" s="1409"/>
      <c r="AD87" s="1409"/>
      <c r="AE87" s="1409"/>
      <c r="AF87" s="1409"/>
      <c r="AG87" s="1409"/>
      <c r="AH87" s="1409"/>
      <c r="AI87" s="1409"/>
      <c r="AJ87" s="1409"/>
    </row>
    <row r="88" spans="1:36" s="1408" customFormat="1" ht="13.8">
      <c r="A88" s="63">
        <v>2</v>
      </c>
      <c r="B88" s="41" t="s">
        <v>1599</v>
      </c>
      <c r="C88" s="2704">
        <f>IF(H90="仅含出让金",C89+C92+C93+C94+C95+C96,C89+C93+C94+C95+C96)</f>
        <v>0</v>
      </c>
      <c r="D88" s="2716"/>
      <c r="E88" s="2013"/>
      <c r="F88" s="2014"/>
      <c r="G88" s="2014"/>
      <c r="H88" s="73"/>
      <c r="I88" s="608"/>
      <c r="J88" s="2793"/>
      <c r="K88" s="934"/>
      <c r="L88" s="934"/>
      <c r="M88" s="934"/>
      <c r="N88" s="934"/>
      <c r="O88" s="934"/>
      <c r="P88" s="934"/>
      <c r="Q88" s="934"/>
      <c r="R88" s="934"/>
      <c r="S88" s="934"/>
      <c r="T88" s="934"/>
      <c r="U88" s="934"/>
      <c r="V88" s="934"/>
      <c r="W88" s="934"/>
      <c r="X88" s="934"/>
      <c r="Y88" s="934"/>
      <c r="Z88" s="934"/>
      <c r="AA88" s="934"/>
      <c r="AB88" s="1409"/>
      <c r="AC88" s="1409"/>
      <c r="AD88" s="1409"/>
      <c r="AE88" s="1409"/>
      <c r="AF88" s="1409"/>
      <c r="AG88" s="1409"/>
      <c r="AH88" s="1409"/>
      <c r="AI88" s="1409"/>
      <c r="AJ88" s="1409"/>
    </row>
    <row r="89" spans="1:36" s="1408" customFormat="1" ht="13.8">
      <c r="A89" s="49" t="s">
        <v>73</v>
      </c>
      <c r="B89" s="50" t="s">
        <v>1616</v>
      </c>
      <c r="C89" s="2712">
        <f>C90+C91</f>
        <v>0</v>
      </c>
      <c r="D89" s="2713"/>
      <c r="E89" s="2010"/>
      <c r="F89" s="2011"/>
      <c r="G89" s="2011"/>
      <c r="H89" s="2012"/>
      <c r="I89" s="608"/>
      <c r="J89" s="2793"/>
      <c r="K89" s="934"/>
      <c r="L89" s="934"/>
      <c r="M89" s="934"/>
      <c r="N89" s="934"/>
      <c r="O89" s="934"/>
      <c r="P89" s="934"/>
      <c r="Q89" s="934"/>
      <c r="R89" s="934"/>
      <c r="S89" s="934"/>
      <c r="T89" s="934"/>
      <c r="U89" s="934"/>
      <c r="V89" s="934"/>
      <c r="W89" s="934"/>
      <c r="X89" s="934"/>
      <c r="Y89" s="934"/>
      <c r="Z89" s="934"/>
      <c r="AA89" s="934"/>
      <c r="AB89" s="1409"/>
      <c r="AC89" s="1409"/>
      <c r="AD89" s="1409"/>
      <c r="AE89" s="1409"/>
      <c r="AF89" s="1409"/>
      <c r="AG89" s="1409"/>
      <c r="AH89" s="1409"/>
      <c r="AI89" s="1409"/>
      <c r="AJ89" s="1409"/>
    </row>
    <row r="90" spans="1:36" s="1408" customFormat="1" ht="14.4">
      <c r="A90" s="49" t="s">
        <v>74</v>
      </c>
      <c r="B90" s="50" t="s">
        <v>1617</v>
      </c>
      <c r="C90" s="2717"/>
      <c r="D90" s="2713"/>
      <c r="E90" s="74" t="s">
        <v>1618</v>
      </c>
      <c r="F90" s="2011"/>
      <c r="G90" s="75" t="s">
        <v>1619</v>
      </c>
      <c r="H90" s="1413"/>
      <c r="I90" s="608"/>
      <c r="J90" s="2793"/>
      <c r="K90" s="2888" t="s">
        <v>2573</v>
      </c>
      <c r="L90" s="1409"/>
      <c r="M90" s="1409"/>
      <c r="N90" s="1409"/>
      <c r="O90" s="1409"/>
      <c r="P90" s="1409"/>
      <c r="Q90" s="1409"/>
      <c r="R90" s="1409"/>
      <c r="S90" s="1409"/>
      <c r="T90" s="934"/>
      <c r="U90" s="934"/>
      <c r="V90" s="934"/>
      <c r="W90" s="934"/>
      <c r="X90" s="934"/>
      <c r="Y90" s="934"/>
      <c r="Z90" s="934"/>
      <c r="AA90" s="934"/>
      <c r="AB90" s="1409"/>
      <c r="AC90" s="1409"/>
      <c r="AD90" s="1409"/>
      <c r="AE90" s="1409"/>
      <c r="AF90" s="1409"/>
      <c r="AG90" s="1409"/>
      <c r="AH90" s="1409"/>
      <c r="AI90" s="1409"/>
      <c r="AJ90" s="1409"/>
    </row>
    <row r="91" spans="1:36" s="1408" customFormat="1" ht="13.8">
      <c r="A91" s="49" t="s">
        <v>75</v>
      </c>
      <c r="B91" s="50" t="s">
        <v>1607</v>
      </c>
      <c r="C91" s="2712">
        <f>ROUND(C90*D91,0)</f>
        <v>0</v>
      </c>
      <c r="D91" s="2713">
        <f>'数据-取费表'!E36+'数据-取费表'!E37</f>
        <v>3.0499999999999999E-2</v>
      </c>
      <c r="E91" s="74" t="s">
        <v>1620</v>
      </c>
      <c r="F91" s="2011"/>
      <c r="G91" s="2011"/>
      <c r="H91" s="2012"/>
      <c r="I91" s="608"/>
      <c r="J91" s="2793"/>
      <c r="K91" s="934"/>
      <c r="L91" s="934"/>
      <c r="M91" s="934"/>
      <c r="N91" s="934"/>
      <c r="O91" s="934"/>
      <c r="P91" s="934"/>
      <c r="Q91" s="934"/>
      <c r="R91" s="934"/>
      <c r="S91" s="934"/>
      <c r="T91" s="934"/>
      <c r="U91" s="934"/>
      <c r="V91" s="934"/>
      <c r="W91" s="934"/>
      <c r="X91" s="934"/>
      <c r="Y91" s="934"/>
      <c r="Z91" s="934"/>
      <c r="AA91" s="934"/>
      <c r="AB91" s="1409"/>
      <c r="AC91" s="1409"/>
      <c r="AD91" s="1409"/>
      <c r="AE91" s="1409"/>
      <c r="AF91" s="1409"/>
      <c r="AG91" s="1409"/>
      <c r="AH91" s="1409"/>
      <c r="AI91" s="1409"/>
      <c r="AJ91" s="1409"/>
    </row>
    <row r="92" spans="1:36" s="1408" customFormat="1" ht="14.4">
      <c r="A92" s="49" t="s">
        <v>77</v>
      </c>
      <c r="B92" s="50" t="s">
        <v>1621</v>
      </c>
      <c r="C92" s="2717"/>
      <c r="D92" s="2713"/>
      <c r="E92" s="74" t="str">
        <f>IF(H90="-","土地取得成本中已包含该笔费用"," ")</f>
        <v xml:space="preserve"> </v>
      </c>
      <c r="F92" s="2011"/>
      <c r="G92" s="3474" t="s">
        <v>2490</v>
      </c>
      <c r="H92" s="3554"/>
      <c r="I92" s="608"/>
      <c r="J92" s="2793"/>
      <c r="K92" s="2888" t="s">
        <v>2574</v>
      </c>
      <c r="L92" s="1409"/>
      <c r="M92" s="1409"/>
      <c r="N92" s="1409"/>
      <c r="O92" s="1409"/>
      <c r="P92" s="1409"/>
      <c r="Q92" s="1409"/>
      <c r="R92" s="1409"/>
      <c r="S92" s="1409"/>
      <c r="T92" s="934"/>
      <c r="U92" s="934"/>
      <c r="V92" s="934"/>
      <c r="W92" s="934"/>
      <c r="X92" s="934"/>
      <c r="Y92" s="934"/>
      <c r="Z92" s="934"/>
      <c r="AA92" s="934"/>
      <c r="AB92" s="1409"/>
      <c r="AC92" s="1409"/>
      <c r="AD92" s="1409"/>
      <c r="AE92" s="1409"/>
      <c r="AF92" s="1409"/>
      <c r="AG92" s="1409"/>
      <c r="AH92" s="1409"/>
      <c r="AI92" s="1409"/>
      <c r="AJ92" s="1409"/>
    </row>
    <row r="93" spans="1:36" s="1408" customFormat="1" ht="30.75" customHeight="1">
      <c r="A93" s="49" t="s">
        <v>78</v>
      </c>
      <c r="B93" s="50" t="s">
        <v>1622</v>
      </c>
      <c r="C93" s="2712">
        <f>IF(H93="——",成本法!C33,I93)</f>
        <v>0</v>
      </c>
      <c r="D93" s="2713"/>
      <c r="E93" s="3434" t="s">
        <v>1623</v>
      </c>
      <c r="F93" s="3435"/>
      <c r="G93" s="3435"/>
      <c r="H93" s="1414" t="s">
        <v>1624</v>
      </c>
      <c r="I93" s="2718"/>
      <c r="J93" s="2795"/>
      <c r="K93" s="934"/>
      <c r="L93" s="934"/>
      <c r="M93" s="934"/>
      <c r="N93" s="934"/>
      <c r="O93" s="934"/>
      <c r="P93" s="934"/>
      <c r="Q93" s="934"/>
      <c r="R93" s="934"/>
      <c r="S93" s="934"/>
      <c r="T93" s="934"/>
      <c r="U93" s="934"/>
      <c r="V93" s="934"/>
      <c r="W93" s="934"/>
      <c r="X93" s="934"/>
      <c r="Y93" s="934"/>
      <c r="Z93" s="934"/>
      <c r="AA93" s="934"/>
      <c r="AB93" s="1409"/>
      <c r="AC93" s="1409"/>
      <c r="AD93" s="1409"/>
      <c r="AE93" s="1409"/>
      <c r="AF93" s="1409"/>
      <c r="AG93" s="1409"/>
      <c r="AH93" s="1409"/>
      <c r="AI93" s="1409"/>
      <c r="AJ93" s="1409"/>
    </row>
    <row r="94" spans="1:36" s="1408" customFormat="1" ht="25.5" customHeight="1">
      <c r="A94" s="49" t="s">
        <v>79</v>
      </c>
      <c r="B94" s="50" t="s">
        <v>1625</v>
      </c>
      <c r="C94" s="2712">
        <f>ROUND((C89+C92+C93)*D94,0)</f>
        <v>0</v>
      </c>
      <c r="D94" s="2713">
        <v>0.1</v>
      </c>
      <c r="E94" s="3434" t="s">
        <v>1626</v>
      </c>
      <c r="F94" s="3435"/>
      <c r="G94" s="3435"/>
      <c r="H94" s="3455"/>
      <c r="I94" s="608"/>
      <c r="J94" s="2793"/>
      <c r="K94" s="2889" t="s">
        <v>2575</v>
      </c>
      <c r="L94" s="1409"/>
      <c r="M94" s="1409"/>
      <c r="N94" s="1409"/>
      <c r="O94" s="1409"/>
      <c r="P94" s="1409"/>
      <c r="Q94" s="934"/>
      <c r="R94" s="934"/>
      <c r="S94" s="934"/>
      <c r="T94" s="934"/>
      <c r="U94" s="934"/>
      <c r="V94" s="934"/>
      <c r="W94" s="934"/>
      <c r="X94" s="934"/>
      <c r="Y94" s="934"/>
      <c r="Z94" s="934"/>
      <c r="AA94" s="934"/>
      <c r="AB94" s="1409"/>
      <c r="AC94" s="1409"/>
      <c r="AD94" s="1409"/>
      <c r="AE94" s="1409"/>
      <c r="AF94" s="1409"/>
      <c r="AG94" s="1409"/>
      <c r="AH94" s="1409"/>
      <c r="AI94" s="1409"/>
      <c r="AJ94" s="1409"/>
    </row>
    <row r="95" spans="1:36" s="1408" customFormat="1" ht="25.5" customHeight="1">
      <c r="A95" s="49" t="s">
        <v>80</v>
      </c>
      <c r="B95" s="50" t="s">
        <v>1610</v>
      </c>
      <c r="C95" s="2712">
        <f>ROUND(D47*D95/(1+'数据-取费表'!F30),0)</f>
        <v>0</v>
      </c>
      <c r="D95" s="2713">
        <f>'数据-取费表'!E31</f>
        <v>5.000000000000001E-3</v>
      </c>
      <c r="E95" s="3434" t="s">
        <v>1611</v>
      </c>
      <c r="F95" s="3435"/>
      <c r="G95" s="3435"/>
      <c r="H95" s="3455"/>
      <c r="I95" s="608"/>
      <c r="J95" s="2793"/>
      <c r="K95" s="934"/>
      <c r="L95" s="934"/>
      <c r="M95" s="934"/>
      <c r="N95" s="934"/>
      <c r="O95" s="934"/>
      <c r="P95" s="934"/>
      <c r="Q95" s="934"/>
      <c r="R95" s="934"/>
      <c r="S95" s="934"/>
      <c r="T95" s="934"/>
      <c r="U95" s="934"/>
      <c r="V95" s="934"/>
      <c r="W95" s="934"/>
      <c r="X95" s="934"/>
      <c r="Y95" s="934"/>
      <c r="Z95" s="934"/>
      <c r="AA95" s="934"/>
      <c r="AB95" s="1409"/>
      <c r="AC95" s="1409"/>
      <c r="AD95" s="1409"/>
      <c r="AE95" s="1409"/>
      <c r="AF95" s="1409"/>
      <c r="AG95" s="1409"/>
      <c r="AH95" s="1409"/>
      <c r="AI95" s="1409"/>
      <c r="AJ95" s="1409"/>
    </row>
    <row r="96" spans="1:36" s="1408" customFormat="1" ht="25.5" customHeight="1">
      <c r="A96" s="49" t="s">
        <v>81</v>
      </c>
      <c r="B96" s="50" t="s">
        <v>1627</v>
      </c>
      <c r="C96" s="2712">
        <f>ROUND((C89+C92+C93)*D96,0)</f>
        <v>0</v>
      </c>
      <c r="D96" s="2713">
        <v>0.2</v>
      </c>
      <c r="E96" s="3434" t="s">
        <v>1628</v>
      </c>
      <c r="F96" s="3435"/>
      <c r="G96" s="3435"/>
      <c r="H96" s="3455"/>
      <c r="I96" s="608"/>
      <c r="J96" s="2793"/>
      <c r="K96" s="934"/>
      <c r="L96" s="934"/>
      <c r="M96" s="934"/>
      <c r="N96" s="934"/>
      <c r="O96" s="934"/>
      <c r="P96" s="934"/>
      <c r="Q96" s="934"/>
      <c r="R96" s="934"/>
      <c r="S96" s="934"/>
      <c r="T96" s="934"/>
      <c r="U96" s="934"/>
      <c r="V96" s="934"/>
      <c r="W96" s="934"/>
      <c r="X96" s="934"/>
      <c r="Y96" s="934"/>
      <c r="Z96" s="934"/>
      <c r="AA96" s="934"/>
      <c r="AB96" s="1409"/>
      <c r="AC96" s="1409"/>
      <c r="AD96" s="1409"/>
      <c r="AE96" s="1409"/>
      <c r="AF96" s="1409"/>
      <c r="AG96" s="1409"/>
      <c r="AH96" s="1409"/>
      <c r="AI96" s="1409"/>
      <c r="AJ96" s="1409"/>
    </row>
    <row r="97" spans="1:36" s="1408" customFormat="1" ht="13.8">
      <c r="A97" s="53" t="s">
        <v>42</v>
      </c>
      <c r="B97" s="54" t="s">
        <v>1612</v>
      </c>
      <c r="C97" s="2704">
        <f>ROUND(C87-C88,0)</f>
        <v>0</v>
      </c>
      <c r="D97" s="50" t="s">
        <v>41</v>
      </c>
      <c r="E97" s="2013"/>
      <c r="F97" s="2014"/>
      <c r="G97" s="2014"/>
      <c r="H97" s="73"/>
      <c r="I97" s="608"/>
      <c r="J97" s="2793"/>
      <c r="K97" s="934"/>
      <c r="L97" s="934"/>
      <c r="M97" s="934"/>
      <c r="N97" s="934"/>
      <c r="O97" s="934"/>
      <c r="P97" s="934"/>
      <c r="Q97" s="934"/>
      <c r="R97" s="934"/>
      <c r="S97" s="934"/>
      <c r="T97" s="934"/>
      <c r="U97" s="934"/>
      <c r="V97" s="934"/>
      <c r="W97" s="934"/>
      <c r="X97" s="934"/>
      <c r="Y97" s="934"/>
      <c r="Z97" s="934"/>
      <c r="AA97" s="934"/>
      <c r="AB97" s="1409"/>
      <c r="AC97" s="1409"/>
      <c r="AD97" s="1409"/>
      <c r="AE97" s="1409"/>
      <c r="AF97" s="1409"/>
      <c r="AG97" s="1409"/>
      <c r="AH97" s="1409"/>
      <c r="AI97" s="1409"/>
      <c r="AJ97" s="1409"/>
    </row>
    <row r="98" spans="1:36" s="1408" customFormat="1" ht="24">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3"/>
      <c r="K98" s="934"/>
      <c r="L98" s="934"/>
      <c r="M98" s="934"/>
      <c r="N98" s="934"/>
      <c r="O98" s="934"/>
      <c r="P98" s="934"/>
      <c r="Q98" s="934"/>
      <c r="R98" s="934"/>
      <c r="S98" s="934"/>
      <c r="T98" s="934"/>
      <c r="U98" s="934"/>
      <c r="V98" s="934"/>
      <c r="W98" s="934"/>
      <c r="X98" s="934"/>
      <c r="Y98" s="934"/>
      <c r="Z98" s="934"/>
      <c r="AA98" s="934"/>
      <c r="AB98" s="1409"/>
      <c r="AC98" s="1409"/>
      <c r="AD98" s="1409"/>
      <c r="AE98" s="1409"/>
      <c r="AF98" s="1409"/>
      <c r="AG98" s="1409"/>
      <c r="AH98" s="1409"/>
      <c r="AI98" s="1409"/>
      <c r="AJ98" s="1409"/>
    </row>
    <row r="99" spans="1:36" s="1408"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09"/>
      <c r="AC99" s="1409"/>
      <c r="AD99" s="1409"/>
      <c r="AE99" s="1409"/>
      <c r="AF99" s="1409"/>
      <c r="AG99" s="1409"/>
      <c r="AH99" s="1409"/>
      <c r="AI99" s="1409"/>
      <c r="AJ99" s="1409"/>
    </row>
    <row r="100" spans="1:36" ht="21.75" customHeight="1" thickBot="1">
      <c r="A100" s="1396" t="s">
        <v>1629</v>
      </c>
      <c r="B100" s="1386"/>
      <c r="C100" s="1386"/>
      <c r="D100" s="1386"/>
      <c r="E100" s="770"/>
      <c r="F100" s="770"/>
      <c r="G100" s="770"/>
      <c r="H100" s="1395"/>
      <c r="I100" s="1386"/>
    </row>
    <row r="101" spans="1:36" ht="13.8">
      <c r="A101" s="3452" t="s">
        <v>1630</v>
      </c>
      <c r="B101" s="3453"/>
      <c r="C101" s="3453"/>
      <c r="D101" s="3454"/>
      <c r="E101" s="1386"/>
      <c r="F101" s="3549" t="s">
        <v>2532</v>
      </c>
      <c r="G101" s="3550"/>
      <c r="H101" s="3550"/>
      <c r="I101" s="3551"/>
      <c r="J101" s="2796"/>
    </row>
    <row r="102" spans="1:36" ht="15">
      <c r="A102" s="3469" t="s">
        <v>1632</v>
      </c>
      <c r="B102" s="3470"/>
      <c r="C102" s="2719">
        <f>C4</f>
        <v>0</v>
      </c>
      <c r="D102" s="2720">
        <f>D4</f>
        <v>0</v>
      </c>
      <c r="E102" s="1386"/>
      <c r="F102" s="3471" t="s">
        <v>2533</v>
      </c>
      <c r="G102" s="3473"/>
      <c r="H102" s="3484" t="s">
        <v>2534</v>
      </c>
      <c r="I102" s="3472"/>
      <c r="J102" s="2776"/>
    </row>
    <row r="103" spans="1:36" ht="13.2">
      <c r="A103" s="3555" t="s">
        <v>2528</v>
      </c>
      <c r="B103" s="2232" t="str">
        <f>IF(H19="元","总价（元）","总价（万元）")</f>
        <v>总价（元）</v>
      </c>
      <c r="C103" s="1235" t="e">
        <f ca="1">C19</f>
        <v>#REF!</v>
      </c>
      <c r="D103" s="2723" t="e">
        <f ca="1">D19</f>
        <v>#REF!</v>
      </c>
      <c r="E103" s="1386"/>
      <c r="F103" s="3556"/>
      <c r="G103" s="3557"/>
      <c r="H103" s="3475">
        <f>典型户型修正!B25</f>
        <v>0</v>
      </c>
      <c r="I103" s="3472"/>
      <c r="J103" s="2776"/>
    </row>
    <row r="104" spans="1:36" ht="13.2">
      <c r="A104" s="3555"/>
      <c r="B104" s="2232" t="s">
        <v>2529</v>
      </c>
      <c r="C104" s="2724" t="e">
        <f ca="1">C20</f>
        <v>#REF!</v>
      </c>
      <c r="D104" s="2725" t="e">
        <f ca="1">D20</f>
        <v>#REF!</v>
      </c>
      <c r="E104" s="1386"/>
      <c r="F104" s="3458" t="s">
        <v>2535</v>
      </c>
      <c r="G104" s="3459"/>
      <c r="H104" s="2733" t="str">
        <f>C110</f>
        <v>总价（元）</v>
      </c>
      <c r="I104" s="2734">
        <f>H125</f>
        <v>0</v>
      </c>
      <c r="J104" s="2776"/>
    </row>
    <row r="105" spans="1:36" ht="13.2">
      <c r="A105" s="3555" t="s">
        <v>2530</v>
      </c>
      <c r="B105" s="2170" t="str">
        <f>B103</f>
        <v>总价（元）</v>
      </c>
      <c r="C105" s="12" t="e">
        <f ca="1">ROUND(IF('数据-取费表'!B4="总价",G19,IF(H19="元",G20*'数据-取费表'!E5,G20*'数据-取费表'!E5/10000)),0)</f>
        <v>#REF!</v>
      </c>
      <c r="D105" s="2726"/>
      <c r="E105" s="1386"/>
      <c r="F105" s="3458"/>
      <c r="G105" s="3459"/>
      <c r="H105" s="2733" t="s">
        <v>2536</v>
      </c>
      <c r="I105" s="52" t="e">
        <f>I125</f>
        <v>#DIV/0!</v>
      </c>
      <c r="J105" s="2760"/>
    </row>
    <row r="106" spans="1:36" ht="13.2">
      <c r="A106" s="3555"/>
      <c r="B106" s="2232" t="s">
        <v>2529</v>
      </c>
      <c r="C106" s="1406" t="e">
        <f ca="1">ROUND(IF('数据-取费表'!B4="楼面单价",G20,IF(H19="元",G19/'数据-取费表'!E5,G19*10000/'数据-取费表'!E5)),0)</f>
        <v>#REF!</v>
      </c>
      <c r="D106" s="2726"/>
      <c r="E106" s="1386"/>
      <c r="F106" s="3458"/>
      <c r="G106" s="3459"/>
      <c r="H106" s="3490"/>
      <c r="I106" s="3491"/>
      <c r="J106" s="2777"/>
    </row>
    <row r="107" spans="1:36" ht="13.2">
      <c r="A107" s="3562" t="s">
        <v>2531</v>
      </c>
      <c r="B107" s="2727" t="str">
        <f>B103</f>
        <v>总价（元）</v>
      </c>
      <c r="C107" s="2728">
        <f>H125</f>
        <v>0</v>
      </c>
      <c r="D107" s="2729"/>
      <c r="E107" s="1386"/>
      <c r="F107" s="3494" t="s">
        <v>2537</v>
      </c>
      <c r="G107" s="3495"/>
      <c r="H107" s="2735" t="str">
        <f>C112</f>
        <v>总额（元）</v>
      </c>
      <c r="I107" s="2734">
        <f>SUMIF(I108:I110,"&lt;9E307")</f>
        <v>0</v>
      </c>
      <c r="J107" s="2776"/>
    </row>
    <row r="108" spans="1:36" ht="14.4" thickBot="1">
      <c r="A108" s="3489"/>
      <c r="B108" s="2730" t="s">
        <v>2529</v>
      </c>
      <c r="C108" s="2731" t="e">
        <f>I125</f>
        <v>#DIV/0!</v>
      </c>
      <c r="D108" s="2732"/>
      <c r="E108" s="1386"/>
      <c r="F108" s="3460" t="s">
        <v>2538</v>
      </c>
      <c r="G108" s="3461"/>
      <c r="H108" s="2735" t="str">
        <f>C113</f>
        <v>总额（元）</v>
      </c>
      <c r="I108" s="2736">
        <f>IF(D38="同一抵押权人同一抵押物续贷",C38&amp;"（续贷，未扣减，详见特别提示）",C38)</f>
        <v>0</v>
      </c>
      <c r="J108" s="2760"/>
      <c r="L108" s="1389" t="str">
        <f>IF(D125=0,"本次评估不存在"&amp;A125&amp;"。","本次评估"&amp;A125&amp;"为"&amp;D125&amp;"元人民币。")</f>
        <v>本次评估不存在北京市大兴区北京经济技术开发区荣华南路10号院4号楼1至2层107号商业用房房地产。</v>
      </c>
      <c r="M108" s="1386"/>
      <c r="N108" s="1386"/>
      <c r="O108" s="1386"/>
      <c r="P108" s="1386"/>
      <c r="Q108" s="1386"/>
    </row>
    <row r="109" spans="1:36" ht="13.8">
      <c r="A109" s="3558" t="s">
        <v>1633</v>
      </c>
      <c r="B109" s="3559"/>
      <c r="C109" s="3559"/>
      <c r="D109" s="3560"/>
      <c r="E109" s="1386"/>
      <c r="F109" s="3460" t="s">
        <v>2539</v>
      </c>
      <c r="G109" s="3461"/>
      <c r="H109" s="2735" t="str">
        <f>C114</f>
        <v>总额（元）</v>
      </c>
      <c r="I109" s="52">
        <f>C39</f>
        <v>0</v>
      </c>
      <c r="J109" s="2760"/>
    </row>
    <row r="110" spans="1:36" ht="13.2">
      <c r="A110" s="3458" t="s">
        <v>2542</v>
      </c>
      <c r="B110" s="3459"/>
      <c r="C110" s="2733" t="str">
        <f>B103</f>
        <v>总价（元）</v>
      </c>
      <c r="D110" s="2734">
        <f>H125</f>
        <v>0</v>
      </c>
      <c r="E110" s="1386"/>
      <c r="F110" s="3460" t="s">
        <v>2540</v>
      </c>
      <c r="G110" s="3461"/>
      <c r="H110" s="2735" t="str">
        <f>C115</f>
        <v>总额（元）</v>
      </c>
      <c r="I110" s="52">
        <f>C40</f>
        <v>0</v>
      </c>
      <c r="J110" s="2760"/>
    </row>
    <row r="111" spans="1:36" ht="13.2">
      <c r="A111" s="3458"/>
      <c r="B111" s="3459"/>
      <c r="C111" s="2733" t="s">
        <v>2543</v>
      </c>
      <c r="D111" s="52" t="e">
        <f>I125</f>
        <v>#DIV/0!</v>
      </c>
      <c r="E111" s="1386"/>
      <c r="F111" s="3458"/>
      <c r="G111" s="3459"/>
      <c r="H111" s="3492"/>
      <c r="I111" s="3493"/>
      <c r="J111" s="2778"/>
    </row>
    <row r="112" spans="1:36" ht="28.5" customHeight="1">
      <c r="A112" s="3529" t="s">
        <v>2537</v>
      </c>
      <c r="B112" s="3530"/>
      <c r="C112" s="2735" t="str">
        <f>IF(H19="元","总额（元）","总额（万元）")</f>
        <v>总额（元）</v>
      </c>
      <c r="D112" s="2734">
        <f>IF(D38="正常操作",I108+I109+I110,I109+I110)</f>
        <v>0</v>
      </c>
      <c r="E112" s="1386"/>
      <c r="F112" s="3441" t="str">
        <f>IF(项目基本情况!F5="已注销","——","3.房地产抵押价值")</f>
        <v>——</v>
      </c>
      <c r="G112" s="3442"/>
      <c r="H112" s="1406" t="str">
        <f>C116</f>
        <v>总价（元）</v>
      </c>
      <c r="I112" s="2734" t="str">
        <f>IF(F112="——","——",I104-I107)</f>
        <v>——</v>
      </c>
      <c r="J112" s="2776"/>
    </row>
    <row r="113" spans="1:27" ht="13.2">
      <c r="A113" s="3460" t="s">
        <v>2544</v>
      </c>
      <c r="B113" s="3461"/>
      <c r="C113" s="2735" t="str">
        <f>C112</f>
        <v>总额（元）</v>
      </c>
      <c r="D113" s="52">
        <f>IF(D38="同一抵押权人同一抵押物续贷",C38&amp;"（未扣减，详见特别提示）",C38)</f>
        <v>0</v>
      </c>
      <c r="E113" s="1386"/>
      <c r="F113" s="3443"/>
      <c r="G113" s="3444"/>
      <c r="H113" s="2733" t="s">
        <v>2536</v>
      </c>
      <c r="I113" s="2737" t="e">
        <f>D117</f>
        <v>#VALUE!</v>
      </c>
      <c r="J113" s="2779"/>
    </row>
    <row r="114" spans="1:27" ht="13.2">
      <c r="A114" s="3460" t="s">
        <v>2545</v>
      </c>
      <c r="B114" s="3461"/>
      <c r="C114" s="2735" t="str">
        <f>C112</f>
        <v>总额（元）</v>
      </c>
      <c r="D114" s="52">
        <f>C39</f>
        <v>0</v>
      </c>
      <c r="E114" s="1386"/>
      <c r="F114" s="3441" t="str">
        <f>IF(项目基本情况!F5="已注销及未注销","4.抵押担保权已注销时的房地产抵押价值",IF(项目基本情况!F5="已注销","3.抵押担保权已注销时的房地产抵押价值","——"))</f>
        <v>3.抵押担保权已注销时的房地产抵押价值</v>
      </c>
      <c r="G114" s="3442"/>
      <c r="H114" s="1406" t="str">
        <f>C118</f>
        <v>总价（元）</v>
      </c>
      <c r="I114" s="2734">
        <f>IF(F114="——","——",I104-I109-I110)</f>
        <v>0</v>
      </c>
      <c r="J114" s="2776"/>
    </row>
    <row r="115" spans="1:27" ht="13.2">
      <c r="A115" s="3460" t="s">
        <v>2546</v>
      </c>
      <c r="B115" s="3461"/>
      <c r="C115" s="2735" t="str">
        <f>C112</f>
        <v>总额（元）</v>
      </c>
      <c r="D115" s="52">
        <f>C40</f>
        <v>0</v>
      </c>
      <c r="E115" s="1386"/>
      <c r="F115" s="3443"/>
      <c r="G115" s="3444"/>
      <c r="H115" s="2733" t="s">
        <v>2536</v>
      </c>
      <c r="I115" s="52" t="e">
        <f>D119</f>
        <v>#DIV/0!</v>
      </c>
      <c r="J115" s="2760"/>
    </row>
    <row r="116" spans="1:27" ht="13.2">
      <c r="A116" s="3458" t="str">
        <f>IF(项目基本情况!F5="已注销","——","3.房地产抵押价值")</f>
        <v>——</v>
      </c>
      <c r="B116" s="3459"/>
      <c r="C116" s="2733" t="str">
        <f>B103</f>
        <v>总价（元）</v>
      </c>
      <c r="D116" s="2734" t="str">
        <f>IF(A116="——","——",D110-D112)</f>
        <v>——</v>
      </c>
      <c r="E116" s="1386"/>
      <c r="F116" s="3441" t="str">
        <f>IF(项目基本情况!G5="抵押净值",IF(OR(项目基本情况!F5="已注销",项目基本情况!F5="房地产抵押价值"),"4.抵押净值","5.抵押净值"),"——")</f>
        <v>——</v>
      </c>
      <c r="G116" s="3442"/>
      <c r="H116" s="2733" t="str">
        <f>C120</f>
        <v>总价（元）</v>
      </c>
      <c r="I116" s="2734" t="str">
        <f>IF(F116="——","——",O61)</f>
        <v>——</v>
      </c>
      <c r="J116" s="2776"/>
    </row>
    <row r="117" spans="1:27" ht="13.8" thickBot="1">
      <c r="A117" s="3458"/>
      <c r="B117" s="3459"/>
      <c r="C117" s="2733" t="s">
        <v>2543</v>
      </c>
      <c r="D117" s="52" t="e">
        <f>ROUND(IF(D116=D110,D111,IF(H19="元",D116/B125,D116*10000/B125)),0)</f>
        <v>#VALUE!</v>
      </c>
      <c r="E117" s="1386"/>
      <c r="F117" s="3521"/>
      <c r="G117" s="3522"/>
      <c r="H117" s="2738" t="s">
        <v>2536</v>
      </c>
      <c r="I117" s="2722" t="str">
        <f>D121</f>
        <v>——</v>
      </c>
      <c r="J117" s="2760"/>
    </row>
    <row r="118" spans="1:27" ht="15.6">
      <c r="A118" s="3458" t="str">
        <f>IF(项目基本情况!F5="已注销及未注销","4.抵押担保权已注销时的房地产抵押价值",IF(项目基本情况!F5="已注销","3.抵押担保权已注销时的房地产抵押价值","——"))</f>
        <v>3.抵押担保权已注销时的房地产抵押价值</v>
      </c>
      <c r="B118" s="3459"/>
      <c r="C118" s="2733" t="str">
        <f>B103</f>
        <v>总价（元）</v>
      </c>
      <c r="D118" s="2734">
        <f>IF(A118="——","——",D110-D114-D115)</f>
        <v>0</v>
      </c>
      <c r="E118" s="1386"/>
      <c r="F118" s="3436"/>
      <c r="G118" s="3436"/>
      <c r="H118" s="3477"/>
      <c r="I118" s="3477"/>
      <c r="J118" s="2780"/>
      <c r="O118" s="32"/>
      <c r="P118" s="32"/>
    </row>
    <row r="119" spans="1:27" s="1236" customFormat="1" ht="13.2">
      <c r="A119" s="3458"/>
      <c r="B119" s="3459"/>
      <c r="C119" s="2733" t="s">
        <v>2543</v>
      </c>
      <c r="D119" s="52" t="e">
        <f>IF(A118="——","——",IF(H19="元",ROUND(D118/B125,0),ROUND(D118*10000/B125,0)))</f>
        <v>#DIV/0!</v>
      </c>
      <c r="E119" s="1386"/>
      <c r="F119" s="3561" t="str">
        <f>IF(B33="总价","（以上估价结果中楼面单价为总价除以建筑面积得出）","（以上估价结果中总价为楼面单价乘以建筑面积得出）")</f>
        <v>（以上估价结果中总价为楼面单价乘以建筑面积得出）</v>
      </c>
      <c r="G119" s="3561"/>
      <c r="H119" s="3561"/>
      <c r="I119" s="3561"/>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8" t="str">
        <f>IF(项目基本情况!G5="抵押净值",IF(OR(项目基本情况!F5="已注销",项目基本情况!F5="房地产抵押价值"),"4.抵押净值","5.抵押净值"),"——")</f>
        <v>——</v>
      </c>
      <c r="B120" s="3459"/>
      <c r="C120" s="2733" t="str">
        <f>B103</f>
        <v>总价（元）</v>
      </c>
      <c r="D120" s="2734" t="str">
        <f>IF(A120="——","——",O61)</f>
        <v>——</v>
      </c>
      <c r="E120" s="1386"/>
      <c r="F120" s="1440"/>
      <c r="G120" s="1440"/>
      <c r="H120" s="1440"/>
      <c r="I120" s="1440"/>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27"/>
      <c r="B121" s="3528"/>
      <c r="C121" s="2738" t="s">
        <v>2543</v>
      </c>
      <c r="D121" s="2722" t="str">
        <f>IF(D120=D110,D111,IF(A120="——","——",O63))</f>
        <v>——</v>
      </c>
      <c r="E121" s="1386"/>
      <c r="F121" s="1440"/>
      <c r="G121" s="1440"/>
      <c r="H121" s="1440"/>
      <c r="I121" s="1440"/>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8" t="s">
        <v>1672</v>
      </c>
      <c r="B122" s="3479"/>
      <c r="C122" s="3479"/>
      <c r="D122" s="3479"/>
      <c r="E122" s="3479"/>
      <c r="F122" s="3479"/>
      <c r="G122" s="3479"/>
      <c r="H122" s="3479"/>
      <c r="I122" s="3479"/>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51" t="s">
        <v>2547</v>
      </c>
      <c r="B123" s="3449" t="s">
        <v>2548</v>
      </c>
      <c r="C123" s="3449" t="s">
        <v>2554</v>
      </c>
      <c r="D123" s="3456" t="s">
        <v>2549</v>
      </c>
      <c r="E123" s="3457"/>
      <c r="F123" s="3447" t="s">
        <v>2555</v>
      </c>
      <c r="G123" s="3447"/>
      <c r="H123" s="3447" t="s">
        <v>2550</v>
      </c>
      <c r="I123" s="3448"/>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51"/>
      <c r="B124" s="3450"/>
      <c r="C124" s="3450"/>
      <c r="D124" s="2017" t="s">
        <v>2551</v>
      </c>
      <c r="E124" s="2017" t="s">
        <v>2556</v>
      </c>
      <c r="F124" s="2017" t="s">
        <v>2551</v>
      </c>
      <c r="G124" s="2017" t="s">
        <v>2552</v>
      </c>
      <c r="H124" s="2017" t="s">
        <v>2551</v>
      </c>
      <c r="I124" s="52" t="s">
        <v>2552</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92.4">
      <c r="A125" s="2007" t="str">
        <f>项目基本情况!I1</f>
        <v>北京市大兴区北京经济技术开发区荣华南路10号院4号楼1至2层107号商业用房房地产</v>
      </c>
      <c r="B125" s="2017">
        <f>典型户型修正!B25</f>
        <v>0</v>
      </c>
      <c r="C125" s="1381"/>
      <c r="D125" s="2017">
        <f>C36</f>
        <v>0</v>
      </c>
      <c r="E125" s="2017" t="e">
        <f>ROUND(IF(H19="元",D125/B125,D125*10000/B125),0)</f>
        <v>#DIV/0!</v>
      </c>
      <c r="F125" s="2017">
        <f>C37</f>
        <v>0</v>
      </c>
      <c r="G125" s="2017" t="e">
        <f>ROUND(IF(H19="元",F125/B125,F125*10000/B125),0)</f>
        <v>#DIV/0!</v>
      </c>
      <c r="H125" s="2017">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51" t="s">
        <v>2553</v>
      </c>
      <c r="B126" s="3447"/>
      <c r="C126" s="3447"/>
      <c r="D126" s="3482" t="str">
        <f>IF(H19="元",NUMBERSTRING(INT(D125),2)&amp;"元整",NUMBERSTRING(INT(D125*10000),2)&amp;"元整")</f>
        <v>零元整</v>
      </c>
      <c r="E126" s="3483"/>
      <c r="F126" s="3482" t="str">
        <f>IF(H19="元",NUMBERSTRING(INT(F125),2)&amp;"元整",NUMBERSTRING(INT(F125*10000),2)&amp;"元整")</f>
        <v>零元整</v>
      </c>
      <c r="G126" s="3483"/>
      <c r="H126" s="3482" t="str">
        <f>IF(H19="元",NUMBERSTRING(INT(H125),2)&amp;"元整",NUMBERSTRING(INT(H125*10000),2)&amp;"元整")</f>
        <v>零元整</v>
      </c>
      <c r="I126" s="3531"/>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71" t="str">
        <f>IF(项目基本情况!D5="房地产市场价值","——",MID(A112,3,LEN(A112)-2))</f>
        <v>估价师所知悉的法定优先受偿款</v>
      </c>
      <c r="B127" s="3484"/>
      <c r="C127" s="3473"/>
      <c r="D127" s="3475">
        <f>I107</f>
        <v>0</v>
      </c>
      <c r="E127" s="3484"/>
      <c r="F127" s="3484"/>
      <c r="G127" s="3484"/>
      <c r="H127" s="3484"/>
      <c r="I127" s="3472"/>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5" t="s">
        <v>2553</v>
      </c>
      <c r="B128" s="3486"/>
      <c r="C128" s="3487"/>
      <c r="D128" s="3523">
        <f>H111</f>
        <v>0</v>
      </c>
      <c r="E128" s="3524"/>
      <c r="F128" s="3524"/>
      <c r="G128" s="3524"/>
      <c r="H128" s="3524"/>
      <c r="I128" s="3525"/>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8" t="str">
        <f>IF(项目基本情况!D5="房地产市场价值","——",MID(A116,3,LEN(A116)-2))</f>
        <v/>
      </c>
      <c r="B129" s="3459"/>
      <c r="C129" s="3459"/>
      <c r="D129" s="3475" t="str">
        <f>I112</f>
        <v>——</v>
      </c>
      <c r="E129" s="3484"/>
      <c r="F129" s="3484"/>
      <c r="G129" s="3484"/>
      <c r="H129" s="3484"/>
      <c r="I129" s="3472"/>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51" t="s">
        <v>2553</v>
      </c>
      <c r="B130" s="3447"/>
      <c r="C130" s="3447"/>
      <c r="D130" s="3523" t="e">
        <f>I113</f>
        <v>#VALUE!</v>
      </c>
      <c r="E130" s="3524"/>
      <c r="F130" s="3524"/>
      <c r="G130" s="3524"/>
      <c r="H130" s="3524"/>
      <c r="I130" s="3525"/>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8" t="str">
        <f>IF(项目基本情况!D5="房地产市场价值","——",MID(A118,3,LEN(A118)-2))</f>
        <v>抵押担保权已注销时的房地产抵押价值</v>
      </c>
      <c r="B131" s="3459"/>
      <c r="C131" s="3459"/>
      <c r="D131" s="3431">
        <f>I114</f>
        <v>0</v>
      </c>
      <c r="E131" s="3432"/>
      <c r="F131" s="3432"/>
      <c r="G131" s="3432"/>
      <c r="H131" s="3432"/>
      <c r="I131" s="3433"/>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51" t="s">
        <v>2553</v>
      </c>
      <c r="B132" s="3447"/>
      <c r="C132" s="3498"/>
      <c r="D132" s="3476" t="e">
        <f>I115</f>
        <v>#DIV/0!</v>
      </c>
      <c r="E132" s="3476"/>
      <c r="F132" s="3476"/>
      <c r="G132" s="3476"/>
      <c r="H132" s="3476"/>
      <c r="I132" s="3476"/>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8" t="str">
        <f>IF(项目基本情况!D5="房地产市场价值","——",MID(F116,3,LEN(F116)-2))</f>
        <v/>
      </c>
      <c r="B133" s="3459"/>
      <c r="C133" s="3475"/>
      <c r="D133" s="3526" t="str">
        <f>I116</f>
        <v>——</v>
      </c>
      <c r="E133" s="3526"/>
      <c r="F133" s="3526"/>
      <c r="G133" s="3526"/>
      <c r="H133" s="3526"/>
      <c r="I133" s="3526"/>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14" t="s">
        <v>2553</v>
      </c>
      <c r="B134" s="3515"/>
      <c r="C134" s="3515"/>
      <c r="D134" s="3532">
        <f>H118</f>
        <v>0</v>
      </c>
      <c r="E134" s="3533"/>
      <c r="F134" s="3533"/>
      <c r="G134" s="3533"/>
      <c r="H134" s="3533"/>
      <c r="I134" s="3534"/>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6" t="str">
        <f>IF(H19="元","单位：平方米、元、元/平方米（币种：人民币）","单位：平方米、万元、元/平方米（币种：人民币）")</f>
        <v>单位：平方米、元、元/平方米（币种：人民币）</v>
      </c>
      <c r="B135" s="1406"/>
      <c r="C135" s="1406"/>
      <c r="D135" s="1406"/>
      <c r="E135" s="1406"/>
      <c r="F135" s="1406"/>
      <c r="G135" s="1406"/>
      <c r="H135" s="1406"/>
      <c r="I135" s="1406"/>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9" t="str">
        <f>IF(B33="总价","（以上估价结果中楼面单价为总价除以建筑面积得出）","（以上估价结果中总价为楼面单价乘以建筑面积得出）")</f>
        <v>（以上估价结果中总价为楼面单价乘以建筑面积得出）</v>
      </c>
      <c r="B136" s="3519"/>
      <c r="C136" s="3519"/>
      <c r="D136" s="3519"/>
      <c r="E136" s="3519"/>
      <c r="F136" s="3519"/>
      <c r="G136" s="3519"/>
      <c r="H136" s="3519"/>
      <c r="I136" s="3519"/>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6" t="s">
        <v>1635</v>
      </c>
      <c r="B137" s="1417"/>
      <c r="C137" s="1418" t="s">
        <v>1636</v>
      </c>
      <c r="D137" s="1419"/>
      <c r="E137" s="1419"/>
      <c r="F137" s="1419"/>
      <c r="G137" s="1419"/>
      <c r="H137" s="1420"/>
      <c r="I137" s="1421"/>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2">
        <v>1</v>
      </c>
      <c r="B138" s="1423"/>
      <c r="C138" s="1423"/>
      <c r="D138" s="1419"/>
      <c r="E138" s="1419"/>
      <c r="F138" s="1419"/>
      <c r="G138" s="1419"/>
      <c r="H138" s="1420"/>
      <c r="I138" s="1421"/>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2">
        <v>2</v>
      </c>
      <c r="B139" s="1423"/>
      <c r="C139" s="1423"/>
      <c r="D139" s="1419"/>
      <c r="E139" s="1419"/>
      <c r="F139" s="1419"/>
      <c r="G139" s="1419"/>
      <c r="H139" s="1420"/>
      <c r="I139" s="1421"/>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2">
        <v>3</v>
      </c>
      <c r="B140" s="1423"/>
      <c r="C140" s="1423"/>
      <c r="D140" s="1419"/>
      <c r="E140" s="1419"/>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4"/>
      <c r="B141" s="1425"/>
      <c r="C141" s="1425"/>
      <c r="D141" s="1426"/>
      <c r="E141" s="1426"/>
      <c r="F141" s="1426"/>
      <c r="G141" s="1426"/>
      <c r="H141" s="1427"/>
      <c r="I141" s="1428"/>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3"/>
      <c r="B142" s="1423"/>
      <c r="C142" s="1423"/>
      <c r="D142" s="1419"/>
      <c r="E142" s="1419"/>
      <c r="F142" s="1419"/>
      <c r="G142" s="1419"/>
      <c r="H142" s="1420"/>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29" t="s">
        <v>1637</v>
      </c>
      <c r="G143" s="1430"/>
      <c r="H143" s="1430"/>
      <c r="I143" s="1431"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2"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0"/>
      <c r="C146" s="1430"/>
      <c r="D146" s="1430"/>
      <c r="E146" s="1430"/>
      <c r="F146" s="1430"/>
      <c r="G146" s="1430"/>
      <c r="H146" s="1430"/>
      <c r="I146" s="1431"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2"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2"/>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0"/>
      <c r="C149" s="1430"/>
      <c r="D149" s="1430"/>
      <c r="E149" s="1430"/>
      <c r="F149" s="1430"/>
      <c r="G149" s="1430"/>
      <c r="H149" s="1430"/>
      <c r="I149" s="1431"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2"/>
      <c r="C150" s="1433"/>
      <c r="D150" s="1434"/>
      <c r="E150" s="1434"/>
      <c r="F150" s="1435"/>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2"/>
      <c r="C151" s="1433"/>
      <c r="D151" s="1434"/>
      <c r="E151" s="1434"/>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7"/>
      <c r="G520" s="1387"/>
      <c r="H520" s="1387"/>
      <c r="I520" s="1387"/>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2956379</v>
      </c>
      <c r="C2" s="79" t="str">
        <f>'数据-取费表'!B3</f>
        <v>元</v>
      </c>
      <c r="D2" s="1441" t="s">
        <v>1001</v>
      </c>
      <c r="E2" s="1109" t="e">
        <f ca="1">SUMIF(INDIRECT("'"&amp;G2&amp;"'"&amp;"!A:A"),"承租人权益价值",INDIRECT("'"&amp;G2&amp;"'"&amp;"!c:c"))</f>
        <v>#REF!</v>
      </c>
      <c r="F2" s="1442"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11247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1083072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52572</v>
      </c>
      <c r="D8" s="1099"/>
      <c r="E8" s="115"/>
      <c r="F8" s="1098"/>
      <c r="G8" s="1443"/>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52572</v>
      </c>
      <c r="D10" s="1101">
        <f>IF('数据-取费表'!B10&lt;&gt;"住宅",IF(B1="仅计算典型户型",'数据-取费表'!E5,'数据-取费表'!B5),0)</f>
        <v>262.86</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52572</v>
      </c>
      <c r="D19" s="1104">
        <f>IF(B1="仅计算典型户型",'数据-取费表'!E5,'数据-取费表'!B5)</f>
        <v>262.86</v>
      </c>
      <c r="E19" s="111">
        <f>'数据-取费表'!E15</f>
        <v>200</v>
      </c>
      <c r="F19" s="112"/>
      <c r="G19" s="1443"/>
    </row>
    <row r="20" spans="1:123" s="91" customFormat="1" ht="13.5" customHeight="1">
      <c r="A20" s="120" t="s">
        <v>1702</v>
      </c>
      <c r="B20" s="89" t="s">
        <v>1703</v>
      </c>
      <c r="C20" s="99">
        <f>ROUND((C5+C19)*F20,0)</f>
        <v>22713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98352</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92889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4509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954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231671</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231671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1612896</v>
      </c>
      <c r="D31" s="1104"/>
      <c r="E31" s="111"/>
      <c r="F31" s="1105"/>
      <c r="G31" s="100" t="s">
        <v>1729</v>
      </c>
    </row>
    <row r="32" spans="1:123" s="88" customFormat="1" ht="16.2">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1151327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1051440</v>
      </c>
      <c r="D34" s="1096"/>
      <c r="E34" s="115"/>
      <c r="F34" s="1107" t="str">
        <f>IF('数据-取费表'!B26=0,"",'数据-取费表'!E20)</f>
        <v/>
      </c>
      <c r="G34" s="95"/>
    </row>
    <row r="35" spans="1:123" ht="13.5" customHeight="1">
      <c r="A35" s="92" t="s">
        <v>1685</v>
      </c>
      <c r="B35" s="93" t="s">
        <v>1734</v>
      </c>
      <c r="C35" s="115">
        <f>ROUND(C34*F35,0)</f>
        <v>31543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52572</v>
      </c>
      <c r="D37" s="1096">
        <f>IF(B1="仅计算典型户型",'数据-取费表'!E5,'数据-取费表'!B5)</f>
        <v>262.86</v>
      </c>
      <c r="E37" s="115">
        <f>'数据-取费表'!E23</f>
        <v>200</v>
      </c>
      <c r="F37" s="1108"/>
      <c r="G37" s="124" t="s">
        <v>1739</v>
      </c>
    </row>
    <row r="38" spans="1:123" ht="13.5" customHeight="1">
      <c r="A38" s="92" t="s">
        <v>1740</v>
      </c>
      <c r="B38" s="93" t="s">
        <v>1741</v>
      </c>
      <c r="C38" s="115">
        <f>ROUND(C34*F38,0)</f>
        <v>15772</v>
      </c>
      <c r="D38" s="115"/>
      <c r="E38" s="115"/>
      <c r="F38" s="1108">
        <f>'数据-取费表'!E24</f>
        <v>1.4999999999999999E-2</v>
      </c>
      <c r="G38" s="95" t="s">
        <v>1735</v>
      </c>
    </row>
    <row r="39" spans="1:123" s="91" customFormat="1" ht="13.5" customHeight="1">
      <c r="A39" s="120" t="s">
        <v>1700</v>
      </c>
      <c r="B39" s="89" t="s">
        <v>1703</v>
      </c>
      <c r="C39" s="99">
        <f>ROUND(C33*F20,0)</f>
        <v>23027</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49323</v>
      </c>
      <c r="D41" s="101">
        <f ca="1">C44</f>
        <v>8.0000000000000004E-4</v>
      </c>
      <c r="E41" s="102" t="s">
        <v>1743</v>
      </c>
      <c r="F41" s="280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48356</v>
      </c>
      <c r="D42" s="104"/>
      <c r="E42" s="104"/>
      <c r="F42" s="105"/>
      <c r="G42" s="3564" t="s">
        <v>1745</v>
      </c>
    </row>
    <row r="43" spans="1:123" ht="13.5" customHeight="1">
      <c r="A43" s="92" t="s">
        <v>1685</v>
      </c>
      <c r="B43" s="93" t="s">
        <v>1714</v>
      </c>
      <c r="C43" s="104">
        <f ca="1">ROUND(IF('数据-取费表'!B24&lt;=1,C39*F22*'数据-取费表'!B23/2,C39*(POWER((1+F22),'数据-取费表'!B23/2)-1)),0)</f>
        <v>967</v>
      </c>
      <c r="D43" s="104"/>
      <c r="E43" s="104"/>
      <c r="F43" s="105"/>
      <c r="G43" s="3565"/>
    </row>
    <row r="44" spans="1:123" ht="13.5" customHeight="1">
      <c r="A44" s="92" t="s">
        <v>1687</v>
      </c>
      <c r="B44" s="93" t="s">
        <v>1716</v>
      </c>
      <c r="C44" s="104">
        <f ca="1">ROUND(IF('数据-取费表'!B24&lt;=1,C40*F22*'数据-取费表'!B23/2,C40*(POWER((1+F22),'数据-取费表'!B23/2)-1)),4)</f>
        <v>8.0000000000000004E-4</v>
      </c>
      <c r="D44" s="104"/>
      <c r="E44" s="104"/>
      <c r="F44" s="105"/>
      <c r="G44" s="3566"/>
    </row>
    <row r="45" spans="1:123" s="91" customFormat="1" ht="13.5" customHeight="1">
      <c r="A45" s="120" t="s">
        <v>1709</v>
      </c>
      <c r="B45" s="110" t="s">
        <v>1721</v>
      </c>
      <c r="C45" s="111">
        <f>C46</f>
        <v>234871</v>
      </c>
      <c r="D45" s="101">
        <f>C47</f>
        <v>4.0000000000000001E-3</v>
      </c>
      <c r="E45" s="102" t="s">
        <v>1743</v>
      </c>
      <c r="F45" s="2803">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234871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2">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1580568</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1343483</v>
      </c>
      <c r="D51" s="99"/>
      <c r="E51" s="99"/>
      <c r="F51" s="126"/>
      <c r="G51" s="100" t="s">
        <v>1759</v>
      </c>
    </row>
    <row r="52" spans="1:123" s="88" customFormat="1" ht="16.8" thickBot="1">
      <c r="A52" s="127" t="s">
        <v>1760</v>
      </c>
      <c r="B52" s="128"/>
      <c r="C52" s="129">
        <f ca="1">C31+C51</f>
        <v>2956379</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0.45400000000000001</v>
      </c>
    </row>
    <row r="57" spans="1:123">
      <c r="B57" s="135" t="s">
        <v>1763</v>
      </c>
      <c r="C57" s="137">
        <f ca="1">1-C56</f>
        <v>0.54600000000000004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52112</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-52572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-52572</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-1051</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-10725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-10725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52112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85" zoomScaleNormal="60" zoomScaleSheetLayoutView="85" workbookViewId="0">
      <selection activeCell="C43" sqref="C43"/>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0" t="s">
        <v>2502</v>
      </c>
      <c r="E1" s="1551" t="s">
        <v>1001</v>
      </c>
      <c r="F1" s="1552"/>
      <c r="G1" s="1553"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11545808</v>
      </c>
      <c r="C2" s="1444"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43924</v>
      </c>
      <c r="C3" s="1444"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691659</v>
      </c>
      <c r="D5" s="1558" t="s">
        <v>2481</v>
      </c>
      <c r="E5" s="885"/>
      <c r="F5" s="1014"/>
      <c r="G5" s="909"/>
      <c r="H5" s="232">
        <v>1</v>
      </c>
      <c r="I5" s="233" t="s">
        <v>1772</v>
      </c>
      <c r="J5" s="234">
        <f ca="1">J6+J10+J12</f>
        <v>864574</v>
      </c>
      <c r="K5" s="1445" t="s">
        <v>1773</v>
      </c>
      <c r="L5" s="885"/>
      <c r="M5" s="1014"/>
    </row>
    <row r="6" spans="1:37" ht="18" customHeight="1">
      <c r="A6" s="1015" t="s">
        <v>1774</v>
      </c>
      <c r="B6" s="1367" t="s">
        <v>1775</v>
      </c>
      <c r="C6" s="234">
        <f>ROUND(F6*F8*F7*(1-F9),0)</f>
        <v>690796</v>
      </c>
      <c r="D6" s="36" t="s">
        <v>2460</v>
      </c>
      <c r="E6" s="235" t="s">
        <v>1776</v>
      </c>
      <c r="F6" s="236">
        <f>'数据-取费表'!B30</f>
        <v>8</v>
      </c>
      <c r="G6" s="909"/>
      <c r="H6" s="1015" t="s">
        <v>1774</v>
      </c>
      <c r="I6" s="1367" t="s">
        <v>1775</v>
      </c>
      <c r="J6" s="234">
        <f>ROUND(M6*M8*M7*(1-M9),0)</f>
        <v>863495</v>
      </c>
      <c r="K6" s="36" t="s">
        <v>2460</v>
      </c>
      <c r="L6" s="235" t="s">
        <v>1776</v>
      </c>
      <c r="M6" s="236">
        <f>'数据-取费表'!B37</f>
        <v>10</v>
      </c>
    </row>
    <row r="7" spans="1:37" ht="18" customHeight="1">
      <c r="A7" s="1048"/>
      <c r="B7" s="238"/>
      <c r="C7" s="239"/>
      <c r="D7" s="240"/>
      <c r="E7" s="235" t="s">
        <v>1777</v>
      </c>
      <c r="F7" s="236">
        <f>IF('数据-取费表'!B42="",IF(D1="仅计算典型户型",'数据-取费表'!E5,'数据-取费表'!B5),'数据-取费表'!B42)</f>
        <v>262.86</v>
      </c>
      <c r="G7" s="909"/>
      <c r="H7" s="237"/>
      <c r="I7" s="238"/>
      <c r="J7" s="239"/>
      <c r="K7" s="240"/>
      <c r="L7" s="235" t="s">
        <v>1777</v>
      </c>
      <c r="M7" s="236">
        <f>IF('数据-取费表'!B42="",IF(D1="仅计算典型户型",'数据-取费表'!E5,'数据-取费表'!B5),'数据-取费表'!B42)</f>
        <v>262.86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0.1</v>
      </c>
    </row>
    <row r="10" spans="1:37" ht="18" customHeight="1">
      <c r="A10" s="1015" t="s">
        <v>1781</v>
      </c>
      <c r="B10" s="1446" t="s">
        <v>1782</v>
      </c>
      <c r="C10" s="1016">
        <f ca="1">ROUND(IF(F10="押一",C6/12*F11,IF(F10="押二",C6/12*2*F11,IF(F10="押三",C6/12*3*F11,C11*F11))),0)</f>
        <v>863</v>
      </c>
      <c r="D10" s="1447" t="s">
        <v>2465</v>
      </c>
      <c r="E10" s="246" t="s">
        <v>1783</v>
      </c>
      <c r="F10" s="1448" t="s">
        <v>1784</v>
      </c>
      <c r="G10" s="909"/>
      <c r="H10" s="1015" t="s">
        <v>1781</v>
      </c>
      <c r="I10" s="1446" t="s">
        <v>1782</v>
      </c>
      <c r="J10" s="1016">
        <f ca="1">ROUND(IF(M10="押一",J6/12*M11,IF(M10="押二",J6/12*2*M11,IF(M10="押三",J6/12*3*M11,J11*M11))),0)</f>
        <v>1079</v>
      </c>
      <c r="K10" s="36" t="s">
        <v>2465</v>
      </c>
      <c r="L10" s="246" t="s">
        <v>1783</v>
      </c>
      <c r="M10" s="1448" t="s">
        <v>3078</v>
      </c>
    </row>
    <row r="11" spans="1:37" s="257" customFormat="1" ht="18" customHeight="1">
      <c r="A11" s="263"/>
      <c r="B11" s="1449" t="s">
        <v>1785</v>
      </c>
      <c r="C11" s="1020"/>
      <c r="D11" s="240"/>
      <c r="E11" s="246" t="s">
        <v>1786</v>
      </c>
      <c r="F11" s="247">
        <f ca="1">'数据-取费表'!B31</f>
        <v>1.4999999999999999E-2</v>
      </c>
      <c r="G11" s="910"/>
      <c r="H11" s="241"/>
      <c r="I11" s="1449"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0" t="s">
        <v>1789</v>
      </c>
      <c r="C12" s="1026"/>
      <c r="D12" s="1451"/>
      <c r="E12" s="1032"/>
      <c r="F12" s="1027"/>
      <c r="G12" s="909"/>
      <c r="H12" s="1025" t="s">
        <v>1788</v>
      </c>
      <c r="I12" s="1450" t="s">
        <v>1789</v>
      </c>
      <c r="J12" s="1026"/>
      <c r="K12" s="1042"/>
      <c r="L12" s="1032"/>
      <c r="M12" s="1043"/>
    </row>
    <row r="13" spans="1:37" s="257" customFormat="1" ht="18" customHeight="1" thickTop="1">
      <c r="A13" s="1021">
        <v>2</v>
      </c>
      <c r="B13" s="1022" t="s">
        <v>1790</v>
      </c>
      <c r="C13" s="243">
        <f ca="1">ROUND(C29*F13,0)</f>
        <v>1343483</v>
      </c>
      <c r="D13" s="1023" t="s">
        <v>1791</v>
      </c>
      <c r="E13" s="1023" t="s">
        <v>1792</v>
      </c>
      <c r="F13" s="1024">
        <f>'数据-取费表'!E20</f>
        <v>0.85</v>
      </c>
      <c r="G13" s="910"/>
      <c r="H13" s="1021">
        <v>2</v>
      </c>
      <c r="I13" s="1022" t="s">
        <v>1790</v>
      </c>
      <c r="J13" s="1017">
        <f ca="1">ROUND(J14*J15,0)</f>
        <v>1296066</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1051440</v>
      </c>
      <c r="D14" s="1256" t="s">
        <v>1795</v>
      </c>
      <c r="E14" s="1257"/>
      <c r="F14" s="757"/>
      <c r="G14" s="910"/>
      <c r="H14" s="253" t="s">
        <v>1774</v>
      </c>
      <c r="I14" s="235" t="s">
        <v>1796</v>
      </c>
      <c r="J14" s="13">
        <f ca="1">C29</f>
        <v>1580568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31543</v>
      </c>
      <c r="D15" s="255" t="s">
        <v>1799</v>
      </c>
      <c r="E15" s="255" t="s">
        <v>1800</v>
      </c>
      <c r="F15" s="256">
        <f>'数据-取费表'!E21</f>
        <v>0.03</v>
      </c>
      <c r="G15" s="909"/>
      <c r="H15" s="1031" t="s">
        <v>1801</v>
      </c>
      <c r="I15" s="1032" t="s">
        <v>1802</v>
      </c>
      <c r="J15" s="1044">
        <f>'数据-取费表'!B40</f>
        <v>0.82</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91865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52572</v>
      </c>
      <c r="D17" s="235" t="s">
        <v>1809</v>
      </c>
      <c r="E17" s="235" t="s">
        <v>1810</v>
      </c>
      <c r="F17" s="15">
        <f>'数据-取费表'!E23</f>
        <v>200</v>
      </c>
      <c r="G17" s="910"/>
      <c r="H17" s="253" t="s">
        <v>1811</v>
      </c>
      <c r="I17" s="235" t="s">
        <v>1812</v>
      </c>
      <c r="J17" s="2741">
        <f>ROUND(IF(AND(项目基本情况!B7="自然人",项目基本情况!B6="北京市"),J6*M17/(1+'数据-取费表'!F30),J18+J19+J20),0)</f>
        <v>57566</v>
      </c>
      <c r="K17" s="1256" t="s">
        <v>1813</v>
      </c>
      <c r="L17" s="1259" t="s">
        <v>1814</v>
      </c>
      <c r="M17" s="2740">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15772</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1151327</v>
      </c>
      <c r="D19" s="33" t="s">
        <v>1820</v>
      </c>
      <c r="E19" s="1261"/>
      <c r="F19" s="15"/>
      <c r="G19" s="910"/>
      <c r="H19" s="253" t="s">
        <v>1797</v>
      </c>
      <c r="I19" s="235" t="s">
        <v>1821</v>
      </c>
      <c r="J19" s="13" t="str">
        <f>IF(项目基本情况!B7="自然人","——",IF(K19="按租金收入计税",ROUND(J6*M19/(1+'数据-取费表'!F30),0),ROUND(C29*M19*0.7,0)))</f>
        <v>——</v>
      </c>
      <c r="K19" s="1362" t="s">
        <v>2640</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23027</v>
      </c>
      <c r="D20" s="259" t="s">
        <v>1823</v>
      </c>
      <c r="E20" s="235" t="s">
        <v>1824</v>
      </c>
      <c r="F20" s="258">
        <f>'数据-取费表'!E25</f>
        <v>0.02</v>
      </c>
      <c r="G20" s="910"/>
      <c r="H20" s="253" t="s">
        <v>1803</v>
      </c>
      <c r="I20" s="36" t="s">
        <v>1825</v>
      </c>
      <c r="J20" s="14" t="str">
        <f>IF(项目基本情况!B7="自然人","——",ROUND(M20*M21,0))</f>
        <v>——</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23709</v>
      </c>
      <c r="K22" s="1259" t="s">
        <v>1836</v>
      </c>
      <c r="L22" s="235" t="s">
        <v>1800</v>
      </c>
      <c r="M22" s="265">
        <f>'数据-取费表'!B45</f>
        <v>1.4999999999999999E-2</v>
      </c>
    </row>
    <row r="23" spans="1:37" ht="18" customHeight="1">
      <c r="A23" s="253" t="s">
        <v>1817</v>
      </c>
      <c r="B23" s="235" t="s">
        <v>1837</v>
      </c>
      <c r="C23" s="13">
        <f ca="1">IF('数据-取费表'!B24&lt;=1,ROUND(C19*F24*F23/2,0)+ROUND(C20*F24*F23/2,0),ROUND(C19*(POWER((1+F24),F23/2)-1),0)+ROUND(C20*(POWER((1+F24),F23/2)-1),0))</f>
        <v>49323</v>
      </c>
      <c r="D23" s="1358"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1944</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58"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8646</v>
      </c>
      <c r="K24" s="1034" t="s">
        <v>1845</v>
      </c>
      <c r="L24" s="1032" t="s">
        <v>1841</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772709</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234871</v>
      </c>
      <c r="D26" s="259" t="s">
        <v>1852</v>
      </c>
      <c r="E26" s="246" t="s">
        <v>1853</v>
      </c>
      <c r="F26" s="245">
        <f>'数据-取费表'!E28</f>
        <v>0.2</v>
      </c>
      <c r="G26" s="652"/>
      <c r="H26" s="232" t="s">
        <v>23</v>
      </c>
      <c r="I26" s="233" t="s">
        <v>1854</v>
      </c>
      <c r="J26" s="234" t="e">
        <f ca="1">IF(J5&lt;&gt;0,ROUND(J25*(1-((1+M28)/(1+M26))^M27)/(M26-M28),0),0)</f>
        <v>#VALUE!</v>
      </c>
      <c r="K26" s="261" t="s">
        <v>1855</v>
      </c>
      <c r="L26" s="235" t="s">
        <v>1856</v>
      </c>
      <c r="M26" s="245">
        <f>'数据-取费表'!B16</f>
        <v>0.06</v>
      </c>
    </row>
    <row r="27" spans="1:37" ht="18" customHeight="1">
      <c r="A27" s="253" t="s">
        <v>1857</v>
      </c>
      <c r="B27" s="235" t="s">
        <v>1858</v>
      </c>
      <c r="C27" s="13">
        <f>ROUND(F21*F26,4)</f>
        <v>4.0000000000000001E-3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0.03</v>
      </c>
    </row>
    <row r="29" spans="1:37" ht="18" customHeight="1" thickBot="1">
      <c r="A29" s="1031" t="s">
        <v>1866</v>
      </c>
      <c r="B29" s="1032" t="s">
        <v>1867</v>
      </c>
      <c r="C29" s="1033">
        <f ca="1">ROUND((C19+C20+C23+C26)/(1-F21-C24-C27-C28),0)</f>
        <v>1580568</v>
      </c>
      <c r="D29" s="1034"/>
      <c r="E29" s="1032"/>
      <c r="F29" s="1035"/>
      <c r="G29" s="652"/>
      <c r="H29" s="271" t="s">
        <v>24</v>
      </c>
      <c r="I29" s="272" t="s">
        <v>1868</v>
      </c>
      <c r="J29" s="273" t="e">
        <f ca="1">ROUND(J26/(1+F40)^F41,0)</f>
        <v>#VALUE!</v>
      </c>
      <c r="K29" s="274" t="s">
        <v>1869</v>
      </c>
      <c r="L29" s="275"/>
      <c r="M29" s="276">
        <f>IF(D1="仅计算典型户型",'数据-取费表'!E5,'数据-取费表'!B5)</f>
        <v>262.86</v>
      </c>
    </row>
    <row r="30" spans="1:37" ht="18" customHeight="1" thickTop="1">
      <c r="A30" s="1021" t="s">
        <v>14</v>
      </c>
      <c r="B30" s="1022" t="s">
        <v>1870</v>
      </c>
      <c r="C30" s="243">
        <f ca="1">ROUND(C31+C36+C37+C38,0)</f>
        <v>78694</v>
      </c>
      <c r="D30" s="1028" t="s">
        <v>1871</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46053</v>
      </c>
      <c r="D31" s="1256" t="s">
        <v>1872</v>
      </c>
      <c r="E31" s="1259" t="s">
        <v>1873</v>
      </c>
      <c r="F31" s="2740">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1874</v>
      </c>
      <c r="C32" s="13" t="str">
        <f>IF(项目基本情况!B7="自然人","——",ROUND(C6*F32/(1+'数据-取费表'!F30),0))</f>
        <v>——</v>
      </c>
      <c r="D32" s="1259" t="s">
        <v>2482</v>
      </c>
      <c r="E32" s="235" t="s">
        <v>1824</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2" t="s">
        <v>2640</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t="str">
        <f>IF(项目基本情况!B7="自然人","——",ROUND(F34*F35,0))</f>
        <v>——</v>
      </c>
      <c r="D34" s="261" t="s">
        <v>1826</v>
      </c>
      <c r="E34" s="235" t="s">
        <v>1827</v>
      </c>
      <c r="F34" s="262">
        <f>'数据-取费表'!E40</f>
        <v>0</v>
      </c>
      <c r="G34" s="652"/>
      <c r="H34" s="889"/>
      <c r="I34" s="280" t="s">
        <v>1877</v>
      </c>
      <c r="J34" s="281">
        <f ca="1">ROUND(C13*J35,0)</f>
        <v>107479</v>
      </c>
      <c r="K34" s="903"/>
      <c r="L34" s="904"/>
      <c r="M34" s="904"/>
    </row>
    <row r="35" spans="1:18" ht="24.6" customHeight="1">
      <c r="A35" s="1019"/>
      <c r="B35" s="244"/>
      <c r="C35" s="17"/>
      <c r="D35" s="264"/>
      <c r="E35" s="235" t="s">
        <v>1832</v>
      </c>
      <c r="F35" s="236">
        <f>IF(D1="仅计算典型户型",'数据-取费表'!E6,'数据-取费表'!B6)</f>
        <v>0</v>
      </c>
      <c r="G35" s="652" t="s">
        <v>2570</v>
      </c>
      <c r="H35" s="889"/>
      <c r="I35" s="282" t="s">
        <v>1878</v>
      </c>
      <c r="J35" s="283">
        <f>'数据-取费表'!B18</f>
        <v>0.08</v>
      </c>
      <c r="K35" s="902"/>
      <c r="L35" s="901"/>
      <c r="M35" s="901"/>
    </row>
    <row r="36" spans="1:18" ht="18" customHeight="1">
      <c r="A36" s="1018" t="s">
        <v>1781</v>
      </c>
      <c r="B36" s="235" t="s">
        <v>1879</v>
      </c>
      <c r="C36" s="13">
        <f ca="1">ROUND(C29*F36,0)</f>
        <v>23709</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2015</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6917</v>
      </c>
      <c r="D38" s="1034" t="s">
        <v>1845</v>
      </c>
      <c r="E38" s="1032" t="s">
        <v>1841</v>
      </c>
      <c r="F38" s="1027">
        <f>'数据-取费表'!B47</f>
        <v>0.01</v>
      </c>
      <c r="G38" s="652"/>
      <c r="H38" s="901"/>
      <c r="I38" s="280" t="s">
        <v>1883</v>
      </c>
      <c r="J38" s="136">
        <f ca="1">ROUND(J34/C39,3)</f>
        <v>0.17499999999999999</v>
      </c>
      <c r="K38" s="906"/>
      <c r="L38" s="901"/>
      <c r="M38" s="901"/>
    </row>
    <row r="39" spans="1:18" ht="18" customHeight="1" thickTop="1">
      <c r="A39" s="1021" t="s">
        <v>22</v>
      </c>
      <c r="B39" s="1036" t="s">
        <v>1884</v>
      </c>
      <c r="C39" s="243">
        <f ca="1">C5-C30</f>
        <v>612965</v>
      </c>
      <c r="D39" s="1037" t="s">
        <v>1885</v>
      </c>
      <c r="E39" s="1038"/>
      <c r="F39" s="1039"/>
      <c r="G39" s="652"/>
      <c r="H39" s="901"/>
      <c r="I39" s="280" t="s">
        <v>1886</v>
      </c>
      <c r="J39" s="136">
        <f ca="1">1-J38</f>
        <v>0.82499999999999996</v>
      </c>
      <c r="K39" s="906"/>
      <c r="L39" s="901"/>
      <c r="M39" s="901"/>
    </row>
    <row r="40" spans="1:18" s="652" customFormat="1" ht="18" customHeight="1">
      <c r="A40" s="232" t="s">
        <v>23</v>
      </c>
      <c r="B40" s="233" t="s">
        <v>1887</v>
      </c>
      <c r="C40" s="234">
        <f ca="1">ROUND(C39*(1-((1+F42)/(1+F40))^F41)/(F40-F42),0)</f>
        <v>11545808</v>
      </c>
      <c r="D40" s="261" t="s">
        <v>1855</v>
      </c>
      <c r="E40" s="235" t="s">
        <v>1856</v>
      </c>
      <c r="F40" s="245">
        <f>'数据-取费表'!B16</f>
        <v>0.06</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29</v>
      </c>
      <c r="H41" s="908"/>
      <c r="I41" s="135" t="s">
        <v>1762</v>
      </c>
      <c r="J41" s="136">
        <f ca="1">ROUND(C13/C40,3)</f>
        <v>0.11600000000000001</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0.88400000000000001</v>
      </c>
      <c r="K42" s="905"/>
      <c r="L42" s="908"/>
      <c r="M42" s="908"/>
      <c r="Q42" s="656"/>
    </row>
    <row r="43" spans="1:18" s="652" customFormat="1" ht="18" customHeight="1" thickBot="1">
      <c r="A43" s="271" t="s">
        <v>24</v>
      </c>
      <c r="B43" s="272" t="s">
        <v>1890</v>
      </c>
      <c r="C43" s="273">
        <f ca="1">ROUND(C40/F43,0)</f>
        <v>43924</v>
      </c>
      <c r="D43" s="274" t="s">
        <v>1891</v>
      </c>
      <c r="E43" s="275" t="s">
        <v>1892</v>
      </c>
      <c r="F43" s="276">
        <f>IF(D1="仅计算典型户型",'数据-取费表'!E5,'数据-取费表'!B5)</f>
        <v>262.86</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t="e">
        <f ca="1">C40+J29</f>
        <v>#VALUE!</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2.2" thickBot="1">
      <c r="A47" s="1452" t="s">
        <v>1902</v>
      </c>
      <c r="C47" s="950">
        <f ca="1">IF(C2="元",C69-C40,ROUND((C69-C40)/10000,0))</f>
        <v>1439453</v>
      </c>
      <c r="D47" s="1453" t="str">
        <f>C2</f>
        <v>元</v>
      </c>
      <c r="E47" s="649"/>
      <c r="F47" s="649"/>
      <c r="I47" s="1454" t="s">
        <v>1903</v>
      </c>
      <c r="J47" s="981"/>
      <c r="K47" s="982"/>
      <c r="L47" s="995" t="str">
        <f>IF(M48="住宅",0,IF(L49&gt;J52,L61,J61))</f>
        <v>0</v>
      </c>
      <c r="O47" s="1009" t="s">
        <v>769</v>
      </c>
      <c r="P47" s="1006" t="s">
        <v>1904</v>
      </c>
      <c r="Q47" s="1007">
        <f ca="1">C29</f>
        <v>1580568</v>
      </c>
      <c r="R47" s="1008" t="s">
        <v>1899</v>
      </c>
    </row>
    <row r="48" spans="1:18" s="652" customFormat="1" ht="16.2" thickBot="1">
      <c r="A48" s="228" t="s">
        <v>1905</v>
      </c>
      <c r="B48" s="229" t="s">
        <v>1906</v>
      </c>
      <c r="C48" s="229" t="s">
        <v>1907</v>
      </c>
      <c r="D48" s="229" t="s">
        <v>1908</v>
      </c>
      <c r="E48" s="944" t="s">
        <v>1909</v>
      </c>
      <c r="F48" s="945"/>
      <c r="I48" s="1455" t="s">
        <v>1910</v>
      </c>
      <c r="J48" s="1456" t="s">
        <v>3039</v>
      </c>
      <c r="K48" s="1457" t="s">
        <v>1911</v>
      </c>
      <c r="L48" s="983">
        <f>'数据-取费表'!B11</f>
        <v>40</v>
      </c>
      <c r="M48" s="996" t="str">
        <f>IF('数据-取费表'!B10="住宅","住宅","非住宅")</f>
        <v>非住宅</v>
      </c>
      <c r="O48" s="1009" t="s">
        <v>770</v>
      </c>
      <c r="P48" s="1006" t="s">
        <v>1912</v>
      </c>
      <c r="Q48" s="1010" t="e">
        <f>J59</f>
        <v>#VALUE!</v>
      </c>
      <c r="R48" s="1008"/>
    </row>
    <row r="49" spans="1:18" s="652" customFormat="1" ht="16.2" thickBot="1">
      <c r="A49" s="1056" t="s">
        <v>781</v>
      </c>
      <c r="B49" s="233" t="s">
        <v>1913</v>
      </c>
      <c r="C49" s="1057">
        <f ca="1">C50+C54+C56</f>
        <v>864574</v>
      </c>
      <c r="D49" s="1058"/>
      <c r="E49" s="44"/>
      <c r="F49" s="15"/>
      <c r="I49" s="1458" t="s">
        <v>1914</v>
      </c>
      <c r="J49" s="1459" t="s">
        <v>3040</v>
      </c>
      <c r="K49" s="1460" t="s">
        <v>1915</v>
      </c>
      <c r="L49" s="821">
        <f>'数据-取费表'!B13</f>
        <v>29</v>
      </c>
      <c r="O49" s="1009" t="s">
        <v>771</v>
      </c>
      <c r="P49" s="1006" t="s">
        <v>1916</v>
      </c>
      <c r="Q49" s="1010">
        <f>J53</f>
        <v>8.5000000000000006E-2</v>
      </c>
      <c r="R49" s="1008"/>
    </row>
    <row r="50" spans="1:18" s="652" customFormat="1" ht="16.2" thickBot="1">
      <c r="A50" s="260" t="s">
        <v>1774</v>
      </c>
      <c r="B50" s="1367" t="s">
        <v>1917</v>
      </c>
      <c r="C50" s="234">
        <f>ROUND(F50*F52*F51*(1-F53),0)</f>
        <v>863495</v>
      </c>
      <c r="D50" s="42" t="s">
        <v>2461</v>
      </c>
      <c r="E50" s="1461" t="s">
        <v>1918</v>
      </c>
      <c r="F50" s="946">
        <v>10</v>
      </c>
      <c r="I50" s="1458" t="s">
        <v>1919</v>
      </c>
      <c r="J50" s="821">
        <f>'数据-取费表'!B27</f>
        <v>2013</v>
      </c>
      <c r="K50" s="1462" t="s">
        <v>1920</v>
      </c>
      <c r="L50" s="984"/>
      <c r="O50" s="1009" t="s">
        <v>772</v>
      </c>
      <c r="P50" s="1006" t="s">
        <v>1921</v>
      </c>
      <c r="Q50" s="1007">
        <f>J54</f>
        <v>29</v>
      </c>
      <c r="R50" s="1008" t="s">
        <v>1922</v>
      </c>
    </row>
    <row r="51" spans="1:18" s="652" customFormat="1" ht="16.2" thickBot="1">
      <c r="A51" s="237"/>
      <c r="B51" s="238"/>
      <c r="C51" s="239"/>
      <c r="D51" s="240"/>
      <c r="E51" s="255" t="s">
        <v>1777</v>
      </c>
      <c r="F51" s="943">
        <f>F7</f>
        <v>262.86</v>
      </c>
      <c r="I51" s="1458" t="s">
        <v>1923</v>
      </c>
      <c r="J51" s="985">
        <f>SUMPRODUCT((I64:I66=J48)*(J63:L63=J49)*(J64:L66))</f>
        <v>60</v>
      </c>
      <c r="K51" s="1462" t="s">
        <v>1924</v>
      </c>
      <c r="L51" s="984"/>
      <c r="O51" s="1005" t="s">
        <v>773</v>
      </c>
      <c r="P51" s="1006" t="str">
        <f>IF(C2="元","收益价值(元)","收益价值(万元)")</f>
        <v>收益价值(元)</v>
      </c>
      <c r="Q51" s="1007" t="e">
        <f ca="1">ROUND(IF(C2="元",Q45+Q46,(Q45+Q46)/10000),0)</f>
        <v>#VALUE!</v>
      </c>
      <c r="R51" s="1008" t="s">
        <v>774</v>
      </c>
    </row>
    <row r="52" spans="1:18" s="652" customFormat="1" ht="16.2" thickBot="1">
      <c r="A52" s="237"/>
      <c r="B52" s="238"/>
      <c r="C52" s="239"/>
      <c r="D52" s="240"/>
      <c r="E52" s="235" t="s">
        <v>1779</v>
      </c>
      <c r="F52" s="236">
        <f>F8</f>
        <v>365</v>
      </c>
      <c r="I52" s="1463" t="s">
        <v>1925</v>
      </c>
      <c r="J52" s="986">
        <f>IF(J50="",J51,J50+J51-YEAR('数据-取费表'!B2))</f>
        <v>51</v>
      </c>
      <c r="K52" s="1464" t="s">
        <v>1926</v>
      </c>
      <c r="L52" s="987">
        <f ca="1">ROUND(-PV('数据-取费表'!B15,J52,(C40-C13*J35)),0)</f>
        <v>209767255</v>
      </c>
      <c r="O52" s="999" t="s">
        <v>1927</v>
      </c>
      <c r="P52" s="1000"/>
      <c r="Q52" s="996"/>
      <c r="R52" s="1000"/>
    </row>
    <row r="53" spans="1:18" s="652" customFormat="1" ht="16.2" thickBot="1">
      <c r="A53" s="241"/>
      <c r="B53" s="242"/>
      <c r="C53" s="243"/>
      <c r="D53" s="244"/>
      <c r="E53" s="235" t="s">
        <v>1780</v>
      </c>
      <c r="F53" s="994">
        <v>0.1</v>
      </c>
      <c r="I53" s="1465" t="s">
        <v>1928</v>
      </c>
      <c r="J53" s="988">
        <v>8.5000000000000006E-2</v>
      </c>
      <c r="K53" s="1465" t="s">
        <v>1929</v>
      </c>
      <c r="L53" s="988"/>
      <c r="O53" s="1001" t="s">
        <v>1894</v>
      </c>
      <c r="P53" s="1002" t="s">
        <v>1895</v>
      </c>
      <c r="Q53" s="1003" t="s">
        <v>1896</v>
      </c>
      <c r="R53" s="1004" t="s">
        <v>1897</v>
      </c>
    </row>
    <row r="54" spans="1:18" s="652" customFormat="1" ht="29.25" customHeight="1" thickBot="1">
      <c r="A54" s="1015" t="s">
        <v>1781</v>
      </c>
      <c r="B54" s="1446" t="s">
        <v>1782</v>
      </c>
      <c r="C54" s="1016">
        <f ca="1">ROUND(IF(F54="押一",C50/12*F11,IF(F54="押二",C50/12*2*F11,IF(F54="押三",C50/12*3*F11,C55*F11))),0)</f>
        <v>1079</v>
      </c>
      <c r="D54" s="1447" t="s">
        <v>2466</v>
      </c>
      <c r="E54" s="246" t="s">
        <v>1783</v>
      </c>
      <c r="F54" s="1448" t="s">
        <v>3078</v>
      </c>
      <c r="I54" s="1554" t="s">
        <v>2469</v>
      </c>
      <c r="J54" s="989">
        <f>IF(M48="住宅",IF(E1="——",MAX(J52,L49),MAX(J52,L49-'数据-取费表'!B26)),IF(E1="——",MIN(J52,L49),MIN(J52,L49-'数据-取费表'!B26)))</f>
        <v>29</v>
      </c>
      <c r="K54" s="3567" t="s">
        <v>2459</v>
      </c>
      <c r="L54" s="3568"/>
      <c r="O54" s="1005" t="s">
        <v>767</v>
      </c>
      <c r="P54" s="1006" t="s">
        <v>1898</v>
      </c>
      <c r="Q54" s="1007" t="e">
        <f ca="1">C40+J29</f>
        <v>#VALUE!</v>
      </c>
      <c r="R54" s="1008" t="s">
        <v>1899</v>
      </c>
    </row>
    <row r="55" spans="1:18" s="652" customFormat="1" ht="19.2" thickBot="1">
      <c r="A55" s="1015"/>
      <c r="B55" s="1466" t="s">
        <v>1787</v>
      </c>
      <c r="C55" s="1020"/>
      <c r="D55" s="42"/>
      <c r="E55" s="1467"/>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8"/>
      <c r="K55" s="1468"/>
      <c r="L55" s="1468"/>
      <c r="O55" s="1005" t="s">
        <v>768</v>
      </c>
      <c r="P55" s="1006" t="s">
        <v>1930</v>
      </c>
      <c r="Q55" s="1007">
        <f>L61</f>
        <v>0</v>
      </c>
      <c r="R55" s="1008" t="s">
        <v>1931</v>
      </c>
    </row>
    <row r="56" spans="1:18" s="652" customFormat="1" ht="19.2" thickBot="1">
      <c r="A56" s="1025" t="s">
        <v>1788</v>
      </c>
      <c r="B56" s="1450" t="s">
        <v>1789</v>
      </c>
      <c r="C56" s="1026"/>
      <c r="D56" s="1042"/>
      <c r="E56" s="1469"/>
      <c r="F56" s="1081"/>
      <c r="I56" s="1470" t="s">
        <v>1932</v>
      </c>
      <c r="J56" s="1248" t="e">
        <f>ROUND(IF(J48="钢混",J58/J51,1-(1-2%)*(J51-J58)/J51),3)</f>
        <v>#VALUE!</v>
      </c>
      <c r="K56" s="1471" t="s">
        <v>1933</v>
      </c>
      <c r="L56" s="990" t="s">
        <v>3042</v>
      </c>
      <c r="O56" s="1009" t="s">
        <v>769</v>
      </c>
      <c r="P56" s="1006" t="s">
        <v>1934</v>
      </c>
      <c r="Q56" s="1007">
        <f>IF(L56="比较法",L50,IF(L56="基准地价",L51,0))</f>
        <v>0</v>
      </c>
      <c r="R56" s="1008" t="s">
        <v>1899</v>
      </c>
    </row>
    <row r="57" spans="1:18" s="652" customFormat="1" ht="48" thickTop="1" thickBot="1">
      <c r="A57" s="1021">
        <v>2</v>
      </c>
      <c r="B57" s="1022" t="s">
        <v>1790</v>
      </c>
      <c r="C57" s="1080">
        <f ca="1">C13</f>
        <v>1343483</v>
      </c>
      <c r="D57" s="941"/>
      <c r="E57" s="942"/>
      <c r="F57" s="949"/>
      <c r="I57" s="1472" t="s">
        <v>1935</v>
      </c>
      <c r="J57" s="993" t="s">
        <v>3041</v>
      </c>
      <c r="K57" s="1458" t="s">
        <v>1936</v>
      </c>
      <c r="L57" s="821" t="str">
        <f>IF(L49&lt;J52,"——",L49-J52)</f>
        <v>——</v>
      </c>
      <c r="O57" s="1009" t="s">
        <v>770</v>
      </c>
      <c r="P57" s="1006" t="s">
        <v>1937</v>
      </c>
      <c r="Q57" s="1010">
        <f>L53</f>
        <v>0</v>
      </c>
      <c r="R57" s="1008"/>
    </row>
    <row r="58" spans="1:18" s="652" customFormat="1" ht="31.8" thickBot="1">
      <c r="A58" s="948"/>
      <c r="B58" s="235" t="s">
        <v>1867</v>
      </c>
      <c r="C58" s="104">
        <f ca="1">C29</f>
        <v>1580568</v>
      </c>
      <c r="D58" s="941"/>
      <c r="E58" s="942"/>
      <c r="F58" s="949"/>
      <c r="I58" s="1473" t="s">
        <v>1938</v>
      </c>
      <c r="J58" s="992" t="str">
        <f>IF(OR(M48="住宅",J52&lt;L49,J57="是"),"——",J52-L49)</f>
        <v>——</v>
      </c>
      <c r="K58" s="1458" t="s">
        <v>1939</v>
      </c>
      <c r="L58" s="821" t="str">
        <f>IF(L49&lt;J52,"——",IF(L56="比较法",L50,IF(L56="基准地价",L51,L52)))</f>
        <v>——</v>
      </c>
      <c r="O58" s="1009" t="s">
        <v>771</v>
      </c>
      <c r="P58" s="1006" t="s">
        <v>1940</v>
      </c>
      <c r="Q58" s="1007" t="e">
        <f>L59</f>
        <v>#DIV/0!</v>
      </c>
      <c r="R58" s="1008" t="s">
        <v>1941</v>
      </c>
    </row>
    <row r="59" spans="1:18" s="652" customFormat="1" ht="31.8" thickBot="1">
      <c r="A59" s="248" t="s">
        <v>14</v>
      </c>
      <c r="B59" s="249" t="s">
        <v>1870</v>
      </c>
      <c r="C59" s="250">
        <f ca="1">ROUND(C60+C65+C66+C67,0)</f>
        <v>91936</v>
      </c>
      <c r="D59" s="12" t="s">
        <v>1871</v>
      </c>
      <c r="E59" s="1261"/>
      <c r="F59" s="15"/>
      <c r="I59" s="1473" t="s">
        <v>1942</v>
      </c>
      <c r="J59" s="1247" t="e">
        <f>IF(J56&lt;0.4,0.4,J56)</f>
        <v>#VALUE!</v>
      </c>
      <c r="K59" s="1464"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31.8" thickBot="1">
      <c r="A60" s="253" t="s">
        <v>15</v>
      </c>
      <c r="B60" s="235" t="s">
        <v>1812</v>
      </c>
      <c r="C60" s="2741">
        <f>ROUND(IF(AND(项目基本情况!B7="自然人",项目基本情况!B6="北京市"),C50*F60/(1+'数据-取费表'!F30),C61+C62+C63),0)</f>
        <v>57566</v>
      </c>
      <c r="D60" s="1256" t="s">
        <v>1872</v>
      </c>
      <c r="E60" s="1259" t="s">
        <v>1873</v>
      </c>
      <c r="F60" s="2740">
        <f>IF(项目基本情况!B7="企业","——",IF('数据-取费表'!B10="住宅",IF(F50*F51*F52/12/(1+'数据-取费表'!F30)&gt;100000,4%,2.5%),IF(F50*F51*F52/12/(1+'数据-取费表'!F30)&gt;100000,12%,7%)))</f>
        <v>7.0000000000000007E-2</v>
      </c>
      <c r="I60" s="1473" t="s">
        <v>1945</v>
      </c>
      <c r="J60" s="992" t="str">
        <f>IF(OR(M48="住宅",J52&lt;L49,J57="是"),"——",ROUND(C29*J59,0))</f>
        <v>——</v>
      </c>
      <c r="K60" s="14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t="e">
        <f ca="1">ROUND(IF(C2="元",Q54+Q55,(Q54+Q55)/10000),0)</f>
        <v>#VALUE!</v>
      </c>
      <c r="R60" s="1008" t="s">
        <v>774</v>
      </c>
    </row>
    <row r="61" spans="1:18" s="652" customFormat="1" ht="16.2" thickBot="1">
      <c r="A61" s="253" t="s">
        <v>16</v>
      </c>
      <c r="B61" s="235" t="s">
        <v>1874</v>
      </c>
      <c r="C61" s="13" t="str">
        <f>IF(项目基本情况!B7="自然人","——",ROUND(C49*F61/(1+'数据-取费表'!F30),0))</f>
        <v>——</v>
      </c>
      <c r="D61" s="1259" t="s">
        <v>1875</v>
      </c>
      <c r="E61" s="235" t="s">
        <v>1824</v>
      </c>
      <c r="F61" s="267">
        <f t="shared" ref="F61:F67" si="0">F32</f>
        <v>5.5000000000000007E-2</v>
      </c>
      <c r="I61" s="1474" t="s">
        <v>1946</v>
      </c>
      <c r="J61" s="991" t="str">
        <f>IF(OR(M48="住宅",J52&lt;L49,J57="是"),"0",ROUND(J60/(1+J53)^J54,0))</f>
        <v>0</v>
      </c>
      <c r="K61" s="1475" t="s">
        <v>1947</v>
      </c>
      <c r="L61" s="991">
        <f>IF(OR(M48="住宅",L49&lt;J52),0,ROUND(L58*(L59/L60-1),0))</f>
        <v>0</v>
      </c>
      <c r="O61" s="999" t="s">
        <v>1948</v>
      </c>
      <c r="P61" s="1000"/>
      <c r="Q61" s="996"/>
      <c r="R61" s="1000"/>
    </row>
    <row r="62" spans="1:18" s="652" customFormat="1" ht="16.2" thickBot="1">
      <c r="A62" s="253" t="s">
        <v>17</v>
      </c>
      <c r="B62" s="235" t="s">
        <v>1949</v>
      </c>
      <c r="C62" s="13" t="str">
        <f>IF(项目基本情况!B7="自然人","——",IF(D62="按租金收入计税",ROUND(C50*F62/(1+'数据-取费表'!F30),0),IF(D62="按房产原值计税",ROUND(C58*F62*0.7,0),'数据-取费表'!B44)))</f>
        <v>——</v>
      </c>
      <c r="D62" s="1362" t="s">
        <v>2640</v>
      </c>
      <c r="E62" s="235" t="s">
        <v>1824</v>
      </c>
      <c r="F62" s="258">
        <f t="shared" si="0"/>
        <v>0.12</v>
      </c>
      <c r="O62" s="1001" t="s">
        <v>1894</v>
      </c>
      <c r="P62" s="1002" t="s">
        <v>1895</v>
      </c>
      <c r="Q62" s="1003" t="s">
        <v>1896</v>
      </c>
      <c r="R62" s="1004" t="s">
        <v>1897</v>
      </c>
    </row>
    <row r="63" spans="1:18" s="652" customFormat="1" ht="16.2" thickBot="1">
      <c r="A63" s="260" t="s">
        <v>18</v>
      </c>
      <c r="B63" s="36" t="s">
        <v>1950</v>
      </c>
      <c r="C63" s="14" t="str">
        <f>IF(项目基本情况!B7="自然人","——",ROUND(F63*F64,0))</f>
        <v>——</v>
      </c>
      <c r="D63" s="261" t="s">
        <v>1951</v>
      </c>
      <c r="E63" s="235" t="s">
        <v>1952</v>
      </c>
      <c r="F63" s="262">
        <f t="shared" si="0"/>
        <v>0</v>
      </c>
      <c r="I63" s="1476" t="s">
        <v>1953</v>
      </c>
      <c r="J63" s="1251" t="s">
        <v>1954</v>
      </c>
      <c r="K63" s="1251" t="s">
        <v>1955</v>
      </c>
      <c r="L63" s="1251" t="s">
        <v>1956</v>
      </c>
      <c r="M63" s="1250" t="s">
        <v>1957</v>
      </c>
      <c r="O63" s="1005" t="s">
        <v>767</v>
      </c>
      <c r="P63" s="1006" t="s">
        <v>1898</v>
      </c>
      <c r="Q63" s="1007" t="e">
        <f ca="1">C40+J29</f>
        <v>#VALUE!</v>
      </c>
      <c r="R63" s="1008" t="s">
        <v>1899</v>
      </c>
    </row>
    <row r="64" spans="1:18" s="652" customFormat="1" ht="19.2" thickBot="1">
      <c r="A64" s="263"/>
      <c r="B64" s="244"/>
      <c r="C64" s="17"/>
      <c r="D64" s="264"/>
      <c r="E64" s="235" t="s">
        <v>1958</v>
      </c>
      <c r="F64" s="236">
        <f t="shared" si="0"/>
        <v>0</v>
      </c>
      <c r="I64" s="1476" t="s">
        <v>1959</v>
      </c>
      <c r="J64" s="1251">
        <v>70</v>
      </c>
      <c r="K64" s="1251">
        <v>50</v>
      </c>
      <c r="L64" s="1251">
        <v>80</v>
      </c>
      <c r="M64" s="1249">
        <v>0.02</v>
      </c>
      <c r="O64" s="1005" t="s">
        <v>768</v>
      </c>
      <c r="P64" s="1006" t="s">
        <v>1930</v>
      </c>
      <c r="Q64" s="1007">
        <f>L61</f>
        <v>0</v>
      </c>
      <c r="R64" s="1008" t="s">
        <v>1931</v>
      </c>
    </row>
    <row r="65" spans="1:18" s="652" customFormat="1" ht="21.6" thickBot="1">
      <c r="A65" s="253" t="s">
        <v>19</v>
      </c>
      <c r="B65" s="235" t="s">
        <v>1879</v>
      </c>
      <c r="C65" s="13">
        <f ca="1">ROUND(C58*F65,0)</f>
        <v>23709</v>
      </c>
      <c r="D65" s="1259" t="s">
        <v>1880</v>
      </c>
      <c r="E65" s="235" t="s">
        <v>1824</v>
      </c>
      <c r="F65" s="265">
        <f t="shared" si="0"/>
        <v>1.4999999999999999E-2</v>
      </c>
      <c r="I65" s="1476" t="s">
        <v>1960</v>
      </c>
      <c r="J65" s="1251">
        <v>50</v>
      </c>
      <c r="K65" s="1251">
        <v>35</v>
      </c>
      <c r="L65" s="1251">
        <v>60</v>
      </c>
      <c r="M65" s="1250">
        <v>0</v>
      </c>
      <c r="O65" s="1009" t="s">
        <v>769</v>
      </c>
      <c r="P65" s="1006" t="s">
        <v>1934</v>
      </c>
      <c r="Q65" s="1011">
        <f ca="1">L52</f>
        <v>209767255</v>
      </c>
      <c r="R65" s="1012" t="s">
        <v>1961</v>
      </c>
    </row>
    <row r="66" spans="1:18" s="652" customFormat="1" ht="19.2" thickBot="1">
      <c r="A66" s="253" t="s">
        <v>20</v>
      </c>
      <c r="B66" s="235" t="s">
        <v>1839</v>
      </c>
      <c r="C66" s="13">
        <f ca="1">ROUND(C57*F66,0)</f>
        <v>2015</v>
      </c>
      <c r="D66" s="1259" t="s">
        <v>1840</v>
      </c>
      <c r="E66" s="235" t="s">
        <v>1841</v>
      </c>
      <c r="F66" s="266">
        <f t="shared" si="0"/>
        <v>1.5E-3</v>
      </c>
      <c r="I66" s="1476" t="s">
        <v>1962</v>
      </c>
      <c r="J66" s="1251">
        <v>40</v>
      </c>
      <c r="K66" s="1251">
        <v>30</v>
      </c>
      <c r="L66" s="1251">
        <v>50</v>
      </c>
      <c r="M66" s="1249">
        <v>0.02</v>
      </c>
      <c r="O66" s="1009" t="s">
        <v>770</v>
      </c>
      <c r="P66" s="1013" t="s">
        <v>1963</v>
      </c>
      <c r="Q66" s="1007">
        <f ca="1">ROUND(Q67-Q68*Q69,0)</f>
        <v>505486</v>
      </c>
      <c r="R66" s="1008"/>
    </row>
    <row r="67" spans="1:18" s="652" customFormat="1" ht="16.2" thickBot="1">
      <c r="A67" s="253" t="s">
        <v>21</v>
      </c>
      <c r="B67" s="235" t="s">
        <v>1822</v>
      </c>
      <c r="C67" s="13">
        <f ca="1">ROUND(C49*F67,0)</f>
        <v>8646</v>
      </c>
      <c r="D67" s="1259" t="s">
        <v>1845</v>
      </c>
      <c r="E67" s="235" t="s">
        <v>1841</v>
      </c>
      <c r="F67" s="245">
        <f t="shared" si="0"/>
        <v>0.01</v>
      </c>
      <c r="O67" s="1009" t="s">
        <v>775</v>
      </c>
      <c r="P67" s="1013" t="s">
        <v>1964</v>
      </c>
      <c r="Q67" s="1007">
        <f ca="1">C39</f>
        <v>612965</v>
      </c>
      <c r="R67" s="1008" t="s">
        <v>1899</v>
      </c>
    </row>
    <row r="68" spans="1:18" ht="24.6" thickBot="1">
      <c r="A68" s="248" t="s">
        <v>22</v>
      </c>
      <c r="B68" s="41" t="s">
        <v>1849</v>
      </c>
      <c r="C68" s="250">
        <f ca="1">C49-C59</f>
        <v>772638</v>
      </c>
      <c r="D68" s="1256" t="s">
        <v>1850</v>
      </c>
      <c r="E68" s="1258"/>
      <c r="F68" s="268"/>
      <c r="H68" s="652"/>
      <c r="I68" s="652"/>
      <c r="J68" s="652"/>
      <c r="K68" s="652"/>
      <c r="L68" s="652"/>
      <c r="M68" s="652"/>
      <c r="O68" s="1009" t="s">
        <v>776</v>
      </c>
      <c r="P68" s="1013" t="s">
        <v>1965</v>
      </c>
      <c r="Q68" s="1007">
        <f ca="1">C13</f>
        <v>1343483</v>
      </c>
      <c r="R68" s="1008" t="s">
        <v>1899</v>
      </c>
    </row>
    <row r="69" spans="1:18" ht="16.2" thickBot="1">
      <c r="A69" s="232" t="s">
        <v>23</v>
      </c>
      <c r="B69" s="233" t="s">
        <v>1887</v>
      </c>
      <c r="C69" s="234">
        <f ca="1">ROUND(C68*(1-((1+F71)/(1+F69))^F70)/(F69-F71),0)</f>
        <v>12985261</v>
      </c>
      <c r="D69" s="261" t="s">
        <v>1855</v>
      </c>
      <c r="E69" s="235" t="s">
        <v>1856</v>
      </c>
      <c r="F69" s="245">
        <f>F40</f>
        <v>0.06</v>
      </c>
      <c r="H69" s="652"/>
      <c r="I69" s="652"/>
      <c r="J69" s="652"/>
      <c r="K69" s="652"/>
      <c r="L69" s="652"/>
      <c r="M69" s="652"/>
      <c r="O69" s="1009" t="s">
        <v>777</v>
      </c>
      <c r="P69" s="1013" t="s">
        <v>1966</v>
      </c>
      <c r="Q69" s="1010">
        <f>J35</f>
        <v>0.08</v>
      </c>
      <c r="R69" s="1008"/>
    </row>
    <row r="70" spans="1:18" ht="16.2" thickBot="1">
      <c r="A70" s="237"/>
      <c r="B70" s="238"/>
      <c r="C70" s="239"/>
      <c r="D70" s="269" t="s">
        <v>1889</v>
      </c>
      <c r="E70" s="235" t="s">
        <v>1861</v>
      </c>
      <c r="F70" s="270">
        <f>F41</f>
        <v>29</v>
      </c>
      <c r="H70" s="652"/>
      <c r="I70" s="652"/>
      <c r="J70" s="652"/>
      <c r="K70" s="652"/>
      <c r="L70" s="652"/>
      <c r="M70" s="652"/>
      <c r="O70" s="1009" t="s">
        <v>771</v>
      </c>
      <c r="P70" s="1006" t="s">
        <v>1937</v>
      </c>
      <c r="Q70" s="1010">
        <f>L53</f>
        <v>0</v>
      </c>
      <c r="R70" s="1008"/>
    </row>
    <row r="71" spans="1:18" ht="19.2" thickBot="1">
      <c r="A71" s="241"/>
      <c r="B71" s="242"/>
      <c r="C71" s="243"/>
      <c r="D71" s="264"/>
      <c r="E71" s="235" t="s">
        <v>1865</v>
      </c>
      <c r="F71" s="994">
        <v>0.02</v>
      </c>
      <c r="H71" s="652"/>
      <c r="M71" s="652"/>
      <c r="O71" s="1009" t="s">
        <v>772</v>
      </c>
      <c r="P71" s="1006" t="s">
        <v>1940</v>
      </c>
      <c r="Q71" s="1007" t="e">
        <f>L59</f>
        <v>#DIV/0!</v>
      </c>
      <c r="R71" s="1008" t="s">
        <v>1941</v>
      </c>
    </row>
    <row r="72" spans="1:18" ht="16.2" thickBot="1">
      <c r="A72" s="271" t="s">
        <v>24</v>
      </c>
      <c r="B72" s="272" t="s">
        <v>1890</v>
      </c>
      <c r="C72" s="273">
        <f ca="1">ROUND(C69/F72,0)</f>
        <v>49400</v>
      </c>
      <c r="D72" s="274" t="s">
        <v>1891</v>
      </c>
      <c r="E72" s="275" t="s">
        <v>1892</v>
      </c>
      <c r="F72" s="276">
        <f>F43</f>
        <v>262.86</v>
      </c>
      <c r="O72" s="1009" t="s">
        <v>778</v>
      </c>
      <c r="P72" s="1006" t="str">
        <f>K60</f>
        <v>建筑物剩余耐用年限下的土地年期修正系数Kn</v>
      </c>
      <c r="Q72" s="1007" t="e">
        <f>L60</f>
        <v>#DIV/0!</v>
      </c>
      <c r="R72" s="1008" t="s">
        <v>1944</v>
      </c>
    </row>
    <row r="73" spans="1:18" ht="15.6" thickBot="1">
      <c r="A73" s="652"/>
      <c r="B73" s="656"/>
      <c r="C73" s="656"/>
      <c r="D73" s="652"/>
      <c r="E73" s="652"/>
      <c r="F73" s="652"/>
      <c r="O73" s="1005" t="s">
        <v>773</v>
      </c>
      <c r="P73" s="1006" t="str">
        <f>IF(C2="元","收益价值(元)","收益价值(万元)")</f>
        <v>收益价值(元)</v>
      </c>
      <c r="Q73" s="1007" t="e">
        <f ca="1">ROUND(IF(C2="元",Q63+Q64,(Q63+Q64)/10000),0)</f>
        <v>#VALUE!</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ht="28.8">
      <c r="A9" s="861"/>
      <c r="B9" s="1267" t="str">
        <f>项目基本情况!B1</f>
        <v>北京市大兴区北京经济技术开发区荣华南路10号院4号楼1至2层107号商业用房房地产抵押价值预评估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上海浦东发展银行股份有限公司北京经济技术开发区支行</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康正预评字2022-1-0305-P01DYGJ1号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2" customHeight="1"/>
  <cols>
    <col min="1" max="1" width="9.44140625" style="3081" customWidth="1"/>
    <col min="2" max="2" width="8.88671875" style="3081"/>
    <col min="3" max="5" width="12.88671875" style="3081" customWidth="1"/>
    <col min="6" max="6" width="47.44140625" style="3081" customWidth="1"/>
    <col min="7" max="7" width="13" style="3254" customWidth="1"/>
    <col min="8" max="8" width="8.88671875" style="3174"/>
    <col min="9" max="9" width="8.88671875" style="3175"/>
    <col min="10" max="10" width="5.77734375" style="3255" customWidth="1"/>
    <col min="11" max="11" width="11.77734375" style="3255" customWidth="1"/>
    <col min="12" max="13" width="10.77734375" style="3255" customWidth="1"/>
    <col min="14" max="14" width="10" style="3255" customWidth="1"/>
    <col min="15" max="16" width="10.44140625" style="3255" bestFit="1" customWidth="1"/>
    <col min="17" max="17" width="10" style="3255" customWidth="1"/>
    <col min="18" max="18" width="10.109375" style="3255" customWidth="1"/>
    <col min="19" max="19" width="10" style="3255" customWidth="1"/>
    <col min="20" max="20" width="26.109375" style="3255" customWidth="1"/>
    <col min="21" max="21" width="8.88671875" style="3255"/>
    <col min="22" max="22" width="8.88671875" style="3175"/>
    <col min="23" max="23" width="8.88671875" style="3174"/>
    <col min="24" max="256" width="8.88671875" style="3081"/>
    <col min="257" max="257" width="9.44140625" style="3081" customWidth="1"/>
    <col min="258" max="258" width="8.88671875" style="3081"/>
    <col min="259" max="261" width="12.88671875" style="3081" customWidth="1"/>
    <col min="262" max="262" width="47.44140625" style="3081" customWidth="1"/>
    <col min="263" max="263" width="13" style="3081" customWidth="1"/>
    <col min="264" max="265" width="8.88671875" style="3081"/>
    <col min="266" max="266" width="5.77734375" style="3081" customWidth="1"/>
    <col min="267" max="267" width="11.77734375" style="3081" customWidth="1"/>
    <col min="268" max="269" width="10.77734375" style="3081" customWidth="1"/>
    <col min="270" max="270" width="10" style="3081" customWidth="1"/>
    <col min="271" max="272" width="10.44140625" style="3081" bestFit="1" customWidth="1"/>
    <col min="273" max="273" width="10" style="3081" customWidth="1"/>
    <col min="274" max="274" width="10.109375" style="3081" customWidth="1"/>
    <col min="275" max="275" width="10" style="3081" customWidth="1"/>
    <col min="276" max="276" width="26.109375" style="3081" customWidth="1"/>
    <col min="277" max="512" width="8.88671875" style="3081"/>
    <col min="513" max="513" width="9.44140625" style="3081" customWidth="1"/>
    <col min="514" max="514" width="8.88671875" style="3081"/>
    <col min="515" max="517" width="12.88671875" style="3081" customWidth="1"/>
    <col min="518" max="518" width="47.44140625" style="3081" customWidth="1"/>
    <col min="519" max="519" width="13" style="3081" customWidth="1"/>
    <col min="520" max="521" width="8.88671875" style="3081"/>
    <col min="522" max="522" width="5.77734375" style="3081" customWidth="1"/>
    <col min="523" max="523" width="11.77734375" style="3081" customWidth="1"/>
    <col min="524" max="525" width="10.77734375" style="3081" customWidth="1"/>
    <col min="526" max="526" width="10" style="3081" customWidth="1"/>
    <col min="527" max="528" width="10.44140625" style="3081" bestFit="1" customWidth="1"/>
    <col min="529" max="529" width="10" style="3081" customWidth="1"/>
    <col min="530" max="530" width="10.109375" style="3081" customWidth="1"/>
    <col min="531" max="531" width="10" style="3081" customWidth="1"/>
    <col min="532" max="532" width="26.109375" style="3081" customWidth="1"/>
    <col min="533" max="768" width="8.88671875" style="3081"/>
    <col min="769" max="769" width="9.44140625" style="3081" customWidth="1"/>
    <col min="770" max="770" width="8.88671875" style="3081"/>
    <col min="771" max="773" width="12.88671875" style="3081" customWidth="1"/>
    <col min="774" max="774" width="47.44140625" style="3081" customWidth="1"/>
    <col min="775" max="775" width="13" style="3081" customWidth="1"/>
    <col min="776" max="777" width="8.88671875" style="3081"/>
    <col min="778" max="778" width="5.77734375" style="3081" customWidth="1"/>
    <col min="779" max="779" width="11.77734375" style="3081" customWidth="1"/>
    <col min="780" max="781" width="10.77734375" style="3081" customWidth="1"/>
    <col min="782" max="782" width="10" style="3081" customWidth="1"/>
    <col min="783" max="784" width="10.44140625" style="3081" bestFit="1" customWidth="1"/>
    <col min="785" max="785" width="10" style="3081" customWidth="1"/>
    <col min="786" max="786" width="10.109375" style="3081" customWidth="1"/>
    <col min="787" max="787" width="10" style="3081" customWidth="1"/>
    <col min="788" max="788" width="26.109375" style="3081" customWidth="1"/>
    <col min="789" max="1024" width="8.88671875" style="3081"/>
    <col min="1025" max="1025" width="9.44140625" style="3081" customWidth="1"/>
    <col min="1026" max="1026" width="8.88671875" style="3081"/>
    <col min="1027" max="1029" width="12.88671875" style="3081" customWidth="1"/>
    <col min="1030" max="1030" width="47.44140625" style="3081" customWidth="1"/>
    <col min="1031" max="1031" width="13" style="3081" customWidth="1"/>
    <col min="1032" max="1033" width="8.88671875" style="3081"/>
    <col min="1034" max="1034" width="5.77734375" style="3081" customWidth="1"/>
    <col min="1035" max="1035" width="11.77734375" style="3081" customWidth="1"/>
    <col min="1036" max="1037" width="10.77734375" style="3081" customWidth="1"/>
    <col min="1038" max="1038" width="10" style="3081" customWidth="1"/>
    <col min="1039" max="1040" width="10.44140625" style="3081" bestFit="1" customWidth="1"/>
    <col min="1041" max="1041" width="10" style="3081" customWidth="1"/>
    <col min="1042" max="1042" width="10.109375" style="3081" customWidth="1"/>
    <col min="1043" max="1043" width="10" style="3081" customWidth="1"/>
    <col min="1044" max="1044" width="26.109375" style="3081" customWidth="1"/>
    <col min="1045" max="1280" width="8.88671875" style="3081"/>
    <col min="1281" max="1281" width="9.44140625" style="3081" customWidth="1"/>
    <col min="1282" max="1282" width="8.88671875" style="3081"/>
    <col min="1283" max="1285" width="12.88671875" style="3081" customWidth="1"/>
    <col min="1286" max="1286" width="47.44140625" style="3081" customWidth="1"/>
    <col min="1287" max="1287" width="13" style="3081" customWidth="1"/>
    <col min="1288" max="1289" width="8.88671875" style="3081"/>
    <col min="1290" max="1290" width="5.77734375" style="3081" customWidth="1"/>
    <col min="1291" max="1291" width="11.77734375" style="3081" customWidth="1"/>
    <col min="1292" max="1293" width="10.77734375" style="3081" customWidth="1"/>
    <col min="1294" max="1294" width="10" style="3081" customWidth="1"/>
    <col min="1295" max="1296" width="10.44140625" style="3081" bestFit="1" customWidth="1"/>
    <col min="1297" max="1297" width="10" style="3081" customWidth="1"/>
    <col min="1298" max="1298" width="10.109375" style="3081" customWidth="1"/>
    <col min="1299" max="1299" width="10" style="3081" customWidth="1"/>
    <col min="1300" max="1300" width="26.109375" style="3081" customWidth="1"/>
    <col min="1301" max="1536" width="8.88671875" style="3081"/>
    <col min="1537" max="1537" width="9.44140625" style="3081" customWidth="1"/>
    <col min="1538" max="1538" width="8.88671875" style="3081"/>
    <col min="1539" max="1541" width="12.88671875" style="3081" customWidth="1"/>
    <col min="1542" max="1542" width="47.44140625" style="3081" customWidth="1"/>
    <col min="1543" max="1543" width="13" style="3081" customWidth="1"/>
    <col min="1544" max="1545" width="8.88671875" style="3081"/>
    <col min="1546" max="1546" width="5.77734375" style="3081" customWidth="1"/>
    <col min="1547" max="1547" width="11.77734375" style="3081" customWidth="1"/>
    <col min="1548" max="1549" width="10.77734375" style="3081" customWidth="1"/>
    <col min="1550" max="1550" width="10" style="3081" customWidth="1"/>
    <col min="1551" max="1552" width="10.44140625" style="3081" bestFit="1" customWidth="1"/>
    <col min="1553" max="1553" width="10" style="3081" customWidth="1"/>
    <col min="1554" max="1554" width="10.109375" style="3081" customWidth="1"/>
    <col min="1555" max="1555" width="10" style="3081" customWidth="1"/>
    <col min="1556" max="1556" width="26.109375" style="3081" customWidth="1"/>
    <col min="1557" max="1792" width="8.88671875" style="3081"/>
    <col min="1793" max="1793" width="9.44140625" style="3081" customWidth="1"/>
    <col min="1794" max="1794" width="8.88671875" style="3081"/>
    <col min="1795" max="1797" width="12.88671875" style="3081" customWidth="1"/>
    <col min="1798" max="1798" width="47.44140625" style="3081" customWidth="1"/>
    <col min="1799" max="1799" width="13" style="3081" customWidth="1"/>
    <col min="1800" max="1801" width="8.88671875" style="3081"/>
    <col min="1802" max="1802" width="5.77734375" style="3081" customWidth="1"/>
    <col min="1803" max="1803" width="11.77734375" style="3081" customWidth="1"/>
    <col min="1804" max="1805" width="10.77734375" style="3081" customWidth="1"/>
    <col min="1806" max="1806" width="10" style="3081" customWidth="1"/>
    <col min="1807" max="1808" width="10.44140625" style="3081" bestFit="1" customWidth="1"/>
    <col min="1809" max="1809" width="10" style="3081" customWidth="1"/>
    <col min="1810" max="1810" width="10.109375" style="3081" customWidth="1"/>
    <col min="1811" max="1811" width="10" style="3081" customWidth="1"/>
    <col min="1812" max="1812" width="26.109375" style="3081" customWidth="1"/>
    <col min="1813" max="2048" width="8.88671875" style="3081"/>
    <col min="2049" max="2049" width="9.44140625" style="3081" customWidth="1"/>
    <col min="2050" max="2050" width="8.88671875" style="3081"/>
    <col min="2051" max="2053" width="12.88671875" style="3081" customWidth="1"/>
    <col min="2054" max="2054" width="47.44140625" style="3081" customWidth="1"/>
    <col min="2055" max="2055" width="13" style="3081" customWidth="1"/>
    <col min="2056" max="2057" width="8.88671875" style="3081"/>
    <col min="2058" max="2058" width="5.77734375" style="3081" customWidth="1"/>
    <col min="2059" max="2059" width="11.77734375" style="3081" customWidth="1"/>
    <col min="2060" max="2061" width="10.77734375" style="3081" customWidth="1"/>
    <col min="2062" max="2062" width="10" style="3081" customWidth="1"/>
    <col min="2063" max="2064" width="10.44140625" style="3081" bestFit="1" customWidth="1"/>
    <col min="2065" max="2065" width="10" style="3081" customWidth="1"/>
    <col min="2066" max="2066" width="10.109375" style="3081" customWidth="1"/>
    <col min="2067" max="2067" width="10" style="3081" customWidth="1"/>
    <col min="2068" max="2068" width="26.109375" style="3081" customWidth="1"/>
    <col min="2069" max="2304" width="8.88671875" style="3081"/>
    <col min="2305" max="2305" width="9.44140625" style="3081" customWidth="1"/>
    <col min="2306" max="2306" width="8.88671875" style="3081"/>
    <col min="2307" max="2309" width="12.88671875" style="3081" customWidth="1"/>
    <col min="2310" max="2310" width="47.44140625" style="3081" customWidth="1"/>
    <col min="2311" max="2311" width="13" style="3081" customWidth="1"/>
    <col min="2312" max="2313" width="8.88671875" style="3081"/>
    <col min="2314" max="2314" width="5.77734375" style="3081" customWidth="1"/>
    <col min="2315" max="2315" width="11.77734375" style="3081" customWidth="1"/>
    <col min="2316" max="2317" width="10.77734375" style="3081" customWidth="1"/>
    <col min="2318" max="2318" width="10" style="3081" customWidth="1"/>
    <col min="2319" max="2320" width="10.44140625" style="3081" bestFit="1" customWidth="1"/>
    <col min="2321" max="2321" width="10" style="3081" customWidth="1"/>
    <col min="2322" max="2322" width="10.109375" style="3081" customWidth="1"/>
    <col min="2323" max="2323" width="10" style="3081" customWidth="1"/>
    <col min="2324" max="2324" width="26.109375" style="3081" customWidth="1"/>
    <col min="2325" max="2560" width="8.88671875" style="3081"/>
    <col min="2561" max="2561" width="9.44140625" style="3081" customWidth="1"/>
    <col min="2562" max="2562" width="8.88671875" style="3081"/>
    <col min="2563" max="2565" width="12.88671875" style="3081" customWidth="1"/>
    <col min="2566" max="2566" width="47.44140625" style="3081" customWidth="1"/>
    <col min="2567" max="2567" width="13" style="3081" customWidth="1"/>
    <col min="2568" max="2569" width="8.88671875" style="3081"/>
    <col min="2570" max="2570" width="5.77734375" style="3081" customWidth="1"/>
    <col min="2571" max="2571" width="11.77734375" style="3081" customWidth="1"/>
    <col min="2572" max="2573" width="10.77734375" style="3081" customWidth="1"/>
    <col min="2574" max="2574" width="10" style="3081" customWidth="1"/>
    <col min="2575" max="2576" width="10.44140625" style="3081" bestFit="1" customWidth="1"/>
    <col min="2577" max="2577" width="10" style="3081" customWidth="1"/>
    <col min="2578" max="2578" width="10.109375" style="3081" customWidth="1"/>
    <col min="2579" max="2579" width="10" style="3081" customWidth="1"/>
    <col min="2580" max="2580" width="26.109375" style="3081" customWidth="1"/>
    <col min="2581" max="2816" width="8.88671875" style="3081"/>
    <col min="2817" max="2817" width="9.44140625" style="3081" customWidth="1"/>
    <col min="2818" max="2818" width="8.88671875" style="3081"/>
    <col min="2819" max="2821" width="12.88671875" style="3081" customWidth="1"/>
    <col min="2822" max="2822" width="47.44140625" style="3081" customWidth="1"/>
    <col min="2823" max="2823" width="13" style="3081" customWidth="1"/>
    <col min="2824" max="2825" width="8.88671875" style="3081"/>
    <col min="2826" max="2826" width="5.77734375" style="3081" customWidth="1"/>
    <col min="2827" max="2827" width="11.77734375" style="3081" customWidth="1"/>
    <col min="2828" max="2829" width="10.77734375" style="3081" customWidth="1"/>
    <col min="2830" max="2830" width="10" style="3081" customWidth="1"/>
    <col min="2831" max="2832" width="10.44140625" style="3081" bestFit="1" customWidth="1"/>
    <col min="2833" max="2833" width="10" style="3081" customWidth="1"/>
    <col min="2834" max="2834" width="10.109375" style="3081" customWidth="1"/>
    <col min="2835" max="2835" width="10" style="3081" customWidth="1"/>
    <col min="2836" max="2836" width="26.109375" style="3081" customWidth="1"/>
    <col min="2837" max="3072" width="8.88671875" style="3081"/>
    <col min="3073" max="3073" width="9.44140625" style="3081" customWidth="1"/>
    <col min="3074" max="3074" width="8.88671875" style="3081"/>
    <col min="3075" max="3077" width="12.88671875" style="3081" customWidth="1"/>
    <col min="3078" max="3078" width="47.44140625" style="3081" customWidth="1"/>
    <col min="3079" max="3079" width="13" style="3081" customWidth="1"/>
    <col min="3080" max="3081" width="8.88671875" style="3081"/>
    <col min="3082" max="3082" width="5.77734375" style="3081" customWidth="1"/>
    <col min="3083" max="3083" width="11.77734375" style="3081" customWidth="1"/>
    <col min="3084" max="3085" width="10.77734375" style="3081" customWidth="1"/>
    <col min="3086" max="3086" width="10" style="3081" customWidth="1"/>
    <col min="3087" max="3088" width="10.44140625" style="3081" bestFit="1" customWidth="1"/>
    <col min="3089" max="3089" width="10" style="3081" customWidth="1"/>
    <col min="3090" max="3090" width="10.109375" style="3081" customWidth="1"/>
    <col min="3091" max="3091" width="10" style="3081" customWidth="1"/>
    <col min="3092" max="3092" width="26.109375" style="3081" customWidth="1"/>
    <col min="3093" max="3328" width="8.88671875" style="3081"/>
    <col min="3329" max="3329" width="9.44140625" style="3081" customWidth="1"/>
    <col min="3330" max="3330" width="8.88671875" style="3081"/>
    <col min="3331" max="3333" width="12.88671875" style="3081" customWidth="1"/>
    <col min="3334" max="3334" width="47.44140625" style="3081" customWidth="1"/>
    <col min="3335" max="3335" width="13" style="3081" customWidth="1"/>
    <col min="3336" max="3337" width="8.88671875" style="3081"/>
    <col min="3338" max="3338" width="5.77734375" style="3081" customWidth="1"/>
    <col min="3339" max="3339" width="11.77734375" style="3081" customWidth="1"/>
    <col min="3340" max="3341" width="10.77734375" style="3081" customWidth="1"/>
    <col min="3342" max="3342" width="10" style="3081" customWidth="1"/>
    <col min="3343" max="3344" width="10.44140625" style="3081" bestFit="1" customWidth="1"/>
    <col min="3345" max="3345" width="10" style="3081" customWidth="1"/>
    <col min="3346" max="3346" width="10.109375" style="3081" customWidth="1"/>
    <col min="3347" max="3347" width="10" style="3081" customWidth="1"/>
    <col min="3348" max="3348" width="26.109375" style="3081" customWidth="1"/>
    <col min="3349" max="3584" width="8.88671875" style="3081"/>
    <col min="3585" max="3585" width="9.44140625" style="3081" customWidth="1"/>
    <col min="3586" max="3586" width="8.88671875" style="3081"/>
    <col min="3587" max="3589" width="12.88671875" style="3081" customWidth="1"/>
    <col min="3590" max="3590" width="47.44140625" style="3081" customWidth="1"/>
    <col min="3591" max="3591" width="13" style="3081" customWidth="1"/>
    <col min="3592" max="3593" width="8.88671875" style="3081"/>
    <col min="3594" max="3594" width="5.77734375" style="3081" customWidth="1"/>
    <col min="3595" max="3595" width="11.77734375" style="3081" customWidth="1"/>
    <col min="3596" max="3597" width="10.77734375" style="3081" customWidth="1"/>
    <col min="3598" max="3598" width="10" style="3081" customWidth="1"/>
    <col min="3599" max="3600" width="10.44140625" style="3081" bestFit="1" customWidth="1"/>
    <col min="3601" max="3601" width="10" style="3081" customWidth="1"/>
    <col min="3602" max="3602" width="10.109375" style="3081" customWidth="1"/>
    <col min="3603" max="3603" width="10" style="3081" customWidth="1"/>
    <col min="3604" max="3604" width="26.109375" style="3081" customWidth="1"/>
    <col min="3605" max="3840" width="8.88671875" style="3081"/>
    <col min="3841" max="3841" width="9.44140625" style="3081" customWidth="1"/>
    <col min="3842" max="3842" width="8.88671875" style="3081"/>
    <col min="3843" max="3845" width="12.88671875" style="3081" customWidth="1"/>
    <col min="3846" max="3846" width="47.44140625" style="3081" customWidth="1"/>
    <col min="3847" max="3847" width="13" style="3081" customWidth="1"/>
    <col min="3848" max="3849" width="8.88671875" style="3081"/>
    <col min="3850" max="3850" width="5.77734375" style="3081" customWidth="1"/>
    <col min="3851" max="3851" width="11.77734375" style="3081" customWidth="1"/>
    <col min="3852" max="3853" width="10.77734375" style="3081" customWidth="1"/>
    <col min="3854" max="3854" width="10" style="3081" customWidth="1"/>
    <col min="3855" max="3856" width="10.44140625" style="3081" bestFit="1" customWidth="1"/>
    <col min="3857" max="3857" width="10" style="3081" customWidth="1"/>
    <col min="3858" max="3858" width="10.109375" style="3081" customWidth="1"/>
    <col min="3859" max="3859" width="10" style="3081" customWidth="1"/>
    <col min="3860" max="3860" width="26.109375" style="3081" customWidth="1"/>
    <col min="3861" max="4096" width="8.88671875" style="3081"/>
    <col min="4097" max="4097" width="9.44140625" style="3081" customWidth="1"/>
    <col min="4098" max="4098" width="8.88671875" style="3081"/>
    <col min="4099" max="4101" width="12.88671875" style="3081" customWidth="1"/>
    <col min="4102" max="4102" width="47.44140625" style="3081" customWidth="1"/>
    <col min="4103" max="4103" width="13" style="3081" customWidth="1"/>
    <col min="4104" max="4105" width="8.88671875" style="3081"/>
    <col min="4106" max="4106" width="5.77734375" style="3081" customWidth="1"/>
    <col min="4107" max="4107" width="11.77734375" style="3081" customWidth="1"/>
    <col min="4108" max="4109" width="10.77734375" style="3081" customWidth="1"/>
    <col min="4110" max="4110" width="10" style="3081" customWidth="1"/>
    <col min="4111" max="4112" width="10.44140625" style="3081" bestFit="1" customWidth="1"/>
    <col min="4113" max="4113" width="10" style="3081" customWidth="1"/>
    <col min="4114" max="4114" width="10.109375" style="3081" customWidth="1"/>
    <col min="4115" max="4115" width="10" style="3081" customWidth="1"/>
    <col min="4116" max="4116" width="26.109375" style="3081" customWidth="1"/>
    <col min="4117" max="4352" width="8.88671875" style="3081"/>
    <col min="4353" max="4353" width="9.44140625" style="3081" customWidth="1"/>
    <col min="4354" max="4354" width="8.88671875" style="3081"/>
    <col min="4355" max="4357" width="12.88671875" style="3081" customWidth="1"/>
    <col min="4358" max="4358" width="47.44140625" style="3081" customWidth="1"/>
    <col min="4359" max="4359" width="13" style="3081" customWidth="1"/>
    <col min="4360" max="4361" width="8.88671875" style="3081"/>
    <col min="4362" max="4362" width="5.77734375" style="3081" customWidth="1"/>
    <col min="4363" max="4363" width="11.77734375" style="3081" customWidth="1"/>
    <col min="4364" max="4365" width="10.77734375" style="3081" customWidth="1"/>
    <col min="4366" max="4366" width="10" style="3081" customWidth="1"/>
    <col min="4367" max="4368" width="10.44140625" style="3081" bestFit="1" customWidth="1"/>
    <col min="4369" max="4369" width="10" style="3081" customWidth="1"/>
    <col min="4370" max="4370" width="10.109375" style="3081" customWidth="1"/>
    <col min="4371" max="4371" width="10" style="3081" customWidth="1"/>
    <col min="4372" max="4372" width="26.109375" style="3081" customWidth="1"/>
    <col min="4373" max="4608" width="8.88671875" style="3081"/>
    <col min="4609" max="4609" width="9.44140625" style="3081" customWidth="1"/>
    <col min="4610" max="4610" width="8.88671875" style="3081"/>
    <col min="4611" max="4613" width="12.88671875" style="3081" customWidth="1"/>
    <col min="4614" max="4614" width="47.44140625" style="3081" customWidth="1"/>
    <col min="4615" max="4615" width="13" style="3081" customWidth="1"/>
    <col min="4616" max="4617" width="8.88671875" style="3081"/>
    <col min="4618" max="4618" width="5.77734375" style="3081" customWidth="1"/>
    <col min="4619" max="4619" width="11.77734375" style="3081" customWidth="1"/>
    <col min="4620" max="4621" width="10.77734375" style="3081" customWidth="1"/>
    <col min="4622" max="4622" width="10" style="3081" customWidth="1"/>
    <col min="4623" max="4624" width="10.44140625" style="3081" bestFit="1" customWidth="1"/>
    <col min="4625" max="4625" width="10" style="3081" customWidth="1"/>
    <col min="4626" max="4626" width="10.109375" style="3081" customWidth="1"/>
    <col min="4627" max="4627" width="10" style="3081" customWidth="1"/>
    <col min="4628" max="4628" width="26.109375" style="3081" customWidth="1"/>
    <col min="4629" max="4864" width="8.88671875" style="3081"/>
    <col min="4865" max="4865" width="9.44140625" style="3081" customWidth="1"/>
    <col min="4866" max="4866" width="8.88671875" style="3081"/>
    <col min="4867" max="4869" width="12.88671875" style="3081" customWidth="1"/>
    <col min="4870" max="4870" width="47.44140625" style="3081" customWidth="1"/>
    <col min="4871" max="4871" width="13" style="3081" customWidth="1"/>
    <col min="4872" max="4873" width="8.88671875" style="3081"/>
    <col min="4874" max="4874" width="5.77734375" style="3081" customWidth="1"/>
    <col min="4875" max="4875" width="11.77734375" style="3081" customWidth="1"/>
    <col min="4876" max="4877" width="10.77734375" style="3081" customWidth="1"/>
    <col min="4878" max="4878" width="10" style="3081" customWidth="1"/>
    <col min="4879" max="4880" width="10.44140625" style="3081" bestFit="1" customWidth="1"/>
    <col min="4881" max="4881" width="10" style="3081" customWidth="1"/>
    <col min="4882" max="4882" width="10.109375" style="3081" customWidth="1"/>
    <col min="4883" max="4883" width="10" style="3081" customWidth="1"/>
    <col min="4884" max="4884" width="26.109375" style="3081" customWidth="1"/>
    <col min="4885" max="5120" width="8.88671875" style="3081"/>
    <col min="5121" max="5121" width="9.44140625" style="3081" customWidth="1"/>
    <col min="5122" max="5122" width="8.88671875" style="3081"/>
    <col min="5123" max="5125" width="12.88671875" style="3081" customWidth="1"/>
    <col min="5126" max="5126" width="47.44140625" style="3081" customWidth="1"/>
    <col min="5127" max="5127" width="13" style="3081" customWidth="1"/>
    <col min="5128" max="5129" width="8.88671875" style="3081"/>
    <col min="5130" max="5130" width="5.77734375" style="3081" customWidth="1"/>
    <col min="5131" max="5131" width="11.77734375" style="3081" customWidth="1"/>
    <col min="5132" max="5133" width="10.77734375" style="3081" customWidth="1"/>
    <col min="5134" max="5134" width="10" style="3081" customWidth="1"/>
    <col min="5135" max="5136" width="10.44140625" style="3081" bestFit="1" customWidth="1"/>
    <col min="5137" max="5137" width="10" style="3081" customWidth="1"/>
    <col min="5138" max="5138" width="10.109375" style="3081" customWidth="1"/>
    <col min="5139" max="5139" width="10" style="3081" customWidth="1"/>
    <col min="5140" max="5140" width="26.109375" style="3081" customWidth="1"/>
    <col min="5141" max="5376" width="8.88671875" style="3081"/>
    <col min="5377" max="5377" width="9.44140625" style="3081" customWidth="1"/>
    <col min="5378" max="5378" width="8.88671875" style="3081"/>
    <col min="5379" max="5381" width="12.88671875" style="3081" customWidth="1"/>
    <col min="5382" max="5382" width="47.44140625" style="3081" customWidth="1"/>
    <col min="5383" max="5383" width="13" style="3081" customWidth="1"/>
    <col min="5384" max="5385" width="8.88671875" style="3081"/>
    <col min="5386" max="5386" width="5.77734375" style="3081" customWidth="1"/>
    <col min="5387" max="5387" width="11.77734375" style="3081" customWidth="1"/>
    <col min="5388" max="5389" width="10.77734375" style="3081" customWidth="1"/>
    <col min="5390" max="5390" width="10" style="3081" customWidth="1"/>
    <col min="5391" max="5392" width="10.44140625" style="3081" bestFit="1" customWidth="1"/>
    <col min="5393" max="5393" width="10" style="3081" customWidth="1"/>
    <col min="5394" max="5394" width="10.109375" style="3081" customWidth="1"/>
    <col min="5395" max="5395" width="10" style="3081" customWidth="1"/>
    <col min="5396" max="5396" width="26.109375" style="3081" customWidth="1"/>
    <col min="5397" max="5632" width="8.88671875" style="3081"/>
    <col min="5633" max="5633" width="9.44140625" style="3081" customWidth="1"/>
    <col min="5634" max="5634" width="8.88671875" style="3081"/>
    <col min="5635" max="5637" width="12.88671875" style="3081" customWidth="1"/>
    <col min="5638" max="5638" width="47.44140625" style="3081" customWidth="1"/>
    <col min="5639" max="5639" width="13" style="3081" customWidth="1"/>
    <col min="5640" max="5641" width="8.88671875" style="3081"/>
    <col min="5642" max="5642" width="5.77734375" style="3081" customWidth="1"/>
    <col min="5643" max="5643" width="11.77734375" style="3081" customWidth="1"/>
    <col min="5644" max="5645" width="10.77734375" style="3081" customWidth="1"/>
    <col min="5646" max="5646" width="10" style="3081" customWidth="1"/>
    <col min="5647" max="5648" width="10.44140625" style="3081" bestFit="1" customWidth="1"/>
    <col min="5649" max="5649" width="10" style="3081" customWidth="1"/>
    <col min="5650" max="5650" width="10.109375" style="3081" customWidth="1"/>
    <col min="5651" max="5651" width="10" style="3081" customWidth="1"/>
    <col min="5652" max="5652" width="26.109375" style="3081" customWidth="1"/>
    <col min="5653" max="5888" width="8.88671875" style="3081"/>
    <col min="5889" max="5889" width="9.44140625" style="3081" customWidth="1"/>
    <col min="5890" max="5890" width="8.88671875" style="3081"/>
    <col min="5891" max="5893" width="12.88671875" style="3081" customWidth="1"/>
    <col min="5894" max="5894" width="47.44140625" style="3081" customWidth="1"/>
    <col min="5895" max="5895" width="13" style="3081" customWidth="1"/>
    <col min="5896" max="5897" width="8.88671875" style="3081"/>
    <col min="5898" max="5898" width="5.77734375" style="3081" customWidth="1"/>
    <col min="5899" max="5899" width="11.77734375" style="3081" customWidth="1"/>
    <col min="5900" max="5901" width="10.77734375" style="3081" customWidth="1"/>
    <col min="5902" max="5902" width="10" style="3081" customWidth="1"/>
    <col min="5903" max="5904" width="10.44140625" style="3081" bestFit="1" customWidth="1"/>
    <col min="5905" max="5905" width="10" style="3081" customWidth="1"/>
    <col min="5906" max="5906" width="10.109375" style="3081" customWidth="1"/>
    <col min="5907" max="5907" width="10" style="3081" customWidth="1"/>
    <col min="5908" max="5908" width="26.109375" style="3081" customWidth="1"/>
    <col min="5909" max="6144" width="8.88671875" style="3081"/>
    <col min="6145" max="6145" width="9.44140625" style="3081" customWidth="1"/>
    <col min="6146" max="6146" width="8.88671875" style="3081"/>
    <col min="6147" max="6149" width="12.88671875" style="3081" customWidth="1"/>
    <col min="6150" max="6150" width="47.44140625" style="3081" customWidth="1"/>
    <col min="6151" max="6151" width="13" style="3081" customWidth="1"/>
    <col min="6152" max="6153" width="8.88671875" style="3081"/>
    <col min="6154" max="6154" width="5.77734375" style="3081" customWidth="1"/>
    <col min="6155" max="6155" width="11.77734375" style="3081" customWidth="1"/>
    <col min="6156" max="6157" width="10.77734375" style="3081" customWidth="1"/>
    <col min="6158" max="6158" width="10" style="3081" customWidth="1"/>
    <col min="6159" max="6160" width="10.44140625" style="3081" bestFit="1" customWidth="1"/>
    <col min="6161" max="6161" width="10" style="3081" customWidth="1"/>
    <col min="6162" max="6162" width="10.109375" style="3081" customWidth="1"/>
    <col min="6163" max="6163" width="10" style="3081" customWidth="1"/>
    <col min="6164" max="6164" width="26.109375" style="3081" customWidth="1"/>
    <col min="6165" max="6400" width="8.88671875" style="3081"/>
    <col min="6401" max="6401" width="9.44140625" style="3081" customWidth="1"/>
    <col min="6402" max="6402" width="8.88671875" style="3081"/>
    <col min="6403" max="6405" width="12.88671875" style="3081" customWidth="1"/>
    <col min="6406" max="6406" width="47.44140625" style="3081" customWidth="1"/>
    <col min="6407" max="6407" width="13" style="3081" customWidth="1"/>
    <col min="6408" max="6409" width="8.88671875" style="3081"/>
    <col min="6410" max="6410" width="5.77734375" style="3081" customWidth="1"/>
    <col min="6411" max="6411" width="11.77734375" style="3081" customWidth="1"/>
    <col min="6412" max="6413" width="10.77734375" style="3081" customWidth="1"/>
    <col min="6414" max="6414" width="10" style="3081" customWidth="1"/>
    <col min="6415" max="6416" width="10.44140625" style="3081" bestFit="1" customWidth="1"/>
    <col min="6417" max="6417" width="10" style="3081" customWidth="1"/>
    <col min="6418" max="6418" width="10.109375" style="3081" customWidth="1"/>
    <col min="6419" max="6419" width="10" style="3081" customWidth="1"/>
    <col min="6420" max="6420" width="26.109375" style="3081" customWidth="1"/>
    <col min="6421" max="6656" width="8.88671875" style="3081"/>
    <col min="6657" max="6657" width="9.44140625" style="3081" customWidth="1"/>
    <col min="6658" max="6658" width="8.88671875" style="3081"/>
    <col min="6659" max="6661" width="12.88671875" style="3081" customWidth="1"/>
    <col min="6662" max="6662" width="47.44140625" style="3081" customWidth="1"/>
    <col min="6663" max="6663" width="13" style="3081" customWidth="1"/>
    <col min="6664" max="6665" width="8.88671875" style="3081"/>
    <col min="6666" max="6666" width="5.77734375" style="3081" customWidth="1"/>
    <col min="6667" max="6667" width="11.77734375" style="3081" customWidth="1"/>
    <col min="6668" max="6669" width="10.77734375" style="3081" customWidth="1"/>
    <col min="6670" max="6670" width="10" style="3081" customWidth="1"/>
    <col min="6671" max="6672" width="10.44140625" style="3081" bestFit="1" customWidth="1"/>
    <col min="6673" max="6673" width="10" style="3081" customWidth="1"/>
    <col min="6674" max="6674" width="10.109375" style="3081" customWidth="1"/>
    <col min="6675" max="6675" width="10" style="3081" customWidth="1"/>
    <col min="6676" max="6676" width="26.109375" style="3081" customWidth="1"/>
    <col min="6677" max="6912" width="8.88671875" style="3081"/>
    <col min="6913" max="6913" width="9.44140625" style="3081" customWidth="1"/>
    <col min="6914" max="6914" width="8.88671875" style="3081"/>
    <col min="6915" max="6917" width="12.88671875" style="3081" customWidth="1"/>
    <col min="6918" max="6918" width="47.44140625" style="3081" customWidth="1"/>
    <col min="6919" max="6919" width="13" style="3081" customWidth="1"/>
    <col min="6920" max="6921" width="8.88671875" style="3081"/>
    <col min="6922" max="6922" width="5.77734375" style="3081" customWidth="1"/>
    <col min="6923" max="6923" width="11.77734375" style="3081" customWidth="1"/>
    <col min="6924" max="6925" width="10.77734375" style="3081" customWidth="1"/>
    <col min="6926" max="6926" width="10" style="3081" customWidth="1"/>
    <col min="6927" max="6928" width="10.44140625" style="3081" bestFit="1" customWidth="1"/>
    <col min="6929" max="6929" width="10" style="3081" customWidth="1"/>
    <col min="6930" max="6930" width="10.109375" style="3081" customWidth="1"/>
    <col min="6931" max="6931" width="10" style="3081" customWidth="1"/>
    <col min="6932" max="6932" width="26.109375" style="3081" customWidth="1"/>
    <col min="6933" max="7168" width="8.88671875" style="3081"/>
    <col min="7169" max="7169" width="9.44140625" style="3081" customWidth="1"/>
    <col min="7170" max="7170" width="8.88671875" style="3081"/>
    <col min="7171" max="7173" width="12.88671875" style="3081" customWidth="1"/>
    <col min="7174" max="7174" width="47.44140625" style="3081" customWidth="1"/>
    <col min="7175" max="7175" width="13" style="3081" customWidth="1"/>
    <col min="7176" max="7177" width="8.88671875" style="3081"/>
    <col min="7178" max="7178" width="5.77734375" style="3081" customWidth="1"/>
    <col min="7179" max="7179" width="11.77734375" style="3081" customWidth="1"/>
    <col min="7180" max="7181" width="10.77734375" style="3081" customWidth="1"/>
    <col min="7182" max="7182" width="10" style="3081" customWidth="1"/>
    <col min="7183" max="7184" width="10.44140625" style="3081" bestFit="1" customWidth="1"/>
    <col min="7185" max="7185" width="10" style="3081" customWidth="1"/>
    <col min="7186" max="7186" width="10.109375" style="3081" customWidth="1"/>
    <col min="7187" max="7187" width="10" style="3081" customWidth="1"/>
    <col min="7188" max="7188" width="26.109375" style="3081" customWidth="1"/>
    <col min="7189" max="7424" width="8.88671875" style="3081"/>
    <col min="7425" max="7425" width="9.44140625" style="3081" customWidth="1"/>
    <col min="7426" max="7426" width="8.88671875" style="3081"/>
    <col min="7427" max="7429" width="12.88671875" style="3081" customWidth="1"/>
    <col min="7430" max="7430" width="47.44140625" style="3081" customWidth="1"/>
    <col min="7431" max="7431" width="13" style="3081" customWidth="1"/>
    <col min="7432" max="7433" width="8.88671875" style="3081"/>
    <col min="7434" max="7434" width="5.77734375" style="3081" customWidth="1"/>
    <col min="7435" max="7435" width="11.77734375" style="3081" customWidth="1"/>
    <col min="7436" max="7437" width="10.77734375" style="3081" customWidth="1"/>
    <col min="7438" max="7438" width="10" style="3081" customWidth="1"/>
    <col min="7439" max="7440" width="10.44140625" style="3081" bestFit="1" customWidth="1"/>
    <col min="7441" max="7441" width="10" style="3081" customWidth="1"/>
    <col min="7442" max="7442" width="10.109375" style="3081" customWidth="1"/>
    <col min="7443" max="7443" width="10" style="3081" customWidth="1"/>
    <col min="7444" max="7444" width="26.109375" style="3081" customWidth="1"/>
    <col min="7445" max="7680" width="8.88671875" style="3081"/>
    <col min="7681" max="7681" width="9.44140625" style="3081" customWidth="1"/>
    <col min="7682" max="7682" width="8.88671875" style="3081"/>
    <col min="7683" max="7685" width="12.88671875" style="3081" customWidth="1"/>
    <col min="7686" max="7686" width="47.44140625" style="3081" customWidth="1"/>
    <col min="7687" max="7687" width="13" style="3081" customWidth="1"/>
    <col min="7688" max="7689" width="8.88671875" style="3081"/>
    <col min="7690" max="7690" width="5.77734375" style="3081" customWidth="1"/>
    <col min="7691" max="7691" width="11.77734375" style="3081" customWidth="1"/>
    <col min="7692" max="7693" width="10.77734375" style="3081" customWidth="1"/>
    <col min="7694" max="7694" width="10" style="3081" customWidth="1"/>
    <col min="7695" max="7696" width="10.44140625" style="3081" bestFit="1" customWidth="1"/>
    <col min="7697" max="7697" width="10" style="3081" customWidth="1"/>
    <col min="7698" max="7698" width="10.109375" style="3081" customWidth="1"/>
    <col min="7699" max="7699" width="10" style="3081" customWidth="1"/>
    <col min="7700" max="7700" width="26.109375" style="3081" customWidth="1"/>
    <col min="7701" max="7936" width="8.88671875" style="3081"/>
    <col min="7937" max="7937" width="9.44140625" style="3081" customWidth="1"/>
    <col min="7938" max="7938" width="8.88671875" style="3081"/>
    <col min="7939" max="7941" width="12.88671875" style="3081" customWidth="1"/>
    <col min="7942" max="7942" width="47.44140625" style="3081" customWidth="1"/>
    <col min="7943" max="7943" width="13" style="3081" customWidth="1"/>
    <col min="7944" max="7945" width="8.88671875" style="3081"/>
    <col min="7946" max="7946" width="5.77734375" style="3081" customWidth="1"/>
    <col min="7947" max="7947" width="11.77734375" style="3081" customWidth="1"/>
    <col min="7948" max="7949" width="10.77734375" style="3081" customWidth="1"/>
    <col min="7950" max="7950" width="10" style="3081" customWidth="1"/>
    <col min="7951" max="7952" width="10.44140625" style="3081" bestFit="1" customWidth="1"/>
    <col min="7953" max="7953" width="10" style="3081" customWidth="1"/>
    <col min="7954" max="7954" width="10.109375" style="3081" customWidth="1"/>
    <col min="7955" max="7955" width="10" style="3081" customWidth="1"/>
    <col min="7956" max="7956" width="26.109375" style="3081" customWidth="1"/>
    <col min="7957" max="8192" width="8.88671875" style="3081"/>
    <col min="8193" max="8193" width="9.44140625" style="3081" customWidth="1"/>
    <col min="8194" max="8194" width="8.88671875" style="3081"/>
    <col min="8195" max="8197" width="12.88671875" style="3081" customWidth="1"/>
    <col min="8198" max="8198" width="47.44140625" style="3081" customWidth="1"/>
    <col min="8199" max="8199" width="13" style="3081" customWidth="1"/>
    <col min="8200" max="8201" width="8.88671875" style="3081"/>
    <col min="8202" max="8202" width="5.77734375" style="3081" customWidth="1"/>
    <col min="8203" max="8203" width="11.77734375" style="3081" customWidth="1"/>
    <col min="8204" max="8205" width="10.77734375" style="3081" customWidth="1"/>
    <col min="8206" max="8206" width="10" style="3081" customWidth="1"/>
    <col min="8207" max="8208" width="10.44140625" style="3081" bestFit="1" customWidth="1"/>
    <col min="8209" max="8209" width="10" style="3081" customWidth="1"/>
    <col min="8210" max="8210" width="10.109375" style="3081" customWidth="1"/>
    <col min="8211" max="8211" width="10" style="3081" customWidth="1"/>
    <col min="8212" max="8212" width="26.109375" style="3081" customWidth="1"/>
    <col min="8213" max="8448" width="8.88671875" style="3081"/>
    <col min="8449" max="8449" width="9.44140625" style="3081" customWidth="1"/>
    <col min="8450" max="8450" width="8.88671875" style="3081"/>
    <col min="8451" max="8453" width="12.88671875" style="3081" customWidth="1"/>
    <col min="8454" max="8454" width="47.44140625" style="3081" customWidth="1"/>
    <col min="8455" max="8455" width="13" style="3081" customWidth="1"/>
    <col min="8456" max="8457" width="8.88671875" style="3081"/>
    <col min="8458" max="8458" width="5.77734375" style="3081" customWidth="1"/>
    <col min="8459" max="8459" width="11.77734375" style="3081" customWidth="1"/>
    <col min="8460" max="8461" width="10.77734375" style="3081" customWidth="1"/>
    <col min="8462" max="8462" width="10" style="3081" customWidth="1"/>
    <col min="8463" max="8464" width="10.44140625" style="3081" bestFit="1" customWidth="1"/>
    <col min="8465" max="8465" width="10" style="3081" customWidth="1"/>
    <col min="8466" max="8466" width="10.109375" style="3081" customWidth="1"/>
    <col min="8467" max="8467" width="10" style="3081" customWidth="1"/>
    <col min="8468" max="8468" width="26.109375" style="3081" customWidth="1"/>
    <col min="8469" max="8704" width="8.88671875" style="3081"/>
    <col min="8705" max="8705" width="9.44140625" style="3081" customWidth="1"/>
    <col min="8706" max="8706" width="8.88671875" style="3081"/>
    <col min="8707" max="8709" width="12.88671875" style="3081" customWidth="1"/>
    <col min="8710" max="8710" width="47.44140625" style="3081" customWidth="1"/>
    <col min="8711" max="8711" width="13" style="3081" customWidth="1"/>
    <col min="8712" max="8713" width="8.88671875" style="3081"/>
    <col min="8714" max="8714" width="5.77734375" style="3081" customWidth="1"/>
    <col min="8715" max="8715" width="11.77734375" style="3081" customWidth="1"/>
    <col min="8716" max="8717" width="10.77734375" style="3081" customWidth="1"/>
    <col min="8718" max="8718" width="10" style="3081" customWidth="1"/>
    <col min="8719" max="8720" width="10.44140625" style="3081" bestFit="1" customWidth="1"/>
    <col min="8721" max="8721" width="10" style="3081" customWidth="1"/>
    <col min="8722" max="8722" width="10.109375" style="3081" customWidth="1"/>
    <col min="8723" max="8723" width="10" style="3081" customWidth="1"/>
    <col min="8724" max="8724" width="26.109375" style="3081" customWidth="1"/>
    <col min="8725" max="8960" width="8.88671875" style="3081"/>
    <col min="8961" max="8961" width="9.44140625" style="3081" customWidth="1"/>
    <col min="8962" max="8962" width="8.88671875" style="3081"/>
    <col min="8963" max="8965" width="12.88671875" style="3081" customWidth="1"/>
    <col min="8966" max="8966" width="47.44140625" style="3081" customWidth="1"/>
    <col min="8967" max="8967" width="13" style="3081" customWidth="1"/>
    <col min="8968" max="8969" width="8.88671875" style="3081"/>
    <col min="8970" max="8970" width="5.77734375" style="3081" customWidth="1"/>
    <col min="8971" max="8971" width="11.77734375" style="3081" customWidth="1"/>
    <col min="8972" max="8973" width="10.77734375" style="3081" customWidth="1"/>
    <col min="8974" max="8974" width="10" style="3081" customWidth="1"/>
    <col min="8975" max="8976" width="10.44140625" style="3081" bestFit="1" customWidth="1"/>
    <col min="8977" max="8977" width="10" style="3081" customWidth="1"/>
    <col min="8978" max="8978" width="10.109375" style="3081" customWidth="1"/>
    <col min="8979" max="8979" width="10" style="3081" customWidth="1"/>
    <col min="8980" max="8980" width="26.109375" style="3081" customWidth="1"/>
    <col min="8981" max="9216" width="8.88671875" style="3081"/>
    <col min="9217" max="9217" width="9.44140625" style="3081" customWidth="1"/>
    <col min="9218" max="9218" width="8.88671875" style="3081"/>
    <col min="9219" max="9221" width="12.88671875" style="3081" customWidth="1"/>
    <col min="9222" max="9222" width="47.44140625" style="3081" customWidth="1"/>
    <col min="9223" max="9223" width="13" style="3081" customWidth="1"/>
    <col min="9224" max="9225" width="8.88671875" style="3081"/>
    <col min="9226" max="9226" width="5.77734375" style="3081" customWidth="1"/>
    <col min="9227" max="9227" width="11.77734375" style="3081" customWidth="1"/>
    <col min="9228" max="9229" width="10.77734375" style="3081" customWidth="1"/>
    <col min="9230" max="9230" width="10" style="3081" customWidth="1"/>
    <col min="9231" max="9232" width="10.44140625" style="3081" bestFit="1" customWidth="1"/>
    <col min="9233" max="9233" width="10" style="3081" customWidth="1"/>
    <col min="9234" max="9234" width="10.109375" style="3081" customWidth="1"/>
    <col min="9235" max="9235" width="10" style="3081" customWidth="1"/>
    <col min="9236" max="9236" width="26.109375" style="3081" customWidth="1"/>
    <col min="9237" max="9472" width="8.88671875" style="3081"/>
    <col min="9473" max="9473" width="9.44140625" style="3081" customWidth="1"/>
    <col min="9474" max="9474" width="8.88671875" style="3081"/>
    <col min="9475" max="9477" width="12.88671875" style="3081" customWidth="1"/>
    <col min="9478" max="9478" width="47.44140625" style="3081" customWidth="1"/>
    <col min="9479" max="9479" width="13" style="3081" customWidth="1"/>
    <col min="9480" max="9481" width="8.88671875" style="3081"/>
    <col min="9482" max="9482" width="5.77734375" style="3081" customWidth="1"/>
    <col min="9483" max="9483" width="11.77734375" style="3081" customWidth="1"/>
    <col min="9484" max="9485" width="10.77734375" style="3081" customWidth="1"/>
    <col min="9486" max="9486" width="10" style="3081" customWidth="1"/>
    <col min="9487" max="9488" width="10.44140625" style="3081" bestFit="1" customWidth="1"/>
    <col min="9489" max="9489" width="10" style="3081" customWidth="1"/>
    <col min="9490" max="9490" width="10.109375" style="3081" customWidth="1"/>
    <col min="9491" max="9491" width="10" style="3081" customWidth="1"/>
    <col min="9492" max="9492" width="26.109375" style="3081" customWidth="1"/>
    <col min="9493" max="9728" width="8.88671875" style="3081"/>
    <col min="9729" max="9729" width="9.44140625" style="3081" customWidth="1"/>
    <col min="9730" max="9730" width="8.88671875" style="3081"/>
    <col min="9731" max="9733" width="12.88671875" style="3081" customWidth="1"/>
    <col min="9734" max="9734" width="47.44140625" style="3081" customWidth="1"/>
    <col min="9735" max="9735" width="13" style="3081" customWidth="1"/>
    <col min="9736" max="9737" width="8.88671875" style="3081"/>
    <col min="9738" max="9738" width="5.77734375" style="3081" customWidth="1"/>
    <col min="9739" max="9739" width="11.77734375" style="3081" customWidth="1"/>
    <col min="9740" max="9741" width="10.77734375" style="3081" customWidth="1"/>
    <col min="9742" max="9742" width="10" style="3081" customWidth="1"/>
    <col min="9743" max="9744" width="10.44140625" style="3081" bestFit="1" customWidth="1"/>
    <col min="9745" max="9745" width="10" style="3081" customWidth="1"/>
    <col min="9746" max="9746" width="10.109375" style="3081" customWidth="1"/>
    <col min="9747" max="9747" width="10" style="3081" customWidth="1"/>
    <col min="9748" max="9748" width="26.109375" style="3081" customWidth="1"/>
    <col min="9749" max="9984" width="8.88671875" style="3081"/>
    <col min="9985" max="9985" width="9.44140625" style="3081" customWidth="1"/>
    <col min="9986" max="9986" width="8.88671875" style="3081"/>
    <col min="9987" max="9989" width="12.88671875" style="3081" customWidth="1"/>
    <col min="9990" max="9990" width="47.44140625" style="3081" customWidth="1"/>
    <col min="9991" max="9991" width="13" style="3081" customWidth="1"/>
    <col min="9992" max="9993" width="8.88671875" style="3081"/>
    <col min="9994" max="9994" width="5.77734375" style="3081" customWidth="1"/>
    <col min="9995" max="9995" width="11.77734375" style="3081" customWidth="1"/>
    <col min="9996" max="9997" width="10.77734375" style="3081" customWidth="1"/>
    <col min="9998" max="9998" width="10" style="3081" customWidth="1"/>
    <col min="9999" max="10000" width="10.44140625" style="3081" bestFit="1" customWidth="1"/>
    <col min="10001" max="10001" width="10" style="3081" customWidth="1"/>
    <col min="10002" max="10002" width="10.109375" style="3081" customWidth="1"/>
    <col min="10003" max="10003" width="10" style="3081" customWidth="1"/>
    <col min="10004" max="10004" width="26.109375" style="3081" customWidth="1"/>
    <col min="10005" max="10240" width="8.88671875" style="3081"/>
    <col min="10241" max="10241" width="9.44140625" style="3081" customWidth="1"/>
    <col min="10242" max="10242" width="8.88671875" style="3081"/>
    <col min="10243" max="10245" width="12.88671875" style="3081" customWidth="1"/>
    <col min="10246" max="10246" width="47.44140625" style="3081" customWidth="1"/>
    <col min="10247" max="10247" width="13" style="3081" customWidth="1"/>
    <col min="10248" max="10249" width="8.88671875" style="3081"/>
    <col min="10250" max="10250" width="5.77734375" style="3081" customWidth="1"/>
    <col min="10251" max="10251" width="11.77734375" style="3081" customWidth="1"/>
    <col min="10252" max="10253" width="10.77734375" style="3081" customWidth="1"/>
    <col min="10254" max="10254" width="10" style="3081" customWidth="1"/>
    <col min="10255" max="10256" width="10.44140625" style="3081" bestFit="1" customWidth="1"/>
    <col min="10257" max="10257" width="10" style="3081" customWidth="1"/>
    <col min="10258" max="10258" width="10.109375" style="3081" customWidth="1"/>
    <col min="10259" max="10259" width="10" style="3081" customWidth="1"/>
    <col min="10260" max="10260" width="26.109375" style="3081" customWidth="1"/>
    <col min="10261" max="10496" width="8.88671875" style="3081"/>
    <col min="10497" max="10497" width="9.44140625" style="3081" customWidth="1"/>
    <col min="10498" max="10498" width="8.88671875" style="3081"/>
    <col min="10499" max="10501" width="12.88671875" style="3081" customWidth="1"/>
    <col min="10502" max="10502" width="47.44140625" style="3081" customWidth="1"/>
    <col min="10503" max="10503" width="13" style="3081" customWidth="1"/>
    <col min="10504" max="10505" width="8.88671875" style="3081"/>
    <col min="10506" max="10506" width="5.77734375" style="3081" customWidth="1"/>
    <col min="10507" max="10507" width="11.77734375" style="3081" customWidth="1"/>
    <col min="10508" max="10509" width="10.77734375" style="3081" customWidth="1"/>
    <col min="10510" max="10510" width="10" style="3081" customWidth="1"/>
    <col min="10511" max="10512" width="10.44140625" style="3081" bestFit="1" customWidth="1"/>
    <col min="10513" max="10513" width="10" style="3081" customWidth="1"/>
    <col min="10514" max="10514" width="10.109375" style="3081" customWidth="1"/>
    <col min="10515" max="10515" width="10" style="3081" customWidth="1"/>
    <col min="10516" max="10516" width="26.109375" style="3081" customWidth="1"/>
    <col min="10517" max="10752" width="8.88671875" style="3081"/>
    <col min="10753" max="10753" width="9.44140625" style="3081" customWidth="1"/>
    <col min="10754" max="10754" width="8.88671875" style="3081"/>
    <col min="10755" max="10757" width="12.88671875" style="3081" customWidth="1"/>
    <col min="10758" max="10758" width="47.44140625" style="3081" customWidth="1"/>
    <col min="10759" max="10759" width="13" style="3081" customWidth="1"/>
    <col min="10760" max="10761" width="8.88671875" style="3081"/>
    <col min="10762" max="10762" width="5.77734375" style="3081" customWidth="1"/>
    <col min="10763" max="10763" width="11.77734375" style="3081" customWidth="1"/>
    <col min="10764" max="10765" width="10.77734375" style="3081" customWidth="1"/>
    <col min="10766" max="10766" width="10" style="3081" customWidth="1"/>
    <col min="10767" max="10768" width="10.44140625" style="3081" bestFit="1" customWidth="1"/>
    <col min="10769" max="10769" width="10" style="3081" customWidth="1"/>
    <col min="10770" max="10770" width="10.109375" style="3081" customWidth="1"/>
    <col min="10771" max="10771" width="10" style="3081" customWidth="1"/>
    <col min="10772" max="10772" width="26.109375" style="3081" customWidth="1"/>
    <col min="10773" max="11008" width="8.88671875" style="3081"/>
    <col min="11009" max="11009" width="9.44140625" style="3081" customWidth="1"/>
    <col min="11010" max="11010" width="8.88671875" style="3081"/>
    <col min="11011" max="11013" width="12.88671875" style="3081" customWidth="1"/>
    <col min="11014" max="11014" width="47.44140625" style="3081" customWidth="1"/>
    <col min="11015" max="11015" width="13" style="3081" customWidth="1"/>
    <col min="11016" max="11017" width="8.88671875" style="3081"/>
    <col min="11018" max="11018" width="5.77734375" style="3081" customWidth="1"/>
    <col min="11019" max="11019" width="11.77734375" style="3081" customWidth="1"/>
    <col min="11020" max="11021" width="10.77734375" style="3081" customWidth="1"/>
    <col min="11022" max="11022" width="10" style="3081" customWidth="1"/>
    <col min="11023" max="11024" width="10.44140625" style="3081" bestFit="1" customWidth="1"/>
    <col min="11025" max="11025" width="10" style="3081" customWidth="1"/>
    <col min="11026" max="11026" width="10.109375" style="3081" customWidth="1"/>
    <col min="11027" max="11027" width="10" style="3081" customWidth="1"/>
    <col min="11028" max="11028" width="26.109375" style="3081" customWidth="1"/>
    <col min="11029" max="11264" width="8.88671875" style="3081"/>
    <col min="11265" max="11265" width="9.44140625" style="3081" customWidth="1"/>
    <col min="11266" max="11266" width="8.88671875" style="3081"/>
    <col min="11267" max="11269" width="12.88671875" style="3081" customWidth="1"/>
    <col min="11270" max="11270" width="47.44140625" style="3081" customWidth="1"/>
    <col min="11271" max="11271" width="13" style="3081" customWidth="1"/>
    <col min="11272" max="11273" width="8.88671875" style="3081"/>
    <col min="11274" max="11274" width="5.77734375" style="3081" customWidth="1"/>
    <col min="11275" max="11275" width="11.77734375" style="3081" customWidth="1"/>
    <col min="11276" max="11277" width="10.77734375" style="3081" customWidth="1"/>
    <col min="11278" max="11278" width="10" style="3081" customWidth="1"/>
    <col min="11279" max="11280" width="10.44140625" style="3081" bestFit="1" customWidth="1"/>
    <col min="11281" max="11281" width="10" style="3081" customWidth="1"/>
    <col min="11282" max="11282" width="10.109375" style="3081" customWidth="1"/>
    <col min="11283" max="11283" width="10" style="3081" customWidth="1"/>
    <col min="11284" max="11284" width="26.109375" style="3081" customWidth="1"/>
    <col min="11285" max="11520" width="8.88671875" style="3081"/>
    <col min="11521" max="11521" width="9.44140625" style="3081" customWidth="1"/>
    <col min="11522" max="11522" width="8.88671875" style="3081"/>
    <col min="11523" max="11525" width="12.88671875" style="3081" customWidth="1"/>
    <col min="11526" max="11526" width="47.44140625" style="3081" customWidth="1"/>
    <col min="11527" max="11527" width="13" style="3081" customWidth="1"/>
    <col min="11528" max="11529" width="8.88671875" style="3081"/>
    <col min="11530" max="11530" width="5.77734375" style="3081" customWidth="1"/>
    <col min="11531" max="11531" width="11.77734375" style="3081" customWidth="1"/>
    <col min="11532" max="11533" width="10.77734375" style="3081" customWidth="1"/>
    <col min="11534" max="11534" width="10" style="3081" customWidth="1"/>
    <col min="11535" max="11536" width="10.44140625" style="3081" bestFit="1" customWidth="1"/>
    <col min="11537" max="11537" width="10" style="3081" customWidth="1"/>
    <col min="11538" max="11538" width="10.109375" style="3081" customWidth="1"/>
    <col min="11539" max="11539" width="10" style="3081" customWidth="1"/>
    <col min="11540" max="11540" width="26.109375" style="3081" customWidth="1"/>
    <col min="11541" max="11776" width="8.88671875" style="3081"/>
    <col min="11777" max="11777" width="9.44140625" style="3081" customWidth="1"/>
    <col min="11778" max="11778" width="8.88671875" style="3081"/>
    <col min="11779" max="11781" width="12.88671875" style="3081" customWidth="1"/>
    <col min="11782" max="11782" width="47.44140625" style="3081" customWidth="1"/>
    <col min="11783" max="11783" width="13" style="3081" customWidth="1"/>
    <col min="11784" max="11785" width="8.88671875" style="3081"/>
    <col min="11786" max="11786" width="5.77734375" style="3081" customWidth="1"/>
    <col min="11787" max="11787" width="11.77734375" style="3081" customWidth="1"/>
    <col min="11788" max="11789" width="10.77734375" style="3081" customWidth="1"/>
    <col min="11790" max="11790" width="10" style="3081" customWidth="1"/>
    <col min="11791" max="11792" width="10.44140625" style="3081" bestFit="1" customWidth="1"/>
    <col min="11793" max="11793" width="10" style="3081" customWidth="1"/>
    <col min="11794" max="11794" width="10.109375" style="3081" customWidth="1"/>
    <col min="11795" max="11795" width="10" style="3081" customWidth="1"/>
    <col min="11796" max="11796" width="26.109375" style="3081" customWidth="1"/>
    <col min="11797" max="12032" width="8.88671875" style="3081"/>
    <col min="12033" max="12033" width="9.44140625" style="3081" customWidth="1"/>
    <col min="12034" max="12034" width="8.88671875" style="3081"/>
    <col min="12035" max="12037" width="12.88671875" style="3081" customWidth="1"/>
    <col min="12038" max="12038" width="47.44140625" style="3081" customWidth="1"/>
    <col min="12039" max="12039" width="13" style="3081" customWidth="1"/>
    <col min="12040" max="12041" width="8.88671875" style="3081"/>
    <col min="12042" max="12042" width="5.77734375" style="3081" customWidth="1"/>
    <col min="12043" max="12043" width="11.77734375" style="3081" customWidth="1"/>
    <col min="12044" max="12045" width="10.77734375" style="3081" customWidth="1"/>
    <col min="12046" max="12046" width="10" style="3081" customWidth="1"/>
    <col min="12047" max="12048" width="10.44140625" style="3081" bestFit="1" customWidth="1"/>
    <col min="12049" max="12049" width="10" style="3081" customWidth="1"/>
    <col min="12050" max="12050" width="10.109375" style="3081" customWidth="1"/>
    <col min="12051" max="12051" width="10" style="3081" customWidth="1"/>
    <col min="12052" max="12052" width="26.109375" style="3081" customWidth="1"/>
    <col min="12053" max="12288" width="8.88671875" style="3081"/>
    <col min="12289" max="12289" width="9.44140625" style="3081" customWidth="1"/>
    <col min="12290" max="12290" width="8.88671875" style="3081"/>
    <col min="12291" max="12293" width="12.88671875" style="3081" customWidth="1"/>
    <col min="12294" max="12294" width="47.44140625" style="3081" customWidth="1"/>
    <col min="12295" max="12295" width="13" style="3081" customWidth="1"/>
    <col min="12296" max="12297" width="8.88671875" style="3081"/>
    <col min="12298" max="12298" width="5.77734375" style="3081" customWidth="1"/>
    <col min="12299" max="12299" width="11.77734375" style="3081" customWidth="1"/>
    <col min="12300" max="12301" width="10.77734375" style="3081" customWidth="1"/>
    <col min="12302" max="12302" width="10" style="3081" customWidth="1"/>
    <col min="12303" max="12304" width="10.44140625" style="3081" bestFit="1" customWidth="1"/>
    <col min="12305" max="12305" width="10" style="3081" customWidth="1"/>
    <col min="12306" max="12306" width="10.109375" style="3081" customWidth="1"/>
    <col min="12307" max="12307" width="10" style="3081" customWidth="1"/>
    <col min="12308" max="12308" width="26.109375" style="3081" customWidth="1"/>
    <col min="12309" max="12544" width="8.88671875" style="3081"/>
    <col min="12545" max="12545" width="9.44140625" style="3081" customWidth="1"/>
    <col min="12546" max="12546" width="8.88671875" style="3081"/>
    <col min="12547" max="12549" width="12.88671875" style="3081" customWidth="1"/>
    <col min="12550" max="12550" width="47.44140625" style="3081" customWidth="1"/>
    <col min="12551" max="12551" width="13" style="3081" customWidth="1"/>
    <col min="12552" max="12553" width="8.88671875" style="3081"/>
    <col min="12554" max="12554" width="5.77734375" style="3081" customWidth="1"/>
    <col min="12555" max="12555" width="11.77734375" style="3081" customWidth="1"/>
    <col min="12556" max="12557" width="10.77734375" style="3081" customWidth="1"/>
    <col min="12558" max="12558" width="10" style="3081" customWidth="1"/>
    <col min="12559" max="12560" width="10.44140625" style="3081" bestFit="1" customWidth="1"/>
    <col min="12561" max="12561" width="10" style="3081" customWidth="1"/>
    <col min="12562" max="12562" width="10.109375" style="3081" customWidth="1"/>
    <col min="12563" max="12563" width="10" style="3081" customWidth="1"/>
    <col min="12564" max="12564" width="26.109375" style="3081" customWidth="1"/>
    <col min="12565" max="12800" width="8.88671875" style="3081"/>
    <col min="12801" max="12801" width="9.44140625" style="3081" customWidth="1"/>
    <col min="12802" max="12802" width="8.88671875" style="3081"/>
    <col min="12803" max="12805" width="12.88671875" style="3081" customWidth="1"/>
    <col min="12806" max="12806" width="47.44140625" style="3081" customWidth="1"/>
    <col min="12807" max="12807" width="13" style="3081" customWidth="1"/>
    <col min="12808" max="12809" width="8.88671875" style="3081"/>
    <col min="12810" max="12810" width="5.77734375" style="3081" customWidth="1"/>
    <col min="12811" max="12811" width="11.77734375" style="3081" customWidth="1"/>
    <col min="12812" max="12813" width="10.77734375" style="3081" customWidth="1"/>
    <col min="12814" max="12814" width="10" style="3081" customWidth="1"/>
    <col min="12815" max="12816" width="10.44140625" style="3081" bestFit="1" customWidth="1"/>
    <col min="12817" max="12817" width="10" style="3081" customWidth="1"/>
    <col min="12818" max="12818" width="10.109375" style="3081" customWidth="1"/>
    <col min="12819" max="12819" width="10" style="3081" customWidth="1"/>
    <col min="12820" max="12820" width="26.109375" style="3081" customWidth="1"/>
    <col min="12821" max="13056" width="8.88671875" style="3081"/>
    <col min="13057" max="13057" width="9.44140625" style="3081" customWidth="1"/>
    <col min="13058" max="13058" width="8.88671875" style="3081"/>
    <col min="13059" max="13061" width="12.88671875" style="3081" customWidth="1"/>
    <col min="13062" max="13062" width="47.44140625" style="3081" customWidth="1"/>
    <col min="13063" max="13063" width="13" style="3081" customWidth="1"/>
    <col min="13064" max="13065" width="8.88671875" style="3081"/>
    <col min="13066" max="13066" width="5.77734375" style="3081" customWidth="1"/>
    <col min="13067" max="13067" width="11.77734375" style="3081" customWidth="1"/>
    <col min="13068" max="13069" width="10.77734375" style="3081" customWidth="1"/>
    <col min="13070" max="13070" width="10" style="3081" customWidth="1"/>
    <col min="13071" max="13072" width="10.44140625" style="3081" bestFit="1" customWidth="1"/>
    <col min="13073" max="13073" width="10" style="3081" customWidth="1"/>
    <col min="13074" max="13074" width="10.109375" style="3081" customWidth="1"/>
    <col min="13075" max="13075" width="10" style="3081" customWidth="1"/>
    <col min="13076" max="13076" width="26.109375" style="3081" customWidth="1"/>
    <col min="13077" max="13312" width="8.88671875" style="3081"/>
    <col min="13313" max="13313" width="9.44140625" style="3081" customWidth="1"/>
    <col min="13314" max="13314" width="8.88671875" style="3081"/>
    <col min="13315" max="13317" width="12.88671875" style="3081" customWidth="1"/>
    <col min="13318" max="13318" width="47.44140625" style="3081" customWidth="1"/>
    <col min="13319" max="13319" width="13" style="3081" customWidth="1"/>
    <col min="13320" max="13321" width="8.88671875" style="3081"/>
    <col min="13322" max="13322" width="5.77734375" style="3081" customWidth="1"/>
    <col min="13323" max="13323" width="11.77734375" style="3081" customWidth="1"/>
    <col min="13324" max="13325" width="10.77734375" style="3081" customWidth="1"/>
    <col min="13326" max="13326" width="10" style="3081" customWidth="1"/>
    <col min="13327" max="13328" width="10.44140625" style="3081" bestFit="1" customWidth="1"/>
    <col min="13329" max="13329" width="10" style="3081" customWidth="1"/>
    <col min="13330" max="13330" width="10.109375" style="3081" customWidth="1"/>
    <col min="13331" max="13331" width="10" style="3081" customWidth="1"/>
    <col min="13332" max="13332" width="26.109375" style="3081" customWidth="1"/>
    <col min="13333" max="13568" width="8.88671875" style="3081"/>
    <col min="13569" max="13569" width="9.44140625" style="3081" customWidth="1"/>
    <col min="13570" max="13570" width="8.88671875" style="3081"/>
    <col min="13571" max="13573" width="12.88671875" style="3081" customWidth="1"/>
    <col min="13574" max="13574" width="47.44140625" style="3081" customWidth="1"/>
    <col min="13575" max="13575" width="13" style="3081" customWidth="1"/>
    <col min="13576" max="13577" width="8.88671875" style="3081"/>
    <col min="13578" max="13578" width="5.77734375" style="3081" customWidth="1"/>
    <col min="13579" max="13579" width="11.77734375" style="3081" customWidth="1"/>
    <col min="13580" max="13581" width="10.77734375" style="3081" customWidth="1"/>
    <col min="13582" max="13582" width="10" style="3081" customWidth="1"/>
    <col min="13583" max="13584" width="10.44140625" style="3081" bestFit="1" customWidth="1"/>
    <col min="13585" max="13585" width="10" style="3081" customWidth="1"/>
    <col min="13586" max="13586" width="10.109375" style="3081" customWidth="1"/>
    <col min="13587" max="13587" width="10" style="3081" customWidth="1"/>
    <col min="13588" max="13588" width="26.109375" style="3081" customWidth="1"/>
    <col min="13589" max="13824" width="8.88671875" style="3081"/>
    <col min="13825" max="13825" width="9.44140625" style="3081" customWidth="1"/>
    <col min="13826" max="13826" width="8.88671875" style="3081"/>
    <col min="13827" max="13829" width="12.88671875" style="3081" customWidth="1"/>
    <col min="13830" max="13830" width="47.44140625" style="3081" customWidth="1"/>
    <col min="13831" max="13831" width="13" style="3081" customWidth="1"/>
    <col min="13832" max="13833" width="8.88671875" style="3081"/>
    <col min="13834" max="13834" width="5.77734375" style="3081" customWidth="1"/>
    <col min="13835" max="13835" width="11.77734375" style="3081" customWidth="1"/>
    <col min="13836" max="13837" width="10.77734375" style="3081" customWidth="1"/>
    <col min="13838" max="13838" width="10" style="3081" customWidth="1"/>
    <col min="13839" max="13840" width="10.44140625" style="3081" bestFit="1" customWidth="1"/>
    <col min="13841" max="13841" width="10" style="3081" customWidth="1"/>
    <col min="13842" max="13842" width="10.109375" style="3081" customWidth="1"/>
    <col min="13843" max="13843" width="10" style="3081" customWidth="1"/>
    <col min="13844" max="13844" width="26.109375" style="3081" customWidth="1"/>
    <col min="13845" max="14080" width="8.88671875" style="3081"/>
    <col min="14081" max="14081" width="9.44140625" style="3081" customWidth="1"/>
    <col min="14082" max="14082" width="8.88671875" style="3081"/>
    <col min="14083" max="14085" width="12.88671875" style="3081" customWidth="1"/>
    <col min="14086" max="14086" width="47.44140625" style="3081" customWidth="1"/>
    <col min="14087" max="14087" width="13" style="3081" customWidth="1"/>
    <col min="14088" max="14089" width="8.88671875" style="3081"/>
    <col min="14090" max="14090" width="5.77734375" style="3081" customWidth="1"/>
    <col min="14091" max="14091" width="11.77734375" style="3081" customWidth="1"/>
    <col min="14092" max="14093" width="10.77734375" style="3081" customWidth="1"/>
    <col min="14094" max="14094" width="10" style="3081" customWidth="1"/>
    <col min="14095" max="14096" width="10.44140625" style="3081" bestFit="1" customWidth="1"/>
    <col min="14097" max="14097" width="10" style="3081" customWidth="1"/>
    <col min="14098" max="14098" width="10.109375" style="3081" customWidth="1"/>
    <col min="14099" max="14099" width="10" style="3081" customWidth="1"/>
    <col min="14100" max="14100" width="26.109375" style="3081" customWidth="1"/>
    <col min="14101" max="14336" width="8.88671875" style="3081"/>
    <col min="14337" max="14337" width="9.44140625" style="3081" customWidth="1"/>
    <col min="14338" max="14338" width="8.88671875" style="3081"/>
    <col min="14339" max="14341" width="12.88671875" style="3081" customWidth="1"/>
    <col min="14342" max="14342" width="47.44140625" style="3081" customWidth="1"/>
    <col min="14343" max="14343" width="13" style="3081" customWidth="1"/>
    <col min="14344" max="14345" width="8.88671875" style="3081"/>
    <col min="14346" max="14346" width="5.77734375" style="3081" customWidth="1"/>
    <col min="14347" max="14347" width="11.77734375" style="3081" customWidth="1"/>
    <col min="14348" max="14349" width="10.77734375" style="3081" customWidth="1"/>
    <col min="14350" max="14350" width="10" style="3081" customWidth="1"/>
    <col min="14351" max="14352" width="10.44140625" style="3081" bestFit="1" customWidth="1"/>
    <col min="14353" max="14353" width="10" style="3081" customWidth="1"/>
    <col min="14354" max="14354" width="10.109375" style="3081" customWidth="1"/>
    <col min="14355" max="14355" width="10" style="3081" customWidth="1"/>
    <col min="14356" max="14356" width="26.109375" style="3081" customWidth="1"/>
    <col min="14357" max="14592" width="8.88671875" style="3081"/>
    <col min="14593" max="14593" width="9.44140625" style="3081" customWidth="1"/>
    <col min="14594" max="14594" width="8.88671875" style="3081"/>
    <col min="14595" max="14597" width="12.88671875" style="3081" customWidth="1"/>
    <col min="14598" max="14598" width="47.44140625" style="3081" customWidth="1"/>
    <col min="14599" max="14599" width="13" style="3081" customWidth="1"/>
    <col min="14600" max="14601" width="8.88671875" style="3081"/>
    <col min="14602" max="14602" width="5.77734375" style="3081" customWidth="1"/>
    <col min="14603" max="14603" width="11.77734375" style="3081" customWidth="1"/>
    <col min="14604" max="14605" width="10.77734375" style="3081" customWidth="1"/>
    <col min="14606" max="14606" width="10" style="3081" customWidth="1"/>
    <col min="14607" max="14608" width="10.44140625" style="3081" bestFit="1" customWidth="1"/>
    <col min="14609" max="14609" width="10" style="3081" customWidth="1"/>
    <col min="14610" max="14610" width="10.109375" style="3081" customWidth="1"/>
    <col min="14611" max="14611" width="10" style="3081" customWidth="1"/>
    <col min="14612" max="14612" width="26.109375" style="3081" customWidth="1"/>
    <col min="14613" max="14848" width="8.88671875" style="3081"/>
    <col min="14849" max="14849" width="9.44140625" style="3081" customWidth="1"/>
    <col min="14850" max="14850" width="8.88671875" style="3081"/>
    <col min="14851" max="14853" width="12.88671875" style="3081" customWidth="1"/>
    <col min="14854" max="14854" width="47.44140625" style="3081" customWidth="1"/>
    <col min="14855" max="14855" width="13" style="3081" customWidth="1"/>
    <col min="14856" max="14857" width="8.88671875" style="3081"/>
    <col min="14858" max="14858" width="5.77734375" style="3081" customWidth="1"/>
    <col min="14859" max="14859" width="11.77734375" style="3081" customWidth="1"/>
    <col min="14860" max="14861" width="10.77734375" style="3081" customWidth="1"/>
    <col min="14862" max="14862" width="10" style="3081" customWidth="1"/>
    <col min="14863" max="14864" width="10.44140625" style="3081" bestFit="1" customWidth="1"/>
    <col min="14865" max="14865" width="10" style="3081" customWidth="1"/>
    <col min="14866" max="14866" width="10.109375" style="3081" customWidth="1"/>
    <col min="14867" max="14867" width="10" style="3081" customWidth="1"/>
    <col min="14868" max="14868" width="26.109375" style="3081" customWidth="1"/>
    <col min="14869" max="15104" width="8.88671875" style="3081"/>
    <col min="15105" max="15105" width="9.44140625" style="3081" customWidth="1"/>
    <col min="15106" max="15106" width="8.88671875" style="3081"/>
    <col min="15107" max="15109" width="12.88671875" style="3081" customWidth="1"/>
    <col min="15110" max="15110" width="47.44140625" style="3081" customWidth="1"/>
    <col min="15111" max="15111" width="13" style="3081" customWidth="1"/>
    <col min="15112" max="15113" width="8.88671875" style="3081"/>
    <col min="15114" max="15114" width="5.77734375" style="3081" customWidth="1"/>
    <col min="15115" max="15115" width="11.77734375" style="3081" customWidth="1"/>
    <col min="15116" max="15117" width="10.77734375" style="3081" customWidth="1"/>
    <col min="15118" max="15118" width="10" style="3081" customWidth="1"/>
    <col min="15119" max="15120" width="10.44140625" style="3081" bestFit="1" customWidth="1"/>
    <col min="15121" max="15121" width="10" style="3081" customWidth="1"/>
    <col min="15122" max="15122" width="10.109375" style="3081" customWidth="1"/>
    <col min="15123" max="15123" width="10" style="3081" customWidth="1"/>
    <col min="15124" max="15124" width="26.109375" style="3081" customWidth="1"/>
    <col min="15125" max="15360" width="8.88671875" style="3081"/>
    <col min="15361" max="15361" width="9.44140625" style="3081" customWidth="1"/>
    <col min="15362" max="15362" width="8.88671875" style="3081"/>
    <col min="15363" max="15365" width="12.88671875" style="3081" customWidth="1"/>
    <col min="15366" max="15366" width="47.44140625" style="3081" customWidth="1"/>
    <col min="15367" max="15367" width="13" style="3081" customWidth="1"/>
    <col min="15368" max="15369" width="8.88671875" style="3081"/>
    <col min="15370" max="15370" width="5.77734375" style="3081" customWidth="1"/>
    <col min="15371" max="15371" width="11.77734375" style="3081" customWidth="1"/>
    <col min="15372" max="15373" width="10.77734375" style="3081" customWidth="1"/>
    <col min="15374" max="15374" width="10" style="3081" customWidth="1"/>
    <col min="15375" max="15376" width="10.44140625" style="3081" bestFit="1" customWidth="1"/>
    <col min="15377" max="15377" width="10" style="3081" customWidth="1"/>
    <col min="15378" max="15378" width="10.109375" style="3081" customWidth="1"/>
    <col min="15379" max="15379" width="10" style="3081" customWidth="1"/>
    <col min="15380" max="15380" width="26.109375" style="3081" customWidth="1"/>
    <col min="15381" max="15616" width="8.88671875" style="3081"/>
    <col min="15617" max="15617" width="9.44140625" style="3081" customWidth="1"/>
    <col min="15618" max="15618" width="8.88671875" style="3081"/>
    <col min="15619" max="15621" width="12.88671875" style="3081" customWidth="1"/>
    <col min="15622" max="15622" width="47.44140625" style="3081" customWidth="1"/>
    <col min="15623" max="15623" width="13" style="3081" customWidth="1"/>
    <col min="15624" max="15625" width="8.88671875" style="3081"/>
    <col min="15626" max="15626" width="5.77734375" style="3081" customWidth="1"/>
    <col min="15627" max="15627" width="11.77734375" style="3081" customWidth="1"/>
    <col min="15628" max="15629" width="10.77734375" style="3081" customWidth="1"/>
    <col min="15630" max="15630" width="10" style="3081" customWidth="1"/>
    <col min="15631" max="15632" width="10.44140625" style="3081" bestFit="1" customWidth="1"/>
    <col min="15633" max="15633" width="10" style="3081" customWidth="1"/>
    <col min="15634" max="15634" width="10.109375" style="3081" customWidth="1"/>
    <col min="15635" max="15635" width="10" style="3081" customWidth="1"/>
    <col min="15636" max="15636" width="26.109375" style="3081" customWidth="1"/>
    <col min="15637" max="15872" width="8.88671875" style="3081"/>
    <col min="15873" max="15873" width="9.44140625" style="3081" customWidth="1"/>
    <col min="15874" max="15874" width="8.88671875" style="3081"/>
    <col min="15875" max="15877" width="12.88671875" style="3081" customWidth="1"/>
    <col min="15878" max="15878" width="47.44140625" style="3081" customWidth="1"/>
    <col min="15879" max="15879" width="13" style="3081" customWidth="1"/>
    <col min="15880" max="15881" width="8.88671875" style="3081"/>
    <col min="15882" max="15882" width="5.77734375" style="3081" customWidth="1"/>
    <col min="15883" max="15883" width="11.77734375" style="3081" customWidth="1"/>
    <col min="15884" max="15885" width="10.77734375" style="3081" customWidth="1"/>
    <col min="15886" max="15886" width="10" style="3081" customWidth="1"/>
    <col min="15887" max="15888" width="10.44140625" style="3081" bestFit="1" customWidth="1"/>
    <col min="15889" max="15889" width="10" style="3081" customWidth="1"/>
    <col min="15890" max="15890" width="10.109375" style="3081" customWidth="1"/>
    <col min="15891" max="15891" width="10" style="3081" customWidth="1"/>
    <col min="15892" max="15892" width="26.109375" style="3081" customWidth="1"/>
    <col min="15893" max="16128" width="8.88671875" style="3081"/>
    <col min="16129" max="16129" width="9.44140625" style="3081" customWidth="1"/>
    <col min="16130" max="16130" width="8.88671875" style="3081"/>
    <col min="16131" max="16133" width="12.88671875" style="3081" customWidth="1"/>
    <col min="16134" max="16134" width="47.44140625" style="3081" customWidth="1"/>
    <col min="16135" max="16135" width="13" style="3081" customWidth="1"/>
    <col min="16136" max="16137" width="8.88671875" style="3081"/>
    <col min="16138" max="16138" width="5.77734375" style="3081" customWidth="1"/>
    <col min="16139" max="16139" width="11.77734375" style="3081" customWidth="1"/>
    <col min="16140" max="16141" width="10.77734375" style="3081" customWidth="1"/>
    <col min="16142" max="16142" width="10" style="3081" customWidth="1"/>
    <col min="16143" max="16144" width="10.44140625" style="3081" bestFit="1" customWidth="1"/>
    <col min="16145" max="16145" width="10" style="3081" customWidth="1"/>
    <col min="16146" max="16146" width="10.109375" style="3081" customWidth="1"/>
    <col min="16147" max="16147" width="10" style="3081" customWidth="1"/>
    <col min="16148" max="16148" width="26.109375" style="3081" customWidth="1"/>
    <col min="16149" max="16384" width="8.88671875" style="3081"/>
  </cols>
  <sheetData>
    <row r="1" spans="1:23" ht="21" customHeight="1">
      <c r="A1" s="3077" t="s">
        <v>2790</v>
      </c>
      <c r="B1" s="3078"/>
      <c r="C1" s="3084"/>
      <c r="D1" s="3084"/>
      <c r="E1" s="3079"/>
      <c r="F1" s="3080"/>
      <c r="G1" s="3173"/>
      <c r="J1" s="3176" t="s">
        <v>2646</v>
      </c>
      <c r="K1" s="3177"/>
      <c r="L1" s="3177"/>
      <c r="M1" s="3177"/>
      <c r="N1" s="3177"/>
      <c r="O1" s="3177"/>
      <c r="P1" s="3177"/>
      <c r="Q1" s="3177"/>
      <c r="R1" s="3178"/>
      <c r="S1" s="3179"/>
      <c r="T1" s="3179"/>
      <c r="U1" s="3179"/>
    </row>
    <row r="2" spans="1:23" s="3087" customFormat="1" ht="13.2" customHeight="1">
      <c r="A2" s="3082" t="s">
        <v>2647</v>
      </c>
      <c r="B2" s="3083" t="e">
        <f>C40</f>
        <v>#DIV/0!</v>
      </c>
      <c r="C2" s="3084" t="s">
        <v>2648</v>
      </c>
      <c r="D2" s="3084"/>
      <c r="E2" s="3085"/>
      <c r="F2" s="3086"/>
      <c r="G2" s="3180"/>
      <c r="H2" s="3181"/>
      <c r="I2" s="3182"/>
      <c r="J2" s="3575" t="s">
        <v>2649</v>
      </c>
      <c r="K2" s="3576"/>
      <c r="L2" s="3183" t="s">
        <v>2650</v>
      </c>
      <c r="M2" s="3183" t="s">
        <v>2651</v>
      </c>
      <c r="N2" s="3183" t="s">
        <v>2652</v>
      </c>
      <c r="O2" s="3183" t="s">
        <v>2653</v>
      </c>
      <c r="P2" s="3183" t="s">
        <v>2654</v>
      </c>
      <c r="Q2" s="3184" t="s">
        <v>2655</v>
      </c>
      <c r="R2" s="3185" t="s">
        <v>2656</v>
      </c>
      <c r="S2" s="3179"/>
      <c r="T2" s="3179"/>
      <c r="U2" s="3179"/>
      <c r="V2" s="3182"/>
      <c r="W2" s="3181"/>
    </row>
    <row r="3" spans="1:23" s="3087" customFormat="1" ht="13.2" customHeight="1">
      <c r="A3" s="3089" t="s">
        <v>2657</v>
      </c>
      <c r="B3" s="3090" t="e">
        <f>ROUND(B2*10000/B4,0)</f>
        <v>#DIV/0!</v>
      </c>
      <c r="C3" s="3084" t="s">
        <v>2658</v>
      </c>
      <c r="D3" s="3084"/>
      <c r="E3" s="3085"/>
      <c r="F3" s="3086"/>
      <c r="G3" s="3180"/>
      <c r="H3" s="3181"/>
      <c r="I3" s="3182"/>
      <c r="J3" s="3577" t="s">
        <v>2659</v>
      </c>
      <c r="K3" s="3578"/>
      <c r="L3" s="3186"/>
      <c r="M3" s="3186"/>
      <c r="N3" s="3186"/>
      <c r="O3" s="3186"/>
      <c r="P3" s="3186"/>
      <c r="Q3" s="3187"/>
      <c r="R3" s="3188">
        <f>SUM(L3:Q3)</f>
        <v>0</v>
      </c>
      <c r="S3" s="3179"/>
      <c r="T3" s="3179"/>
      <c r="U3" s="3179"/>
      <c r="V3" s="3182"/>
      <c r="W3" s="3181"/>
    </row>
    <row r="4" spans="1:23" s="3087" customFormat="1" ht="13.2" customHeight="1">
      <c r="A4" s="3091" t="s">
        <v>2660</v>
      </c>
      <c r="B4" s="3148"/>
      <c r="C4" s="3084"/>
      <c r="D4" s="3084"/>
      <c r="E4" s="3085"/>
      <c r="F4" s="3086"/>
      <c r="G4" s="3180"/>
      <c r="H4" s="3181"/>
      <c r="I4" s="3182"/>
      <c r="J4" s="3577" t="s">
        <v>2661</v>
      </c>
      <c r="K4" s="3578"/>
      <c r="L4" s="3189"/>
      <c r="M4" s="3189"/>
      <c r="N4" s="3189"/>
      <c r="O4" s="3189"/>
      <c r="P4" s="3189"/>
      <c r="Q4" s="3190"/>
      <c r="R4" s="3191">
        <f>SUM(L4:Q4)</f>
        <v>0</v>
      </c>
      <c r="S4" s="3179"/>
      <c r="T4" s="3179"/>
      <c r="U4" s="3179"/>
      <c r="V4" s="3182"/>
      <c r="W4" s="3181"/>
    </row>
    <row r="5" spans="1:23" s="3087" customFormat="1" ht="13.2" customHeight="1" thickBot="1">
      <c r="A5" s="3092" t="s">
        <v>2662</v>
      </c>
      <c r="B5" s="3149"/>
      <c r="C5" s="3084"/>
      <c r="D5" s="3093"/>
      <c r="E5" s="3086"/>
      <c r="F5" s="3086"/>
      <c r="G5" s="3180"/>
      <c r="H5" s="3181"/>
      <c r="I5" s="3182"/>
      <c r="J5" s="3192" t="s">
        <v>2663</v>
      </c>
      <c r="K5" s="3193"/>
      <c r="L5" s="3193"/>
      <c r="M5" s="3194"/>
      <c r="N5" s="3194"/>
      <c r="O5" s="3194"/>
      <c r="P5" s="3194"/>
      <c r="Q5" s="3194"/>
      <c r="R5" s="3185">
        <f>SUM(R14,R19,R24,R25,R27,R28)</f>
        <v>0</v>
      </c>
      <c r="S5" s="3179"/>
      <c r="T5" s="3179" t="s">
        <v>2664</v>
      </c>
      <c r="U5" s="3179" t="e">
        <f>ROUND(R5*10000/365/R3,1)</f>
        <v>#DIV/0!</v>
      </c>
      <c r="V5" s="3182"/>
      <c r="W5" s="3181"/>
    </row>
    <row r="6" spans="1:23" s="3087" customFormat="1" ht="13.2" customHeight="1" thickBot="1">
      <c r="A6" s="3583" t="s">
        <v>2665</v>
      </c>
      <c r="B6" s="3584"/>
      <c r="C6" s="3585"/>
      <c r="D6" s="3150"/>
      <c r="E6" s="3094"/>
      <c r="F6" s="3095"/>
      <c r="G6" s="3195"/>
      <c r="H6" s="3181"/>
      <c r="I6" s="3182"/>
      <c r="J6" s="3569">
        <v>1</v>
      </c>
      <c r="K6" s="3570" t="s">
        <v>2666</v>
      </c>
      <c r="L6" s="3196" t="s">
        <v>2667</v>
      </c>
      <c r="M6" s="3197" t="s">
        <v>2668</v>
      </c>
      <c r="N6" s="3197" t="s">
        <v>2669</v>
      </c>
      <c r="O6" s="3197" t="s">
        <v>2670</v>
      </c>
      <c r="P6" s="3197" t="s">
        <v>2671</v>
      </c>
      <c r="Q6" s="3197" t="s">
        <v>2672</v>
      </c>
      <c r="R6" s="3188" t="s">
        <v>2673</v>
      </c>
      <c r="S6" s="3179"/>
      <c r="T6" s="3179" t="s">
        <v>2674</v>
      </c>
      <c r="U6" s="3179"/>
      <c r="V6" s="3182"/>
      <c r="W6" s="3181"/>
    </row>
    <row r="7" spans="1:23" s="3087" customFormat="1" ht="13.2" customHeight="1">
      <c r="A7" s="3097" t="s">
        <v>2675</v>
      </c>
      <c r="B7" s="3098"/>
      <c r="C7" s="3099"/>
      <c r="D7" s="3100">
        <f>SUM(D9,D10,D11,D17,0)</f>
        <v>0</v>
      </c>
      <c r="E7" s="3101" t="e">
        <f>E9+E10+E11+E17</f>
        <v>#DIV/0!</v>
      </c>
      <c r="F7" s="3102"/>
      <c r="G7" s="3198"/>
      <c r="H7" s="3181"/>
      <c r="I7" s="3182"/>
      <c r="J7" s="3569"/>
      <c r="K7" s="3571"/>
      <c r="L7" s="3199" t="s">
        <v>2775</v>
      </c>
      <c r="M7" s="3200"/>
      <c r="N7" s="3200"/>
      <c r="O7" s="3201"/>
      <c r="P7" s="3201"/>
      <c r="Q7" s="3202">
        <v>365</v>
      </c>
      <c r="R7" s="3203">
        <f>ROUND(M7*N7*O7*P7*Q7/10000,0)</f>
        <v>0</v>
      </c>
      <c r="S7" s="3179"/>
      <c r="T7" s="3179" t="s">
        <v>2676</v>
      </c>
      <c r="U7" s="3179"/>
      <c r="V7" s="3182"/>
      <c r="W7" s="3181"/>
    </row>
    <row r="8" spans="1:23" s="3087" customFormat="1" ht="13.2" customHeight="1">
      <c r="A8" s="3103" t="s">
        <v>2677</v>
      </c>
      <c r="B8" s="3586" t="s">
        <v>2678</v>
      </c>
      <c r="C8" s="3587"/>
      <c r="D8" s="3104" t="s">
        <v>2679</v>
      </c>
      <c r="E8" s="3105" t="s">
        <v>2680</v>
      </c>
      <c r="F8" s="3088" t="s">
        <v>2681</v>
      </c>
      <c r="G8" s="3258" t="s">
        <v>2789</v>
      </c>
      <c r="H8" s="3181"/>
      <c r="I8" s="3182"/>
      <c r="J8" s="3569"/>
      <c r="K8" s="3571"/>
      <c r="L8" s="3199" t="s">
        <v>2776</v>
      </c>
      <c r="M8" s="3200"/>
      <c r="N8" s="3200"/>
      <c r="O8" s="3201"/>
      <c r="P8" s="3201"/>
      <c r="Q8" s="3202">
        <v>365</v>
      </c>
      <c r="R8" s="3203">
        <f t="shared" ref="R8:R13" si="0">ROUND(M8*N8*O8*P8*Q8/10000,0)</f>
        <v>0</v>
      </c>
      <c r="S8" s="3179"/>
      <c r="T8" s="3179" t="s">
        <v>2682</v>
      </c>
      <c r="U8" s="3179"/>
      <c r="V8" s="3182"/>
      <c r="W8" s="3181"/>
    </row>
    <row r="9" spans="1:23" s="3087" customFormat="1" ht="13.2" customHeight="1">
      <c r="A9" s="3103">
        <v>1</v>
      </c>
      <c r="B9" s="3586" t="s">
        <v>2683</v>
      </c>
      <c r="C9" s="3587"/>
      <c r="D9" s="3104">
        <f>ROUND(D6*E9,0)</f>
        <v>0</v>
      </c>
      <c r="E9" s="3151"/>
      <c r="F9" s="3106" t="s">
        <v>2684</v>
      </c>
      <c r="G9" s="3204" t="s">
        <v>2787</v>
      </c>
      <c r="H9" s="3181"/>
      <c r="I9" s="3182"/>
      <c r="J9" s="3569"/>
      <c r="K9" s="3571"/>
      <c r="L9" s="3199" t="s">
        <v>2777</v>
      </c>
      <c r="M9" s="3200"/>
      <c r="N9" s="3200"/>
      <c r="O9" s="3201"/>
      <c r="P9" s="3201"/>
      <c r="Q9" s="3202">
        <v>365</v>
      </c>
      <c r="R9" s="3203">
        <f t="shared" si="0"/>
        <v>0</v>
      </c>
      <c r="S9" s="3179"/>
      <c r="T9" s="3179"/>
      <c r="U9" s="3179"/>
      <c r="V9" s="3182"/>
      <c r="W9" s="3181"/>
    </row>
    <row r="10" spans="1:23" s="3087" customFormat="1" ht="13.2" customHeight="1">
      <c r="A10" s="3103">
        <v>2</v>
      </c>
      <c r="B10" s="3586" t="s">
        <v>2685</v>
      </c>
      <c r="C10" s="3587"/>
      <c r="D10" s="3104">
        <f>ROUND(D6*E10,0)</f>
        <v>0</v>
      </c>
      <c r="E10" s="3151"/>
      <c r="F10" s="3106" t="s">
        <v>2686</v>
      </c>
      <c r="G10" s="3204" t="s">
        <v>2788</v>
      </c>
      <c r="H10" s="3181"/>
      <c r="I10" s="3182"/>
      <c r="J10" s="3569"/>
      <c r="K10" s="3571"/>
      <c r="L10" s="3199" t="s">
        <v>2778</v>
      </c>
      <c r="M10" s="3200"/>
      <c r="N10" s="3200"/>
      <c r="O10" s="3201"/>
      <c r="P10" s="3201"/>
      <c r="Q10" s="3202">
        <v>365</v>
      </c>
      <c r="R10" s="3203">
        <f t="shared" si="0"/>
        <v>0</v>
      </c>
      <c r="S10" s="3179"/>
      <c r="T10" s="3179"/>
      <c r="U10" s="3179"/>
      <c r="V10" s="3182"/>
      <c r="W10" s="3181"/>
    </row>
    <row r="11" spans="1:23" s="3087" customFormat="1" ht="13.2" customHeight="1">
      <c r="A11" s="3103">
        <v>3</v>
      </c>
      <c r="B11" s="3586" t="s">
        <v>2687</v>
      </c>
      <c r="C11" s="3587"/>
      <c r="D11" s="3104">
        <f>D12+D14+D15+D16</f>
        <v>0</v>
      </c>
      <c r="E11" s="3107" t="e">
        <f>D11/D6</f>
        <v>#DIV/0!</v>
      </c>
      <c r="F11" s="3088"/>
      <c r="G11" s="3204"/>
      <c r="H11" s="3181"/>
      <c r="I11" s="3182"/>
      <c r="J11" s="3569"/>
      <c r="K11" s="3571"/>
      <c r="L11" s="3199" t="s">
        <v>2779</v>
      </c>
      <c r="M11" s="3200"/>
      <c r="N11" s="3200"/>
      <c r="O11" s="3201"/>
      <c r="P11" s="3201"/>
      <c r="Q11" s="3202">
        <v>365</v>
      </c>
      <c r="R11" s="3203">
        <f t="shared" si="0"/>
        <v>0</v>
      </c>
      <c r="S11" s="3179"/>
      <c r="T11" s="3179"/>
      <c r="U11" s="3179"/>
      <c r="V11" s="3182"/>
      <c r="W11" s="3181"/>
    </row>
    <row r="12" spans="1:23" s="3087" customFormat="1" ht="13.2" customHeight="1">
      <c r="A12" s="3108" t="s">
        <v>2688</v>
      </c>
      <c r="B12" s="3579" t="s">
        <v>2689</v>
      </c>
      <c r="C12" s="3580"/>
      <c r="D12" s="3109">
        <f>ROUND(D13*1.2%*(1-30%),0)</f>
        <v>0</v>
      </c>
      <c r="E12" s="3110">
        <v>1.2E-2</v>
      </c>
      <c r="F12" s="3088" t="s">
        <v>2690</v>
      </c>
      <c r="G12" s="3204"/>
      <c r="H12" s="3181"/>
      <c r="I12" s="3182"/>
      <c r="J12" s="3569"/>
      <c r="K12" s="3571"/>
      <c r="L12" s="3199" t="s">
        <v>2780</v>
      </c>
      <c r="M12" s="3200"/>
      <c r="N12" s="3200"/>
      <c r="O12" s="3201"/>
      <c r="P12" s="3201"/>
      <c r="Q12" s="3202">
        <v>365</v>
      </c>
      <c r="R12" s="3203">
        <f t="shared" si="0"/>
        <v>0</v>
      </c>
      <c r="S12" s="3179"/>
      <c r="T12" s="3179"/>
      <c r="U12" s="3179"/>
      <c r="V12" s="3182"/>
      <c r="W12" s="3181"/>
    </row>
    <row r="13" spans="1:23" s="3087" customFormat="1" ht="13.2" customHeight="1">
      <c r="A13" s="3108"/>
      <c r="B13" s="3111"/>
      <c r="C13" s="3112" t="s">
        <v>2691</v>
      </c>
      <c r="D13" s="3152"/>
      <c r="E13" s="3113"/>
      <c r="F13" s="3088"/>
      <c r="G13" s="3204"/>
      <c r="H13" s="3181"/>
      <c r="I13" s="3182"/>
      <c r="J13" s="3569"/>
      <c r="K13" s="3571"/>
      <c r="L13" s="3199" t="s">
        <v>2781</v>
      </c>
      <c r="M13" s="3200"/>
      <c r="N13" s="3200"/>
      <c r="O13" s="3201"/>
      <c r="P13" s="3201"/>
      <c r="Q13" s="3202">
        <v>365</v>
      </c>
      <c r="R13" s="3203">
        <f t="shared" si="0"/>
        <v>0</v>
      </c>
      <c r="S13" s="3179"/>
      <c r="T13" s="3179"/>
      <c r="U13" s="3179"/>
      <c r="V13" s="3182"/>
      <c r="W13" s="3181"/>
    </row>
    <row r="14" spans="1:23" s="3087" customFormat="1" ht="13.2" customHeight="1">
      <c r="A14" s="3108" t="s">
        <v>2692</v>
      </c>
      <c r="B14" s="3579" t="s">
        <v>2693</v>
      </c>
      <c r="C14" s="3580"/>
      <c r="D14" s="3109">
        <f>ROUND(E14*B5/10000,0)</f>
        <v>0</v>
      </c>
      <c r="E14" s="3153"/>
      <c r="F14" s="3088" t="s">
        <v>2694</v>
      </c>
      <c r="G14" s="3204"/>
      <c r="H14" s="3181"/>
      <c r="I14" s="3182"/>
      <c r="J14" s="3569"/>
      <c r="K14" s="3572"/>
      <c r="L14" s="3205" t="s">
        <v>2695</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2" customHeight="1">
      <c r="A15" s="3108" t="s">
        <v>2696</v>
      </c>
      <c r="B15" s="3579" t="s">
        <v>2697</v>
      </c>
      <c r="C15" s="3580"/>
      <c r="D15" s="3109">
        <f>ROUND(D6*E15,0)</f>
        <v>0</v>
      </c>
      <c r="E15" s="3110">
        <v>5.5E-2</v>
      </c>
      <c r="F15" s="3088" t="s">
        <v>2698</v>
      </c>
      <c r="G15" s="3204"/>
      <c r="H15" s="3181"/>
      <c r="I15" s="3182"/>
      <c r="J15" s="3569">
        <v>2</v>
      </c>
      <c r="K15" s="3570" t="s">
        <v>2699</v>
      </c>
      <c r="L15" s="3209" t="s">
        <v>2700</v>
      </c>
      <c r="M15" s="3210" t="s">
        <v>2701</v>
      </c>
      <c r="N15" s="3210" t="s">
        <v>2702</v>
      </c>
      <c r="O15" s="3211" t="s">
        <v>2703</v>
      </c>
      <c r="P15" s="3211" t="s">
        <v>2704</v>
      </c>
      <c r="Q15" s="3148" t="s">
        <v>2705</v>
      </c>
      <c r="R15" s="3212" t="s">
        <v>2706</v>
      </c>
      <c r="S15" s="3179"/>
      <c r="T15" s="3179"/>
      <c r="U15" s="3179"/>
      <c r="V15" s="3182"/>
      <c r="W15" s="3181"/>
    </row>
    <row r="16" spans="1:23" s="3087" customFormat="1" ht="13.2" customHeight="1">
      <c r="A16" s="3108" t="s">
        <v>2707</v>
      </c>
      <c r="B16" s="3579" t="s">
        <v>2708</v>
      </c>
      <c r="C16" s="3580"/>
      <c r="D16" s="3154">
        <f>D6*E16</f>
        <v>0</v>
      </c>
      <c r="E16" s="3155"/>
      <c r="F16" s="3106" t="s">
        <v>2709</v>
      </c>
      <c r="G16" s="3204"/>
      <c r="H16" s="3181"/>
      <c r="I16" s="3182"/>
      <c r="J16" s="3569"/>
      <c r="K16" s="3571"/>
      <c r="L16" s="3199" t="s">
        <v>2782</v>
      </c>
      <c r="M16" s="3200"/>
      <c r="N16" s="3200"/>
      <c r="O16" s="3201"/>
      <c r="P16" s="3202">
        <v>365</v>
      </c>
      <c r="Q16" s="3200"/>
      <c r="R16" s="3213">
        <f>ROUND(M16*N16*O16*P16/10000,0)</f>
        <v>0</v>
      </c>
      <c r="S16" s="3179"/>
      <c r="T16" s="3179"/>
      <c r="U16" s="3179"/>
      <c r="V16" s="3182"/>
      <c r="W16" s="3181"/>
    </row>
    <row r="17" spans="1:23" s="3087" customFormat="1" ht="13.2" customHeight="1" thickBot="1">
      <c r="A17" s="3114">
        <v>4</v>
      </c>
      <c r="B17" s="3581" t="s">
        <v>2710</v>
      </c>
      <c r="C17" s="3582"/>
      <c r="D17" s="3115">
        <f>ROUND(D6*E17,0)</f>
        <v>0</v>
      </c>
      <c r="E17" s="3156"/>
      <c r="F17" s="3116" t="s">
        <v>2711</v>
      </c>
      <c r="G17" s="3257">
        <v>0.1</v>
      </c>
      <c r="H17" s="3181"/>
      <c r="I17" s="3182"/>
      <c r="J17" s="3569"/>
      <c r="K17" s="3571"/>
      <c r="L17" s="3199" t="s">
        <v>2783</v>
      </c>
      <c r="M17" s="3200"/>
      <c r="N17" s="3200"/>
      <c r="O17" s="3201"/>
      <c r="P17" s="3202">
        <v>365</v>
      </c>
      <c r="Q17" s="3200"/>
      <c r="R17" s="3213">
        <f>ROUND(M17*N17*O17*P17/10000,0)</f>
        <v>0</v>
      </c>
      <c r="S17" s="3179"/>
      <c r="T17" s="3179"/>
      <c r="U17" s="3179"/>
      <c r="V17" s="3182"/>
      <c r="W17" s="3181"/>
    </row>
    <row r="18" spans="1:23" s="3087" customFormat="1" ht="13.2" customHeight="1" thickBot="1">
      <c r="A18" s="3097" t="s">
        <v>2712</v>
      </c>
      <c r="B18" s="3098"/>
      <c r="C18" s="3098"/>
      <c r="D18" s="3117">
        <f>ROUND(D6*E18,0)</f>
        <v>0</v>
      </c>
      <c r="E18" s="3157"/>
      <c r="F18" s="3118" t="s">
        <v>2713</v>
      </c>
      <c r="G18" s="3257">
        <v>0.05</v>
      </c>
      <c r="H18" s="3181"/>
      <c r="I18" s="3182"/>
      <c r="J18" s="3569"/>
      <c r="K18" s="3571"/>
      <c r="L18" s="3199" t="s">
        <v>2784</v>
      </c>
      <c r="M18" s="3200"/>
      <c r="N18" s="3200"/>
      <c r="O18" s="3201"/>
      <c r="P18" s="3202">
        <v>365</v>
      </c>
      <c r="Q18" s="3200"/>
      <c r="R18" s="3213">
        <f>ROUND(M18*N18*O18*P18/10000,0)</f>
        <v>0</v>
      </c>
      <c r="S18" s="3179"/>
      <c r="T18" s="3179"/>
      <c r="U18" s="3179"/>
      <c r="V18" s="3182"/>
      <c r="W18" s="3181"/>
    </row>
    <row r="19" spans="1:23" s="3087" customFormat="1" ht="13.2" customHeight="1" thickBot="1">
      <c r="A19" s="3119" t="s">
        <v>2714</v>
      </c>
      <c r="B19" s="3094"/>
      <c r="C19" s="3094"/>
      <c r="D19" s="3094"/>
      <c r="E19" s="3094"/>
      <c r="F19" s="3095"/>
      <c r="G19" s="3204"/>
      <c r="H19" s="3181"/>
      <c r="I19" s="3182"/>
      <c r="J19" s="3569"/>
      <c r="K19" s="3572"/>
      <c r="L19" s="3205" t="s">
        <v>2695</v>
      </c>
      <c r="M19" s="3206"/>
      <c r="N19" s="3206">
        <f>SUM(N16:N18)</f>
        <v>0</v>
      </c>
      <c r="O19" s="3207"/>
      <c r="P19" s="3214" t="s">
        <v>2785</v>
      </c>
      <c r="Q19" s="3211">
        <v>0.5</v>
      </c>
      <c r="R19" s="3215">
        <f>ROUND(IF(P19="按比例",R14*Q19,SUM(R16:R18)),0)</f>
        <v>0</v>
      </c>
      <c r="S19" s="3179"/>
      <c r="T19" s="3179"/>
      <c r="U19" s="3179"/>
      <c r="V19" s="3182"/>
      <c r="W19" s="3181"/>
    </row>
    <row r="20" spans="1:23" s="3087" customFormat="1" ht="13.2" customHeight="1">
      <c r="A20" s="3097"/>
      <c r="B20" s="3098"/>
      <c r="C20" s="3098"/>
      <c r="D20" s="3098"/>
      <c r="E20" s="3098"/>
      <c r="F20" s="3120"/>
      <c r="G20" s="3204"/>
      <c r="H20" s="3181"/>
      <c r="I20" s="3182"/>
      <c r="J20" s="3569">
        <v>3</v>
      </c>
      <c r="K20" s="3570" t="s">
        <v>2715</v>
      </c>
      <c r="L20" s="3209" t="s">
        <v>2716</v>
      </c>
      <c r="M20" s="3210" t="s">
        <v>2717</v>
      </c>
      <c r="N20" s="3216" t="s">
        <v>2718</v>
      </c>
      <c r="O20" s="3211" t="s">
        <v>2719</v>
      </c>
      <c r="P20" s="3153" t="s">
        <v>2704</v>
      </c>
      <c r="Q20" s="3148" t="s">
        <v>2705</v>
      </c>
      <c r="R20" s="3212" t="s">
        <v>2706</v>
      </c>
      <c r="S20" s="3217"/>
      <c r="T20" s="3217"/>
      <c r="U20" s="3217"/>
      <c r="V20" s="3182"/>
      <c r="W20" s="3181"/>
    </row>
    <row r="21" spans="1:23" s="3087" customFormat="1" ht="13.2" customHeight="1">
      <c r="A21" s="3097"/>
      <c r="B21" s="3098"/>
      <c r="C21" s="3121" t="s">
        <v>2720</v>
      </c>
      <c r="D21" s="3122" t="s">
        <v>2721</v>
      </c>
      <c r="E21" s="3123" t="s">
        <v>2722</v>
      </c>
      <c r="F21" s="3120"/>
      <c r="G21" s="3204"/>
      <c r="H21" s="3181"/>
      <c r="I21" s="3182"/>
      <c r="J21" s="3569"/>
      <c r="K21" s="3571"/>
      <c r="L21" s="3209" t="s">
        <v>2723</v>
      </c>
      <c r="M21" s="3210"/>
      <c r="N21" s="3210"/>
      <c r="O21" s="3211"/>
      <c r="P21" s="3153">
        <v>365</v>
      </c>
      <c r="Q21" s="3148"/>
      <c r="R21" s="3218">
        <f>ROUND(M21*N21*O21*P21/10000,0)</f>
        <v>0</v>
      </c>
      <c r="S21" s="3217"/>
      <c r="T21" s="3217"/>
      <c r="U21" s="3217"/>
      <c r="V21" s="3182"/>
      <c r="W21" s="3181"/>
    </row>
    <row r="22" spans="1:23" s="3087" customFormat="1" ht="13.2" customHeight="1">
      <c r="A22" s="3097"/>
      <c r="B22" s="3098"/>
      <c r="C22" s="3158" t="s">
        <v>2724</v>
      </c>
      <c r="D22" s="3159" t="s">
        <v>2725</v>
      </c>
      <c r="E22" s="3160" t="s">
        <v>2726</v>
      </c>
      <c r="F22" s="3120"/>
      <c r="G22" s="3219"/>
      <c r="H22" s="3181"/>
      <c r="I22" s="3182"/>
      <c r="J22" s="3569"/>
      <c r="K22" s="3571"/>
      <c r="L22" s="3209" t="s">
        <v>2727</v>
      </c>
      <c r="M22" s="3210"/>
      <c r="N22" s="3210"/>
      <c r="O22" s="3211"/>
      <c r="P22" s="3153">
        <v>365</v>
      </c>
      <c r="Q22" s="3148"/>
      <c r="R22" s="3218">
        <f>ROUND(M22*N22*O22*P22/10000,0)</f>
        <v>0</v>
      </c>
      <c r="S22" s="3217"/>
      <c r="T22" s="3217"/>
      <c r="U22" s="3217"/>
      <c r="V22" s="3182"/>
      <c r="W22" s="3181"/>
    </row>
    <row r="23" spans="1:23" s="3087" customFormat="1" ht="13.2" customHeight="1">
      <c r="A23" s="3124">
        <v>1</v>
      </c>
      <c r="B23" s="3096" t="s">
        <v>2728</v>
      </c>
      <c r="C23" s="3125">
        <f>D6</f>
        <v>0</v>
      </c>
      <c r="D23" s="3126">
        <f>C23*(1+D24)</f>
        <v>0</v>
      </c>
      <c r="E23" s="3127">
        <f>D23*(1+E24)</f>
        <v>0</v>
      </c>
      <c r="F23" s="3128"/>
      <c r="G23" s="3220"/>
      <c r="H23" s="3181"/>
      <c r="I23" s="3182"/>
      <c r="J23" s="3569"/>
      <c r="K23" s="3571"/>
      <c r="L23" s="3209" t="s">
        <v>2729</v>
      </c>
      <c r="M23" s="3210"/>
      <c r="N23" s="3210"/>
      <c r="O23" s="3211"/>
      <c r="P23" s="3153">
        <v>365</v>
      </c>
      <c r="Q23" s="3148"/>
      <c r="R23" s="3218">
        <f>ROUND(M23*N23*O23*P23/10000,0)</f>
        <v>0</v>
      </c>
      <c r="S23" s="3179"/>
      <c r="T23" s="3179"/>
      <c r="U23" s="3179"/>
      <c r="V23" s="3182"/>
      <c r="W23" s="3181"/>
    </row>
    <row r="24" spans="1:23" s="3087" customFormat="1" ht="13.2" customHeight="1">
      <c r="A24" s="3129"/>
      <c r="B24" s="3130" t="s">
        <v>2730</v>
      </c>
      <c r="C24" s="3131"/>
      <c r="D24" s="3161"/>
      <c r="E24" s="3162"/>
      <c r="F24" s="3132"/>
      <c r="G24" s="3220"/>
      <c r="H24" s="3181"/>
      <c r="I24" s="3182"/>
      <c r="J24" s="3569"/>
      <c r="K24" s="3572"/>
      <c r="L24" s="3205" t="s">
        <v>2695</v>
      </c>
      <c r="M24" s="3206">
        <f>SUM(M21:M23)</f>
        <v>0</v>
      </c>
      <c r="N24" s="3206"/>
      <c r="O24" s="3207"/>
      <c r="P24" s="3214" t="s">
        <v>2785</v>
      </c>
      <c r="Q24" s="3211">
        <v>0.1</v>
      </c>
      <c r="R24" s="3215">
        <f>ROUND(IF(P24="按比例",R14*Q24,SUM(R21:R23)),0)</f>
        <v>0</v>
      </c>
      <c r="S24" s="3179"/>
      <c r="T24" s="3179"/>
      <c r="U24" s="3179"/>
      <c r="V24" s="3182"/>
      <c r="W24" s="3181"/>
    </row>
    <row r="25" spans="1:23" s="3133" customFormat="1" ht="13.2" customHeight="1">
      <c r="A25" s="3129"/>
      <c r="B25" s="3130"/>
      <c r="C25" s="3131"/>
      <c r="D25" s="3161"/>
      <c r="E25" s="3162"/>
      <c r="F25" s="3132"/>
      <c r="G25" s="3219"/>
      <c r="H25" s="3181"/>
      <c r="I25" s="3182"/>
      <c r="J25" s="3221">
        <v>4</v>
      </c>
      <c r="K25" s="3222" t="s">
        <v>2731</v>
      </c>
      <c r="L25" s="3223"/>
      <c r="M25" s="3223"/>
      <c r="N25" s="3223"/>
      <c r="O25" s="3223"/>
      <c r="P25" s="3224"/>
      <c r="Q25" s="3225">
        <v>0</v>
      </c>
      <c r="R25" s="3215">
        <f>ROUND(R14*Q25,0)</f>
        <v>0</v>
      </c>
      <c r="S25" s="3179"/>
      <c r="T25" s="3179"/>
      <c r="U25" s="3179"/>
      <c r="V25" s="3226"/>
      <c r="W25" s="3227"/>
    </row>
    <row r="26" spans="1:23" s="3133" customFormat="1" ht="13.2" customHeight="1">
      <c r="A26" s="3124">
        <v>2</v>
      </c>
      <c r="B26" s="3096" t="s">
        <v>2732</v>
      </c>
      <c r="C26" s="3125">
        <f>D7</f>
        <v>0</v>
      </c>
      <c r="D26" s="3126">
        <f>D23*D27</f>
        <v>0</v>
      </c>
      <c r="E26" s="3127">
        <f>E23*E27</f>
        <v>0</v>
      </c>
      <c r="F26" s="3128"/>
      <c r="G26" s="3220"/>
      <c r="H26" s="3181"/>
      <c r="I26" s="3182"/>
      <c r="J26" s="3573">
        <v>5</v>
      </c>
      <c r="K26" s="3228" t="s">
        <v>2733</v>
      </c>
      <c r="L26" s="3229"/>
      <c r="M26" s="3230"/>
      <c r="N26" s="3231" t="s">
        <v>2734</v>
      </c>
      <c r="O26" s="3231" t="s">
        <v>2735</v>
      </c>
      <c r="P26" s="3232" t="s">
        <v>2736</v>
      </c>
      <c r="Q26" s="3232" t="s">
        <v>2737</v>
      </c>
      <c r="R26" s="3188" t="s">
        <v>2706</v>
      </c>
      <c r="S26" s="3233"/>
      <c r="T26" s="3233"/>
      <c r="U26" s="3233"/>
      <c r="V26" s="3226"/>
      <c r="W26" s="3227"/>
    </row>
    <row r="27" spans="1:23" s="3087" customFormat="1" ht="13.2" customHeight="1">
      <c r="A27" s="3129"/>
      <c r="B27" s="3130" t="s">
        <v>2738</v>
      </c>
      <c r="C27" s="3134" t="e">
        <f>E7</f>
        <v>#DIV/0!</v>
      </c>
      <c r="D27" s="3161"/>
      <c r="E27" s="3162"/>
      <c r="F27" s="3132"/>
      <c r="G27" s="3220"/>
      <c r="H27" s="3227"/>
      <c r="I27" s="3226"/>
      <c r="J27" s="3574"/>
      <c r="K27" s="3234"/>
      <c r="L27" s="3235"/>
      <c r="M27" s="3236"/>
      <c r="N27" s="3237"/>
      <c r="O27" s="3237"/>
      <c r="P27" s="3237"/>
      <c r="Q27" s="3238"/>
      <c r="R27" s="3215">
        <f>ROUND(O27*N27*P27*(1-Q27)/10000,0)</f>
        <v>0</v>
      </c>
      <c r="S27" s="3179"/>
      <c r="T27" s="3179"/>
      <c r="U27" s="3179"/>
      <c r="V27" s="3182"/>
      <c r="W27" s="3181"/>
    </row>
    <row r="28" spans="1:23" s="3133" customFormat="1" ht="13.2" customHeight="1" thickBot="1">
      <c r="A28" s="3129"/>
      <c r="B28" s="3130"/>
      <c r="C28" s="3134"/>
      <c r="D28" s="3161"/>
      <c r="E28" s="3162" t="s">
        <v>2739</v>
      </c>
      <c r="F28" s="3132"/>
      <c r="G28" s="3219"/>
      <c r="H28" s="3227"/>
      <c r="I28" s="3226"/>
      <c r="J28" s="3239">
        <v>6</v>
      </c>
      <c r="K28" s="3240" t="s">
        <v>2740</v>
      </c>
      <c r="L28" s="3241" t="s">
        <v>2741</v>
      </c>
      <c r="M28" s="3242"/>
      <c r="N28" s="3241" t="s">
        <v>2742</v>
      </c>
      <c r="O28" s="3243"/>
      <c r="P28" s="3241" t="s">
        <v>2743</v>
      </c>
      <c r="Q28" s="3244">
        <v>1.4999999999999999E-2</v>
      </c>
      <c r="R28" s="3245"/>
      <c r="S28" s="3217"/>
      <c r="T28" s="3217"/>
      <c r="U28" s="3217"/>
      <c r="V28" s="3226"/>
      <c r="W28" s="3227"/>
    </row>
    <row r="29" spans="1:23" s="3133" customFormat="1" ht="13.2" customHeight="1">
      <c r="A29" s="3124">
        <v>3</v>
      </c>
      <c r="B29" s="3096" t="s">
        <v>2744</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2" customHeight="1" thickBot="1">
      <c r="A30" s="3129"/>
      <c r="B30" s="3130" t="s">
        <v>2738</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2" customHeight="1">
      <c r="A31" s="3129"/>
      <c r="B31" s="3130"/>
      <c r="C31" s="3163"/>
      <c r="D31" s="3135"/>
      <c r="E31" s="3113"/>
      <c r="F31" s="3132"/>
      <c r="G31" s="3219"/>
      <c r="H31" s="3227"/>
      <c r="I31" s="3226"/>
      <c r="J31" s="3176" t="s">
        <v>2745</v>
      </c>
      <c r="K31" s="3177"/>
      <c r="L31" s="3177"/>
      <c r="M31" s="3177"/>
      <c r="N31" s="3177"/>
      <c r="O31" s="3177"/>
      <c r="P31" s="3177"/>
      <c r="Q31" s="3177"/>
      <c r="R31" s="3178"/>
      <c r="S31" s="3217"/>
      <c r="T31" s="3179"/>
      <c r="U31" s="3179"/>
      <c r="V31" s="3226"/>
      <c r="W31" s="3227"/>
    </row>
    <row r="32" spans="1:23" s="3133" customFormat="1" ht="13.2" customHeight="1">
      <c r="A32" s="3124">
        <v>4</v>
      </c>
      <c r="B32" s="3096" t="s">
        <v>2746</v>
      </c>
      <c r="C32" s="3125">
        <f>C23-C26-C29</f>
        <v>0</v>
      </c>
      <c r="D32" s="3126">
        <f>D23-D26-D29</f>
        <v>0</v>
      </c>
      <c r="E32" s="3127">
        <f>E23-E26-E29</f>
        <v>0</v>
      </c>
      <c r="F32" s="3128"/>
      <c r="G32" s="3219"/>
      <c r="H32" s="3181"/>
      <c r="I32" s="3182"/>
      <c r="J32" s="3575" t="s">
        <v>2747</v>
      </c>
      <c r="K32" s="3576"/>
      <c r="L32" s="3183" t="s">
        <v>2748</v>
      </c>
      <c r="M32" s="3183" t="s">
        <v>2651</v>
      </c>
      <c r="N32" s="3183" t="s">
        <v>2652</v>
      </c>
      <c r="O32" s="3183" t="s">
        <v>2653</v>
      </c>
      <c r="P32" s="3183" t="s">
        <v>2654</v>
      </c>
      <c r="Q32" s="3184" t="s">
        <v>2749</v>
      </c>
      <c r="R32" s="3246" t="s">
        <v>2750</v>
      </c>
      <c r="S32" s="3217"/>
      <c r="T32" s="3179"/>
      <c r="U32" s="3179"/>
      <c r="V32" s="3226"/>
      <c r="W32" s="3227"/>
    </row>
    <row r="33" spans="1:23" s="3087" customFormat="1" ht="13.2" customHeight="1">
      <c r="A33" s="3124"/>
      <c r="B33" s="3096"/>
      <c r="C33" s="3125"/>
      <c r="D33" s="3136"/>
      <c r="E33" s="3137"/>
      <c r="F33" s="3128"/>
      <c r="G33" s="3219"/>
      <c r="H33" s="3227"/>
      <c r="I33" s="3226"/>
      <c r="J33" s="3577" t="s">
        <v>2751</v>
      </c>
      <c r="K33" s="3578"/>
      <c r="L33" s="3186"/>
      <c r="M33" s="3186"/>
      <c r="N33" s="3186"/>
      <c r="O33" s="3186"/>
      <c r="P33" s="3186"/>
      <c r="Q33" s="3187"/>
      <c r="R33" s="3247">
        <f>SUM(L33:Q33)</f>
        <v>0</v>
      </c>
      <c r="S33" s="3217"/>
      <c r="T33" s="3179"/>
      <c r="U33" s="3179"/>
      <c r="V33" s="3182"/>
      <c r="W33" s="3181"/>
    </row>
    <row r="34" spans="1:23" s="3087" customFormat="1" ht="13.2" customHeight="1">
      <c r="A34" s="3124">
        <v>5</v>
      </c>
      <c r="B34" s="3096" t="s">
        <v>2752</v>
      </c>
      <c r="C34" s="3164"/>
      <c r="D34" s="3165"/>
      <c r="E34" s="3166"/>
      <c r="F34" s="3128"/>
      <c r="G34" s="3219"/>
      <c r="H34" s="3227"/>
      <c r="I34" s="3226"/>
      <c r="J34" s="3577" t="s">
        <v>2753</v>
      </c>
      <c r="K34" s="3578"/>
      <c r="L34" s="3189"/>
      <c r="M34" s="3189"/>
      <c r="N34" s="3189"/>
      <c r="O34" s="3189"/>
      <c r="P34" s="3189"/>
      <c r="Q34" s="3190"/>
      <c r="R34" s="3248">
        <f>SUM(L34:Q34)</f>
        <v>0</v>
      </c>
      <c r="S34" s="3217"/>
      <c r="T34" s="3179"/>
      <c r="U34" s="3179" t="e">
        <f>ROUND(R35*10000/365/R33,1)</f>
        <v>#DIV/0!</v>
      </c>
      <c r="V34" s="3182"/>
      <c r="W34" s="3181"/>
    </row>
    <row r="35" spans="1:23" s="3087" customFormat="1" ht="13.2" customHeight="1">
      <c r="A35" s="3124">
        <v>6</v>
      </c>
      <c r="B35" s="3096" t="s">
        <v>2754</v>
      </c>
      <c r="C35" s="3167"/>
      <c r="D35" s="3168"/>
      <c r="E35" s="3169"/>
      <c r="F35" s="3128"/>
      <c r="G35" s="3249"/>
      <c r="H35" s="3181"/>
      <c r="I35" s="3226"/>
      <c r="J35" s="3192" t="s">
        <v>2755</v>
      </c>
      <c r="K35" s="3193"/>
      <c r="L35" s="3193"/>
      <c r="M35" s="3194"/>
      <c r="N35" s="3194"/>
      <c r="O35" s="3194"/>
      <c r="P35" s="3194"/>
      <c r="Q35" s="3194"/>
      <c r="R35" s="3250">
        <f>R40+R41+R43</f>
        <v>0</v>
      </c>
      <c r="S35" s="3217"/>
      <c r="T35" s="3179" t="s">
        <v>2756</v>
      </c>
      <c r="U35" s="3179"/>
      <c r="V35" s="3182"/>
      <c r="W35" s="3181"/>
    </row>
    <row r="36" spans="1:23" s="3087" customFormat="1" ht="13.2" customHeight="1" thickBot="1">
      <c r="A36" s="3124">
        <v>7</v>
      </c>
      <c r="B36" s="3138" t="s">
        <v>2757</v>
      </c>
      <c r="C36" s="3170"/>
      <c r="D36" s="3171"/>
      <c r="E36" s="3172"/>
      <c r="F36" s="3139">
        <f>C36+D36+E36</f>
        <v>0</v>
      </c>
      <c r="G36" s="3219"/>
      <c r="H36" s="3181"/>
      <c r="I36" s="3182"/>
      <c r="J36" s="3569">
        <v>1</v>
      </c>
      <c r="K36" s="3570" t="s">
        <v>2758</v>
      </c>
      <c r="L36" s="3196"/>
      <c r="M36" s="3197"/>
      <c r="N36" s="3197"/>
      <c r="O36" s="3197"/>
      <c r="P36" s="3197"/>
      <c r="Q36" s="3197"/>
      <c r="R36" s="3188" t="s">
        <v>2706</v>
      </c>
      <c r="S36" s="3217"/>
      <c r="T36" s="3179" t="s">
        <v>2759</v>
      </c>
      <c r="U36" s="3179"/>
      <c r="V36" s="3182"/>
      <c r="W36" s="3181"/>
    </row>
    <row r="37" spans="1:23" s="3087" customFormat="1" ht="13.2" customHeight="1">
      <c r="A37" s="3124"/>
      <c r="B37" s="3096"/>
      <c r="C37" s="3096"/>
      <c r="D37" s="3096"/>
      <c r="E37" s="3096"/>
      <c r="F37" s="3128"/>
      <c r="G37" s="3219"/>
      <c r="H37" s="3181"/>
      <c r="I37" s="3182"/>
      <c r="J37" s="3569"/>
      <c r="K37" s="3571"/>
      <c r="L37" s="3209"/>
      <c r="M37" s="3210"/>
      <c r="N37" s="3148"/>
      <c r="O37" s="3211"/>
      <c r="P37" s="3211"/>
      <c r="Q37" s="3153"/>
      <c r="R37" s="3251"/>
      <c r="S37" s="3217"/>
      <c r="T37" s="3179" t="s">
        <v>2760</v>
      </c>
      <c r="U37" s="3179"/>
      <c r="V37" s="3182"/>
      <c r="W37" s="3181"/>
    </row>
    <row r="38" spans="1:23" s="3087" customFormat="1" ht="13.2" customHeight="1">
      <c r="A38" s="3124">
        <v>8</v>
      </c>
      <c r="B38" s="3096"/>
      <c r="C38" s="3104" t="e">
        <f>ROUND(C32*(1-((1+C35)/(1+C34))^C36)/(C34-C35),0)</f>
        <v>#DIV/0!</v>
      </c>
      <c r="D38" s="3104">
        <f>IF(D23=0,0,ROUND(D32*(1-((1+D35)/(1+D34))^D36)/(D34-D35),0))</f>
        <v>0</v>
      </c>
      <c r="E38" s="3104">
        <f>IF(E23=0,0,ROUND(E32*(1-((1+E35)/(1+E34))^E36)/(E34-E35),0))</f>
        <v>0</v>
      </c>
      <c r="F38" s="3128"/>
      <c r="G38" s="3219"/>
      <c r="H38" s="3181"/>
      <c r="I38" s="3182"/>
      <c r="J38" s="3569"/>
      <c r="K38" s="3571"/>
      <c r="L38" s="3209"/>
      <c r="M38" s="3210"/>
      <c r="N38" s="3148"/>
      <c r="O38" s="3211"/>
      <c r="P38" s="3211"/>
      <c r="Q38" s="3153"/>
      <c r="R38" s="3251"/>
      <c r="S38" s="3217"/>
      <c r="T38" s="3179" t="s">
        <v>2682</v>
      </c>
      <c r="U38" s="3179"/>
      <c r="V38" s="3182"/>
      <c r="W38" s="3181"/>
    </row>
    <row r="39" spans="1:23" s="3087" customFormat="1" ht="13.2" customHeight="1">
      <c r="A39" s="3124">
        <v>9</v>
      </c>
      <c r="B39" s="3096" t="s">
        <v>2761</v>
      </c>
      <c r="C39" s="3109" t="e">
        <f>C38</f>
        <v>#DIV/0!</v>
      </c>
      <c r="D39" s="3096">
        <f>D38/(1+D34)^C36</f>
        <v>0</v>
      </c>
      <c r="E39" s="3096">
        <f>E38/(1+E34)^(C36+D36)</f>
        <v>0</v>
      </c>
      <c r="F39" s="3128"/>
      <c r="G39" s="3252"/>
      <c r="H39" s="3181"/>
      <c r="I39" s="3182"/>
      <c r="J39" s="3569"/>
      <c r="K39" s="3571"/>
      <c r="L39" s="3209"/>
      <c r="M39" s="3210"/>
      <c r="N39" s="3148"/>
      <c r="O39" s="3211"/>
      <c r="P39" s="3211"/>
      <c r="Q39" s="3153"/>
      <c r="R39" s="3251"/>
      <c r="S39" s="3217"/>
      <c r="T39" s="3179"/>
      <c r="U39" s="3179"/>
      <c r="V39" s="3182"/>
      <c r="W39" s="3181"/>
    </row>
    <row r="40" spans="1:23" s="3087" customFormat="1" ht="13.2" customHeight="1">
      <c r="A40" s="3140">
        <v>10</v>
      </c>
      <c r="B40" s="3096" t="s">
        <v>2762</v>
      </c>
      <c r="C40" s="3141" t="e">
        <f>C39+D39+E39</f>
        <v>#DIV/0!</v>
      </c>
      <c r="D40" s="3142"/>
      <c r="E40" s="3142"/>
      <c r="F40" s="3143"/>
      <c r="G40" s="3219"/>
      <c r="H40" s="3181"/>
      <c r="I40" s="3182"/>
      <c r="J40" s="3569"/>
      <c r="K40" s="3572"/>
      <c r="L40" s="3205" t="s">
        <v>2763</v>
      </c>
      <c r="M40" s="3206"/>
      <c r="N40" s="3206"/>
      <c r="O40" s="3207"/>
      <c r="P40" s="3207"/>
      <c r="Q40" s="3208"/>
      <c r="R40" s="3185">
        <f>SUM(R37:R39)</f>
        <v>0</v>
      </c>
      <c r="S40" s="3217"/>
      <c r="T40" s="3179"/>
      <c r="U40" s="3179"/>
      <c r="V40" s="3182"/>
      <c r="W40" s="3181"/>
    </row>
    <row r="41" spans="1:23" s="3087" customFormat="1" ht="13.2" customHeight="1" thickBot="1">
      <c r="A41" s="3144">
        <v>11</v>
      </c>
      <c r="B41" s="3145" t="s">
        <v>2764</v>
      </c>
      <c r="C41" s="3145" t="e">
        <f>ROUND(C40*10000/B4,0)</f>
        <v>#DIV/0!</v>
      </c>
      <c r="D41" s="3146"/>
      <c r="E41" s="3146"/>
      <c r="F41" s="3147"/>
      <c r="G41" s="3253"/>
      <c r="H41" s="3181"/>
      <c r="I41" s="3182"/>
      <c r="J41" s="3221">
        <v>2</v>
      </c>
      <c r="K41" s="3222" t="s">
        <v>2765</v>
      </c>
      <c r="L41" s="3223"/>
      <c r="M41" s="3223"/>
      <c r="N41" s="3223"/>
      <c r="O41" s="3223"/>
      <c r="P41" s="3224"/>
      <c r="Q41" s="3225"/>
      <c r="R41" s="3215">
        <f>ROUND(R40*Q41,0)</f>
        <v>0</v>
      </c>
      <c r="S41" s="3217"/>
      <c r="T41" s="3179"/>
      <c r="U41" s="3233"/>
      <c r="V41" s="3182"/>
      <c r="W41" s="3181"/>
    </row>
    <row r="42" spans="1:23" s="3087" customFormat="1" ht="13.2" customHeight="1">
      <c r="G42" s="3253"/>
      <c r="H42" s="3181"/>
      <c r="I42" s="3182"/>
      <c r="J42" s="3573">
        <v>3</v>
      </c>
      <c r="K42" s="3228" t="s">
        <v>2766</v>
      </c>
      <c r="L42" s="3229"/>
      <c r="M42" s="3230"/>
      <c r="N42" s="3231" t="s">
        <v>2767</v>
      </c>
      <c r="O42" s="3231" t="s">
        <v>2768</v>
      </c>
      <c r="P42" s="3232" t="s">
        <v>2769</v>
      </c>
      <c r="Q42" s="3232" t="s">
        <v>2770</v>
      </c>
      <c r="R42" s="3188" t="s">
        <v>2673</v>
      </c>
      <c r="S42" s="3233"/>
      <c r="T42" s="3233"/>
      <c r="U42" s="3179"/>
      <c r="V42" s="3182"/>
      <c r="W42" s="3181"/>
    </row>
    <row r="43" spans="1:23" ht="13.2" customHeight="1">
      <c r="A43" s="3087"/>
      <c r="B43" s="3087"/>
      <c r="C43" s="3087"/>
      <c r="D43" s="3087"/>
      <c r="E43" s="3087"/>
      <c r="F43" s="3087"/>
      <c r="I43" s="3174"/>
      <c r="J43" s="3574"/>
      <c r="K43" s="3234"/>
      <c r="L43" s="3235"/>
      <c r="M43" s="3236"/>
      <c r="N43" s="3210"/>
      <c r="O43" s="3210"/>
      <c r="P43" s="3210"/>
      <c r="Q43" s="3225"/>
      <c r="R43" s="3215">
        <f>ROUND(O43*N43*P43*(1-Q43)/10000,0)</f>
        <v>0</v>
      </c>
      <c r="S43" s="3217"/>
      <c r="T43" s="3179"/>
      <c r="V43" s="3255"/>
      <c r="W43" s="3175"/>
    </row>
    <row r="44" spans="1:23" ht="13.2" customHeight="1" thickBot="1">
      <c r="J44" s="3239">
        <v>6</v>
      </c>
      <c r="K44" s="3240" t="s">
        <v>2771</v>
      </c>
      <c r="L44" s="3256" t="s">
        <v>2772</v>
      </c>
      <c r="M44" s="3242"/>
      <c r="N44" s="3256" t="s">
        <v>2773</v>
      </c>
      <c r="O44" s="3242"/>
      <c r="P44" s="3256" t="s">
        <v>2774</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1968</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91" t="s">
        <v>1972</v>
      </c>
      <c r="D4" s="3592"/>
      <c r="E4" s="3592"/>
      <c r="F4" s="3592"/>
      <c r="G4" s="3592"/>
      <c r="H4" s="3592"/>
      <c r="I4" s="3592"/>
      <c r="J4" s="3592"/>
      <c r="K4" s="3592"/>
      <c r="L4" s="3592"/>
      <c r="M4" s="3592"/>
      <c r="N4" s="3592"/>
      <c r="O4" s="3592"/>
      <c r="P4" s="3592"/>
      <c r="Q4" s="3592"/>
      <c r="R4" s="3592"/>
      <c r="S4" s="3593"/>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7" t="s">
        <v>1981</v>
      </c>
      <c r="B20" s="1478"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79" t="s">
        <v>1983</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1984</v>
      </c>
      <c r="B23" s="224">
        <f>IF(F23="——",IF(C23="万元",T25,S25),IF(C23="万元",T25-H23,S25-H23))</f>
        <v>0</v>
      </c>
      <c r="C23" s="1480" t="str">
        <f>'数据-取费表'!B3</f>
        <v>元</v>
      </c>
      <c r="D23" s="37"/>
      <c r="E23" s="37"/>
      <c r="F23" s="1481" t="s">
        <v>1001</v>
      </c>
      <c r="G23" s="1254"/>
      <c r="H23" s="575" t="e">
        <f ca="1">SUMIF(INDIRECT("'"&amp;J23&amp;"'"&amp;"!A:A"),"承租人权益价值",INDIRECT("'"&amp;J23&amp;"'"&amp;"!c:c"))</f>
        <v>#REF!</v>
      </c>
      <c r="I23" s="575" t="str">
        <f>C2</f>
        <v>元</v>
      </c>
      <c r="J23" s="1482"/>
      <c r="K23" s="37"/>
      <c r="L23" s="37"/>
      <c r="M23" s="37"/>
      <c r="N23" s="37"/>
      <c r="O23" s="37"/>
      <c r="P23" s="37"/>
      <c r="Q23" s="37"/>
      <c r="R23" s="645"/>
      <c r="S23" s="31"/>
      <c r="T23" s="31"/>
      <c r="U23" s="957"/>
      <c r="V23" s="958"/>
      <c r="W23" s="662"/>
      <c r="X23" s="662"/>
      <c r="Y23" s="662"/>
      <c r="Z23" s="662"/>
    </row>
    <row r="24" spans="1:45" ht="15.6">
      <c r="A24" s="1480"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0" t="s">
        <v>1988</v>
      </c>
      <c r="V24" s="2902"/>
      <c r="W24" s="2903" t="s">
        <v>1989</v>
      </c>
      <c r="X24" s="2170" t="s">
        <v>1990</v>
      </c>
      <c r="Y24" s="2902"/>
      <c r="Z24" s="2904" t="s">
        <v>1989</v>
      </c>
    </row>
    <row r="25" spans="1:45">
      <c r="A25" s="250" t="s">
        <v>1991</v>
      </c>
      <c r="B25" s="13">
        <f>SUM(B27:B10000)</f>
        <v>0</v>
      </c>
      <c r="C25" s="3588" t="s">
        <v>45</v>
      </c>
      <c r="D25" s="3589"/>
      <c r="E25" s="3589"/>
      <c r="F25" s="3589"/>
      <c r="G25" s="3589"/>
      <c r="H25" s="3589"/>
      <c r="I25" s="3589"/>
      <c r="J25" s="3589"/>
      <c r="K25" s="3589"/>
      <c r="L25" s="3589"/>
      <c r="M25" s="3589"/>
      <c r="N25" s="3589"/>
      <c r="O25" s="3589"/>
      <c r="P25" s="3589"/>
      <c r="Q25" s="3590"/>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3"/>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2" customWidth="1"/>
    <col min="2" max="2" width="15.77734375" style="1592" customWidth="1"/>
    <col min="3" max="3" width="15.109375" style="1592" customWidth="1"/>
    <col min="4" max="4" width="12.21875" style="1592" customWidth="1"/>
    <col min="5" max="5" width="14.33203125" style="1592" customWidth="1"/>
    <col min="6" max="6" width="12.21875" style="1592" customWidth="1"/>
    <col min="7" max="7" width="14.44140625" style="1592" customWidth="1"/>
    <col min="8" max="8" width="12.21875" style="1592" customWidth="1"/>
    <col min="9" max="9" width="14.44140625" style="1592" customWidth="1"/>
    <col min="10" max="10" width="12.21875" style="1592" customWidth="1"/>
    <col min="11" max="11" width="12.21875" style="1835" customWidth="1"/>
    <col min="12" max="12" width="12.21875" style="1836" customWidth="1"/>
    <col min="13" max="15" width="12.21875" style="1592" customWidth="1"/>
    <col min="16" max="16" width="4.77734375" style="1732" customWidth="1"/>
    <col min="17" max="17" width="19.44140625" style="1592" customWidth="1"/>
    <col min="18" max="22" width="6.109375" style="1592" customWidth="1"/>
    <col min="23" max="23" width="5.77734375" style="1592" customWidth="1"/>
    <col min="24" max="24" width="4.21875" style="1592" customWidth="1"/>
    <col min="25" max="25" width="3.44140625" style="1592" customWidth="1"/>
    <col min="26" max="26" width="19.77734375" style="1592" customWidth="1"/>
    <col min="27" max="28" width="9.33203125" style="1592" customWidth="1"/>
    <col min="29" max="16384" width="9" style="1592"/>
  </cols>
  <sheetData>
    <row r="1" spans="1:29" s="1573" customFormat="1" ht="28.5" customHeight="1" thickBot="1">
      <c r="A1" s="1562" t="s">
        <v>2001</v>
      </c>
      <c r="B1" s="1563" t="s">
        <v>2002</v>
      </c>
      <c r="C1" s="1564"/>
      <c r="D1" s="1565"/>
      <c r="E1" s="1566" t="s">
        <v>985</v>
      </c>
      <c r="F1" s="1567" t="s">
        <v>2003</v>
      </c>
      <c r="G1" s="1563"/>
      <c r="H1" s="1563"/>
      <c r="I1" s="1563"/>
      <c r="J1" s="1563"/>
      <c r="K1" s="1568"/>
      <c r="L1" s="1569"/>
      <c r="M1" s="1563"/>
      <c r="N1" s="1563"/>
      <c r="O1" s="1563"/>
      <c r="P1" s="1570"/>
      <c r="Q1" s="1571"/>
      <c r="R1" s="1571"/>
      <c r="S1" s="1571"/>
      <c r="T1" s="1571"/>
      <c r="U1" s="1571"/>
      <c r="V1" s="1571"/>
      <c r="W1" s="1571"/>
      <c r="X1" s="1571"/>
      <c r="Y1" s="1571"/>
      <c r="Z1" s="1571"/>
      <c r="AA1" s="1571"/>
      <c r="AB1" s="1571"/>
      <c r="AC1" s="1572"/>
    </row>
    <row r="2" spans="1:29" s="277" customFormat="1" ht="28.5" customHeight="1" thickTop="1">
      <c r="A2" s="1574" t="s">
        <v>1674</v>
      </c>
      <c r="B2" s="1575" t="e">
        <f ca="1">IF(D2="——",IF(C2="元",ROUND(C49*D3,0),ROUND(C49*D3/10000,0)),IF(C2="元",ROUND(C49*D3,0),ROUND(C49*D3/10000,0))-E2)</f>
        <v>#DIV/0!</v>
      </c>
      <c r="C2" s="1576" t="str">
        <f>'数据-取费表'!B3</f>
        <v>元</v>
      </c>
      <c r="D2" s="1577"/>
      <c r="E2" s="1578" t="e">
        <f ca="1">SUMIF(INDIRECT("'"&amp;G2&amp;"'"&amp;"!A:A"),"承租人权益价值",INDIRECT("'"&amp;G2&amp;"'"&amp;"!c:c"))</f>
        <v>#REF!</v>
      </c>
      <c r="F2" s="1579" t="str">
        <f>C2</f>
        <v>元</v>
      </c>
      <c r="G2" s="1580"/>
      <c r="H2" s="2907"/>
      <c r="I2" s="2907"/>
      <c r="J2" s="2907"/>
      <c r="K2" s="2908"/>
      <c r="L2" s="2909"/>
      <c r="M2" s="2907"/>
      <c r="N2" s="2907"/>
      <c r="O2" s="2907"/>
      <c r="P2" s="1581"/>
      <c r="Q2" s="1582"/>
      <c r="R2" s="1582"/>
      <c r="S2" s="1582"/>
      <c r="T2" s="1582"/>
      <c r="U2" s="1582"/>
      <c r="V2" s="1582"/>
      <c r="W2" s="1582"/>
      <c r="X2" s="1582"/>
      <c r="Y2" s="1582"/>
      <c r="Z2" s="1582"/>
      <c r="AA2" s="1582"/>
      <c r="AB2" s="1582"/>
      <c r="AC2" s="1583"/>
    </row>
    <row r="3" spans="1:29" s="277" customFormat="1" ht="28.5" customHeight="1" thickBot="1">
      <c r="A3" s="1584" t="s">
        <v>1675</v>
      </c>
      <c r="B3" s="1585" t="e">
        <f ca="1">ROUND(IF(D2="——",C49,IF(C2="万元",B2*10000/D3,B2/D3)),0)</f>
        <v>#DIV/0!</v>
      </c>
      <c r="C3" s="1585" t="s">
        <v>2004</v>
      </c>
      <c r="D3" s="1585">
        <f>IF(C1="仅计算典型户型",'数据-取费表'!E5,'数据-取费表'!B5)</f>
        <v>262.86</v>
      </c>
      <c r="E3" s="2907"/>
      <c r="F3" s="2910"/>
      <c r="G3" s="2907"/>
      <c r="H3" s="2907"/>
      <c r="I3" s="2907"/>
      <c r="J3" s="2907"/>
      <c r="K3" s="2908"/>
      <c r="L3" s="2909"/>
      <c r="M3" s="2907"/>
      <c r="N3" s="2907"/>
      <c r="O3" s="2907"/>
      <c r="P3" s="1586"/>
      <c r="Q3" s="1582"/>
      <c r="R3" s="1582"/>
      <c r="S3" s="1582"/>
      <c r="T3" s="1582"/>
      <c r="U3" s="1582"/>
      <c r="V3" s="1582"/>
      <c r="W3" s="1582"/>
      <c r="X3" s="1582"/>
      <c r="Y3" s="1582"/>
      <c r="Z3" s="1582"/>
      <c r="AA3" s="1582"/>
      <c r="AB3" s="1582"/>
      <c r="AC3" s="1587"/>
    </row>
    <row r="4" spans="1:29" ht="14.4">
      <c r="A4" s="1588" t="s">
        <v>2005</v>
      </c>
      <c r="B4" s="1589"/>
      <c r="C4" s="3597" t="s">
        <v>2006</v>
      </c>
      <c r="D4" s="3598"/>
      <c r="E4" s="3599" t="s">
        <v>2007</v>
      </c>
      <c r="F4" s="3600"/>
      <c r="G4" s="3597" t="s">
        <v>2008</v>
      </c>
      <c r="H4" s="3598"/>
      <c r="I4" s="3597" t="s">
        <v>2009</v>
      </c>
      <c r="J4" s="3598"/>
      <c r="K4" s="1590" t="s">
        <v>2010</v>
      </c>
      <c r="L4" s="2911"/>
      <c r="M4" s="2912"/>
      <c r="N4" s="2912"/>
      <c r="O4" s="2912"/>
      <c r="P4" s="3601" t="s">
        <v>2011</v>
      </c>
      <c r="Q4" s="3602"/>
      <c r="R4" s="3607" t="s">
        <v>2007</v>
      </c>
      <c r="S4" s="3608"/>
      <c r="T4" s="3607" t="s">
        <v>2008</v>
      </c>
      <c r="U4" s="3608"/>
      <c r="V4" s="3613" t="s">
        <v>2009</v>
      </c>
      <c r="W4" s="3613"/>
      <c r="X4" s="1591"/>
      <c r="Y4" s="3607" t="s">
        <v>2011</v>
      </c>
      <c r="Z4" s="3608"/>
      <c r="AA4" s="3594" t="s">
        <v>2007</v>
      </c>
      <c r="AB4" s="3594" t="s">
        <v>2008</v>
      </c>
      <c r="AC4" s="3594" t="s">
        <v>2009</v>
      </c>
    </row>
    <row r="5" spans="1:29">
      <c r="A5" s="1593"/>
      <c r="B5" s="1594"/>
      <c r="C5" s="3616" t="s">
        <v>2012</v>
      </c>
      <c r="D5" s="3617"/>
      <c r="E5" s="3614" t="s">
        <v>2013</v>
      </c>
      <c r="F5" s="3615"/>
      <c r="G5" s="3616" t="s">
        <v>2014</v>
      </c>
      <c r="H5" s="3617"/>
      <c r="I5" s="3616" t="s">
        <v>2015</v>
      </c>
      <c r="J5" s="3617"/>
      <c r="K5" s="1595"/>
      <c r="L5" s="2911"/>
      <c r="M5" s="2912"/>
      <c r="N5" s="2912"/>
      <c r="O5" s="2912"/>
      <c r="P5" s="3603"/>
      <c r="Q5" s="3604"/>
      <c r="R5" s="3609"/>
      <c r="S5" s="3610"/>
      <c r="T5" s="3609"/>
      <c r="U5" s="3610"/>
      <c r="V5" s="3613"/>
      <c r="W5" s="3613"/>
      <c r="X5" s="1591"/>
      <c r="Y5" s="3609"/>
      <c r="Z5" s="3610"/>
      <c r="AA5" s="3595"/>
      <c r="AB5" s="3595"/>
      <c r="AC5" s="3595"/>
    </row>
    <row r="6" spans="1:29" ht="15" thickBot="1">
      <c r="A6" s="1596"/>
      <c r="B6" s="1597"/>
      <c r="C6" s="3618" t="s">
        <v>2016</v>
      </c>
      <c r="D6" s="3619"/>
      <c r="E6" s="3620" t="s">
        <v>2016</v>
      </c>
      <c r="F6" s="3621"/>
      <c r="G6" s="3618" t="s">
        <v>2016</v>
      </c>
      <c r="H6" s="3619"/>
      <c r="I6" s="3618" t="s">
        <v>2016</v>
      </c>
      <c r="J6" s="3619"/>
      <c r="K6" s="1595" t="s">
        <v>2017</v>
      </c>
      <c r="L6" s="2911"/>
      <c r="M6" s="2912"/>
      <c r="N6" s="2912"/>
      <c r="O6" s="2912"/>
      <c r="P6" s="3605"/>
      <c r="Q6" s="3606"/>
      <c r="R6" s="3609"/>
      <c r="S6" s="3610"/>
      <c r="T6" s="3611"/>
      <c r="U6" s="3612"/>
      <c r="V6" s="3613"/>
      <c r="W6" s="3613"/>
      <c r="X6" s="1591"/>
      <c r="Y6" s="3611"/>
      <c r="Z6" s="3612"/>
      <c r="AA6" s="3596"/>
      <c r="AB6" s="3596"/>
      <c r="AC6" s="3596"/>
    </row>
    <row r="7" spans="1:29" s="1610" customFormat="1" ht="15" thickBot="1">
      <c r="A7" s="1598" t="s">
        <v>2018</v>
      </c>
      <c r="B7" s="1599"/>
      <c r="C7" s="1600">
        <f>'数据-取费表'!B2</f>
        <v>44701</v>
      </c>
      <c r="D7" s="1601">
        <v>100</v>
      </c>
      <c r="E7" s="1602"/>
      <c r="F7" s="1603">
        <f>SUMIF(58:58,YEAR(E7)&amp;"-"&amp;MONTH(E7),59:59)</f>
        <v>0</v>
      </c>
      <c r="G7" s="1602"/>
      <c r="H7" s="1601">
        <f>SUMIF(58:58,YEAR(G7)&amp;"-"&amp;MONTH(G7),59:59)</f>
        <v>0</v>
      </c>
      <c r="I7" s="1602"/>
      <c r="J7" s="1601">
        <f>SUMIF(58:58,YEAR(I7)&amp;"-"&amp;MONTH(I7),59:59)</f>
        <v>0</v>
      </c>
      <c r="K7" s="1604"/>
      <c r="L7" s="2911"/>
      <c r="M7" s="2884"/>
      <c r="N7" s="2884"/>
      <c r="O7" s="2884"/>
      <c r="P7" s="3629" t="s">
        <v>2019</v>
      </c>
      <c r="Q7" s="3631"/>
      <c r="R7" s="1606" t="s">
        <v>34</v>
      </c>
      <c r="S7" s="1607">
        <f t="shared" ref="S7:S15" si="0">F7</f>
        <v>0</v>
      </c>
      <c r="T7" s="1606" t="s">
        <v>34</v>
      </c>
      <c r="U7" s="1607">
        <f t="shared" ref="U7:U15" si="1">H7</f>
        <v>0</v>
      </c>
      <c r="V7" s="1606" t="s">
        <v>34</v>
      </c>
      <c r="W7" s="1607">
        <f t="shared" ref="W7:W15" si="2">J7</f>
        <v>0</v>
      </c>
      <c r="X7" s="1608"/>
      <c r="Y7" s="3629" t="s">
        <v>2019</v>
      </c>
      <c r="Z7" s="3630"/>
      <c r="AA7" s="1609" t="e">
        <f>D7/F7</f>
        <v>#DIV/0!</v>
      </c>
      <c r="AB7" s="1609" t="e">
        <f>D7/H7</f>
        <v>#DIV/0!</v>
      </c>
      <c r="AC7" s="1609" t="e">
        <f>D7/J7</f>
        <v>#DIV/0!</v>
      </c>
    </row>
    <row r="8" spans="1:29" s="1610" customFormat="1" ht="15" thickBot="1">
      <c r="A8" s="1598" t="s">
        <v>2020</v>
      </c>
      <c r="B8" s="1599"/>
      <c r="C8" s="1611" t="s">
        <v>2021</v>
      </c>
      <c r="D8" s="1601">
        <v>100</v>
      </c>
      <c r="E8" s="1612"/>
      <c r="F8" s="1603">
        <f>SUMIF(61:61,E8,62:62)-SUMIF(61:61,C8,62:62)+100</f>
        <v>0</v>
      </c>
      <c r="G8" s="1611"/>
      <c r="H8" s="1601">
        <f>SUMIF(61:61,G8,62:62)-SUMIF(61:61,C8,62:62)+100</f>
        <v>0</v>
      </c>
      <c r="I8" s="1612"/>
      <c r="J8" s="1601">
        <f>SUMIF(61:61,I8,62:62)-SUMIF(61:61,C8,62:62)+100</f>
        <v>0</v>
      </c>
      <c r="K8" s="1604"/>
      <c r="L8" s="2911"/>
      <c r="M8" s="2884"/>
      <c r="N8" s="2884"/>
      <c r="O8" s="2884"/>
      <c r="P8" s="3629" t="s">
        <v>2022</v>
      </c>
      <c r="Q8" s="3630"/>
      <c r="R8" s="1606" t="s">
        <v>34</v>
      </c>
      <c r="S8" s="1607">
        <f t="shared" si="0"/>
        <v>0</v>
      </c>
      <c r="T8" s="1606" t="s">
        <v>34</v>
      </c>
      <c r="U8" s="1607">
        <f t="shared" si="1"/>
        <v>0</v>
      </c>
      <c r="V8" s="1606" t="s">
        <v>34</v>
      </c>
      <c r="W8" s="1607">
        <f t="shared" si="2"/>
        <v>0</v>
      </c>
      <c r="X8" s="1608"/>
      <c r="Y8" s="3629" t="s">
        <v>2022</v>
      </c>
      <c r="Z8" s="3630"/>
      <c r="AA8" s="1609" t="e">
        <f t="shared" ref="AA8:AA46" si="3">D8/F8</f>
        <v>#DIV/0!</v>
      </c>
      <c r="AB8" s="1609" t="e">
        <f t="shared" ref="AB8:AB46" si="4">D8/H8</f>
        <v>#DIV/0!</v>
      </c>
      <c r="AC8" s="1609" t="e">
        <f t="shared" ref="AC8:AC46" si="5">D8/J8</f>
        <v>#DIV/0!</v>
      </c>
    </row>
    <row r="9" spans="1:29" s="1610" customFormat="1" ht="14.4">
      <c r="A9" s="1561" t="s">
        <v>2023</v>
      </c>
      <c r="B9" s="1613" t="s">
        <v>2024</v>
      </c>
      <c r="C9" s="1614"/>
      <c r="D9" s="1615">
        <v>100</v>
      </c>
      <c r="E9" s="1616"/>
      <c r="F9" s="1617">
        <f>SUMIF(63:63,E9,64:64)-SUMIF(63:63,C9,64:64)+100</f>
        <v>100</v>
      </c>
      <c r="G9" s="1618"/>
      <c r="H9" s="1615">
        <f>SUMIF(63:63,G9,64:64)-SUMIF(63:63,C9,64:64)+100</f>
        <v>100</v>
      </c>
      <c r="I9" s="1618"/>
      <c r="J9" s="1615">
        <f>SUMIF(63:63,I9,64:64)-SUMIF(63:63,C9,64:64)+100</f>
        <v>100</v>
      </c>
      <c r="K9" s="1604"/>
      <c r="L9" s="2911"/>
      <c r="M9" s="2884"/>
      <c r="N9" s="2884"/>
      <c r="O9" s="2884"/>
      <c r="P9" s="3632" t="s">
        <v>2025</v>
      </c>
      <c r="Q9" s="1560" t="str">
        <f t="shared" ref="Q9:Q15" si="6">B9</f>
        <v>用途</v>
      </c>
      <c r="R9" s="1606" t="s">
        <v>25</v>
      </c>
      <c r="S9" s="1607">
        <f t="shared" si="0"/>
        <v>100</v>
      </c>
      <c r="T9" s="1606" t="s">
        <v>25</v>
      </c>
      <c r="U9" s="1607">
        <f t="shared" si="1"/>
        <v>100</v>
      </c>
      <c r="V9" s="1606" t="s">
        <v>25</v>
      </c>
      <c r="W9" s="1607">
        <f t="shared" si="2"/>
        <v>100</v>
      </c>
      <c r="X9" s="1608"/>
      <c r="Y9" s="3497" t="s">
        <v>2026</v>
      </c>
      <c r="Z9" s="1619" t="str">
        <f t="shared" ref="Z9:Z15" si="7">Q9</f>
        <v>用途</v>
      </c>
      <c r="AA9" s="1609">
        <f t="shared" si="3"/>
        <v>1</v>
      </c>
      <c r="AB9" s="1609">
        <f t="shared" si="4"/>
        <v>1</v>
      </c>
      <c r="AC9" s="1609">
        <f t="shared" si="5"/>
        <v>1</v>
      </c>
    </row>
    <row r="10" spans="1:29" s="1627" customFormat="1" ht="28.8">
      <c r="A10" s="1620"/>
      <c r="B10" s="1621" t="s">
        <v>2027</v>
      </c>
      <c r="C10" s="1622"/>
      <c r="D10" s="1623">
        <v>100</v>
      </c>
      <c r="E10" s="1624"/>
      <c r="F10" s="1625">
        <f>SUMIF(65:65,E10,66:66)-SUMIF(65:65,C10,66:66)+100</f>
        <v>100</v>
      </c>
      <c r="G10" s="1622"/>
      <c r="H10" s="1623">
        <f>SUMIF(65:65,G10,66:66)-SUMIF(65:65,C10,66:66)+100</f>
        <v>100</v>
      </c>
      <c r="I10" s="1622"/>
      <c r="J10" s="1623">
        <f>SUMIF(65:65,I10,66:66)-SUMIF(65:65,C10,66:66)+100</f>
        <v>100</v>
      </c>
      <c r="K10" s="1626"/>
      <c r="L10" s="2913"/>
      <c r="M10" s="2914"/>
      <c r="N10" s="2914"/>
      <c r="O10" s="2914"/>
      <c r="P10" s="3632"/>
      <c r="Q10" s="1560" t="str">
        <f t="shared" si="6"/>
        <v>土地使用年限（年）</v>
      </c>
      <c r="R10" s="1606" t="s">
        <v>25</v>
      </c>
      <c r="S10" s="1607">
        <f t="shared" si="0"/>
        <v>100</v>
      </c>
      <c r="T10" s="1606" t="s">
        <v>25</v>
      </c>
      <c r="U10" s="1607">
        <f t="shared" si="1"/>
        <v>100</v>
      </c>
      <c r="V10" s="1606" t="s">
        <v>25</v>
      </c>
      <c r="W10" s="1607">
        <f t="shared" si="2"/>
        <v>100</v>
      </c>
      <c r="X10" s="1608"/>
      <c r="Y10" s="3497"/>
      <c r="Z10" s="1619" t="str">
        <f t="shared" si="7"/>
        <v>土地使用年限（年）</v>
      </c>
      <c r="AA10" s="1609">
        <f t="shared" si="3"/>
        <v>1</v>
      </c>
      <c r="AB10" s="1609">
        <f t="shared" si="4"/>
        <v>1</v>
      </c>
      <c r="AC10" s="1609">
        <f t="shared" si="5"/>
        <v>1</v>
      </c>
    </row>
    <row r="11" spans="1:29" ht="15">
      <c r="A11" s="1628"/>
      <c r="B11" s="1621" t="s">
        <v>2028</v>
      </c>
      <c r="C11" s="1629"/>
      <c r="D11" s="1623">
        <v>100</v>
      </c>
      <c r="E11" s="1630"/>
      <c r="F11" s="1625" t="e">
        <f>LOOKUP(E11,68:68,69:69)-LOOKUP(C11,68:68,69:69)+100</f>
        <v>#N/A</v>
      </c>
      <c r="G11" s="1629"/>
      <c r="H11" s="1623" t="e">
        <f>LOOKUP(G11,68:68,69:69)-LOOKUP(C11,68:68,69:69)+100</f>
        <v>#N/A</v>
      </c>
      <c r="I11" s="1629"/>
      <c r="J11" s="1623" t="e">
        <f>LOOKUP(I11,68:68,69:69)-LOOKUP(C11,68:68,69:69)+100</f>
        <v>#N/A</v>
      </c>
      <c r="K11" s="1626"/>
      <c r="L11" s="2915"/>
      <c r="M11" s="2912"/>
      <c r="N11" s="2912"/>
      <c r="O11" s="2912"/>
      <c r="P11" s="3632"/>
      <c r="Q11" s="1560" t="str">
        <f t="shared" si="6"/>
        <v>容积率</v>
      </c>
      <c r="R11" s="1606" t="s">
        <v>28</v>
      </c>
      <c r="S11" s="1607" t="e">
        <f t="shared" si="0"/>
        <v>#N/A</v>
      </c>
      <c r="T11" s="1606" t="s">
        <v>28</v>
      </c>
      <c r="U11" s="1607" t="e">
        <f t="shared" si="1"/>
        <v>#N/A</v>
      </c>
      <c r="V11" s="1606" t="s">
        <v>28</v>
      </c>
      <c r="W11" s="1607" t="e">
        <f t="shared" si="2"/>
        <v>#N/A</v>
      </c>
      <c r="X11" s="1608"/>
      <c r="Y11" s="3497"/>
      <c r="Z11" s="1619" t="str">
        <f t="shared" si="7"/>
        <v>容积率</v>
      </c>
      <c r="AA11" s="1609" t="e">
        <f t="shared" si="3"/>
        <v>#N/A</v>
      </c>
      <c r="AB11" s="1609" t="e">
        <f t="shared" si="4"/>
        <v>#N/A</v>
      </c>
      <c r="AC11" s="1609" t="e">
        <f t="shared" si="5"/>
        <v>#N/A</v>
      </c>
    </row>
    <row r="12" spans="1:29" s="1610" customFormat="1" ht="15">
      <c r="A12" s="1631"/>
      <c r="B12" s="1632">
        <v>111</v>
      </c>
      <c r="C12" s="1633"/>
      <c r="D12" s="1634">
        <v>100</v>
      </c>
      <c r="E12" s="1633"/>
      <c r="F12" s="1625">
        <f>SUMIF(70:70,E12,71:71)-SUMIF(70:70,C12,71:71)+100</f>
        <v>100</v>
      </c>
      <c r="G12" s="1633"/>
      <c r="H12" s="1623">
        <f>SUMIF(70:70,G12,71:71)-SUMIF(70:70,C12,71:71)+100</f>
        <v>100</v>
      </c>
      <c r="I12" s="1633"/>
      <c r="J12" s="1623">
        <f>SUMIF(70:70,I12,71:71)-SUMIF(70:70,C12,71:71)+100</f>
        <v>100</v>
      </c>
      <c r="K12" s="1635"/>
      <c r="L12" s="2911"/>
      <c r="M12" s="2884"/>
      <c r="N12" s="2884"/>
      <c r="O12" s="2884"/>
      <c r="P12" s="3632"/>
      <c r="Q12" s="1560">
        <f t="shared" si="6"/>
        <v>111</v>
      </c>
      <c r="R12" s="1606" t="s">
        <v>28</v>
      </c>
      <c r="S12" s="1607">
        <f t="shared" si="0"/>
        <v>100</v>
      </c>
      <c r="T12" s="1606" t="s">
        <v>28</v>
      </c>
      <c r="U12" s="1607">
        <f t="shared" si="1"/>
        <v>100</v>
      </c>
      <c r="V12" s="1606" t="s">
        <v>28</v>
      </c>
      <c r="W12" s="1607">
        <f t="shared" si="2"/>
        <v>100</v>
      </c>
      <c r="X12" s="1608"/>
      <c r="Y12" s="3497"/>
      <c r="Z12" s="1619">
        <f t="shared" si="7"/>
        <v>111</v>
      </c>
      <c r="AA12" s="1609">
        <f>D12/F12</f>
        <v>1</v>
      </c>
      <c r="AB12" s="1609">
        <f>D12/H12</f>
        <v>1</v>
      </c>
      <c r="AC12" s="1609">
        <f>D12/J12</f>
        <v>1</v>
      </c>
    </row>
    <row r="13" spans="1:29" ht="15">
      <c r="A13" s="1628"/>
      <c r="B13" s="1632">
        <v>111</v>
      </c>
      <c r="C13" s="1636"/>
      <c r="D13" s="1637">
        <v>100</v>
      </c>
      <c r="E13" s="1636"/>
      <c r="F13" s="1625">
        <f>SUMIF(72:72,E13,73:73)-SUMIF(72:72,C13,73:73)+100</f>
        <v>100</v>
      </c>
      <c r="G13" s="1636"/>
      <c r="H13" s="1637">
        <f>SUMIF(72:72,G13,73:73)-SUMIF(72:72,C13,73:73)+100</f>
        <v>100</v>
      </c>
      <c r="I13" s="1636"/>
      <c r="J13" s="1637">
        <f>SUMIF(72:72,I13,73:73)-SUMIF(72:72,C13,73:73)+100</f>
        <v>100</v>
      </c>
      <c r="K13" s="1635"/>
      <c r="L13" s="2916"/>
      <c r="M13" s="2912"/>
      <c r="N13" s="2912"/>
      <c r="O13" s="2912"/>
      <c r="P13" s="3632"/>
      <c r="Q13" s="1560">
        <f t="shared" si="6"/>
        <v>111</v>
      </c>
      <c r="R13" s="1606" t="s">
        <v>28</v>
      </c>
      <c r="S13" s="1607">
        <f t="shared" si="0"/>
        <v>100</v>
      </c>
      <c r="T13" s="1606" t="s">
        <v>28</v>
      </c>
      <c r="U13" s="1607">
        <f t="shared" si="1"/>
        <v>100</v>
      </c>
      <c r="V13" s="1606" t="s">
        <v>28</v>
      </c>
      <c r="W13" s="1607">
        <f t="shared" si="2"/>
        <v>100</v>
      </c>
      <c r="X13" s="1608"/>
      <c r="Y13" s="3497"/>
      <c r="Z13" s="1619">
        <f t="shared" si="7"/>
        <v>111</v>
      </c>
      <c r="AA13" s="1609">
        <f t="shared" si="3"/>
        <v>1</v>
      </c>
      <c r="AB13" s="1609">
        <f t="shared" si="4"/>
        <v>1</v>
      </c>
      <c r="AC13" s="1609">
        <f t="shared" si="5"/>
        <v>1</v>
      </c>
    </row>
    <row r="14" spans="1:29" ht="15.6" thickBot="1">
      <c r="A14" s="1638"/>
      <c r="B14" s="1639">
        <v>111</v>
      </c>
      <c r="C14" s="1640"/>
      <c r="D14" s="1641">
        <v>100</v>
      </c>
      <c r="E14" s="1640"/>
      <c r="F14" s="1642">
        <f>SUMIF(74:74,E14,75:75)-SUMIF(74:74,C14,75:75)+100</f>
        <v>100</v>
      </c>
      <c r="G14" s="1640"/>
      <c r="H14" s="1641">
        <f>SUMIF(74:74,G14,75:75)-SUMIF(74:74,C14,75:75)+100</f>
        <v>100</v>
      </c>
      <c r="I14" s="1640"/>
      <c r="J14" s="1641">
        <f>SUMIF(74:74,I14,75:75)-SUMIF(74:74,C14,75:75)+100</f>
        <v>100</v>
      </c>
      <c r="K14" s="1635"/>
      <c r="L14" s="2916"/>
      <c r="M14" s="2912"/>
      <c r="N14" s="2912"/>
      <c r="O14" s="2912"/>
      <c r="P14" s="3632"/>
      <c r="Q14" s="1560">
        <f t="shared" si="6"/>
        <v>111</v>
      </c>
      <c r="R14" s="1606" t="s">
        <v>28</v>
      </c>
      <c r="S14" s="1607">
        <f t="shared" si="0"/>
        <v>100</v>
      </c>
      <c r="T14" s="1606" t="s">
        <v>28</v>
      </c>
      <c r="U14" s="1607">
        <f t="shared" si="1"/>
        <v>100</v>
      </c>
      <c r="V14" s="1606" t="s">
        <v>28</v>
      </c>
      <c r="W14" s="1607">
        <f t="shared" si="2"/>
        <v>100</v>
      </c>
      <c r="X14" s="1608"/>
      <c r="Y14" s="3497"/>
      <c r="Z14" s="1619">
        <f t="shared" si="7"/>
        <v>111</v>
      </c>
      <c r="AA14" s="1609">
        <f t="shared" si="3"/>
        <v>1</v>
      </c>
      <c r="AB14" s="1609">
        <f t="shared" si="4"/>
        <v>1</v>
      </c>
      <c r="AC14" s="1609">
        <f t="shared" si="5"/>
        <v>1</v>
      </c>
    </row>
    <row r="15" spans="1:29" ht="96.6">
      <c r="A15" s="1643" t="s">
        <v>2029</v>
      </c>
      <c r="B15" s="1644" t="s">
        <v>1464</v>
      </c>
      <c r="C15" s="1645" t="str">
        <f>估价对象房地状况!C3</f>
        <v>估价对象周边居住用地比例、居住小区规模和社区发展完善程度，综合评价居住社区成熟度一般</v>
      </c>
      <c r="D15" s="1646">
        <v>100</v>
      </c>
      <c r="E15" s="1647"/>
      <c r="F15" s="1648">
        <f>SUMIF(76:76,E16,77:77)-SUMIF(76:76,C16,77:77)+100</f>
        <v>100</v>
      </c>
      <c r="G15" s="1649"/>
      <c r="H15" s="1646">
        <f>SUMIF(76:76,G16,77:77)-SUMIF(76:76,C16,77:77)+100</f>
        <v>100</v>
      </c>
      <c r="I15" s="1647"/>
      <c r="J15" s="1646">
        <f>SUMIF(76:76,I16,77:77)-SUMIF(76:76,C16,77:77)+100</f>
        <v>100</v>
      </c>
      <c r="K15" s="1650"/>
      <c r="L15" s="2916"/>
      <c r="M15" s="2912"/>
      <c r="N15" s="2912"/>
      <c r="O15" s="2912"/>
      <c r="P15" s="3635" t="s">
        <v>2030</v>
      </c>
      <c r="Q15" s="1541" t="str">
        <f t="shared" si="6"/>
        <v>居住社区成熟度</v>
      </c>
      <c r="R15" s="1651" t="s">
        <v>28</v>
      </c>
      <c r="S15" s="1652">
        <f t="shared" si="0"/>
        <v>100</v>
      </c>
      <c r="T15" s="1651" t="s">
        <v>28</v>
      </c>
      <c r="U15" s="1652">
        <f t="shared" si="1"/>
        <v>100</v>
      </c>
      <c r="V15" s="1651" t="s">
        <v>28</v>
      </c>
      <c r="W15" s="1652">
        <f t="shared" si="2"/>
        <v>100</v>
      </c>
      <c r="X15" s="1591"/>
      <c r="Y15" s="3622" t="s">
        <v>2030</v>
      </c>
      <c r="Z15" s="1653" t="str">
        <f t="shared" si="7"/>
        <v>居住社区成熟度</v>
      </c>
      <c r="AA15" s="1654">
        <f t="shared" si="3"/>
        <v>1</v>
      </c>
      <c r="AB15" s="1654">
        <f t="shared" si="4"/>
        <v>1</v>
      </c>
      <c r="AC15" s="1654">
        <f t="shared" si="5"/>
        <v>1</v>
      </c>
    </row>
    <row r="16" spans="1:29" ht="15">
      <c r="A16" s="1628"/>
      <c r="B16" s="1655"/>
      <c r="C16" s="1656"/>
      <c r="D16" s="1657"/>
      <c r="E16" s="1658"/>
      <c r="F16" s="1659"/>
      <c r="G16" s="1660"/>
      <c r="H16" s="1661"/>
      <c r="I16" s="1658"/>
      <c r="J16" s="1657"/>
      <c r="K16" s="1662"/>
      <c r="L16" s="2916"/>
      <c r="M16" s="2912"/>
      <c r="N16" s="2912"/>
      <c r="O16" s="2912"/>
      <c r="P16" s="3636"/>
      <c r="Q16" s="1541"/>
      <c r="R16" s="1651"/>
      <c r="S16" s="1652"/>
      <c r="T16" s="1651"/>
      <c r="U16" s="1652"/>
      <c r="V16" s="1651"/>
      <c r="W16" s="1652"/>
      <c r="X16" s="1591"/>
      <c r="Y16" s="3623"/>
      <c r="Z16" s="1653"/>
      <c r="AA16" s="1654">
        <v>1</v>
      </c>
      <c r="AB16" s="1654">
        <v>1</v>
      </c>
      <c r="AC16" s="1654">
        <v>1</v>
      </c>
    </row>
    <row r="17" spans="1:29" ht="82.8">
      <c r="A17" s="1628"/>
      <c r="B17" s="1663" t="s">
        <v>1466</v>
      </c>
      <c r="C17" s="1664" t="str">
        <f>估价对象房地状况!C6</f>
        <v>估价对象周边道路状况、公共交通通达情况、停车便捷程度，综合评价交通便捷度较好</v>
      </c>
      <c r="D17" s="1661">
        <v>100</v>
      </c>
      <c r="E17" s="1665"/>
      <c r="F17" s="1666">
        <f>SUMIF(78:78,E18,79:79)-SUMIF(78:78,C18,79:79)+100</f>
        <v>100</v>
      </c>
      <c r="G17" s="1667"/>
      <c r="H17" s="1668">
        <f>SUMIF(78:78,G18,79:79)-SUMIF(78:78,C18,79:79)+100</f>
        <v>100</v>
      </c>
      <c r="I17" s="1665"/>
      <c r="J17" s="1668">
        <f>SUMIF(78:78,I18,79:79)-SUMIF(78:78,C18,79:79)+100</f>
        <v>100</v>
      </c>
      <c r="K17" s="1650"/>
      <c r="L17" s="2916"/>
      <c r="M17" s="2912"/>
      <c r="N17" s="2912"/>
      <c r="O17" s="2912"/>
      <c r="P17" s="3636"/>
      <c r="Q17" s="1541" t="str">
        <f>B17</f>
        <v>交通便捷度</v>
      </c>
      <c r="R17" s="1651" t="s">
        <v>28</v>
      </c>
      <c r="S17" s="1652">
        <f>F17</f>
        <v>100</v>
      </c>
      <c r="T17" s="1651" t="s">
        <v>28</v>
      </c>
      <c r="U17" s="1652">
        <f>H17</f>
        <v>100</v>
      </c>
      <c r="V17" s="1651" t="s">
        <v>28</v>
      </c>
      <c r="W17" s="1652">
        <f>J17</f>
        <v>100</v>
      </c>
      <c r="X17" s="1591"/>
      <c r="Y17" s="3623"/>
      <c r="Z17" s="1653" t="str">
        <f>Q17</f>
        <v>交通便捷度</v>
      </c>
      <c r="AA17" s="1654">
        <f t="shared" si="3"/>
        <v>1</v>
      </c>
      <c r="AB17" s="1654">
        <f t="shared" si="4"/>
        <v>1</v>
      </c>
      <c r="AC17" s="1654">
        <f t="shared" si="5"/>
        <v>1</v>
      </c>
    </row>
    <row r="18" spans="1:29" ht="15">
      <c r="A18" s="1628"/>
      <c r="B18" s="1669"/>
      <c r="C18" s="1670"/>
      <c r="D18" s="1661"/>
      <c r="E18" s="1671"/>
      <c r="F18" s="1666"/>
      <c r="G18" s="1672"/>
      <c r="H18" s="1657"/>
      <c r="I18" s="1671"/>
      <c r="J18" s="1657"/>
      <c r="K18" s="1662"/>
      <c r="L18" s="2916"/>
      <c r="M18" s="2912"/>
      <c r="N18" s="2912"/>
      <c r="O18" s="2912"/>
      <c r="P18" s="3636"/>
      <c r="Q18" s="1541"/>
      <c r="R18" s="1651"/>
      <c r="S18" s="1652"/>
      <c r="T18" s="1651"/>
      <c r="U18" s="1652"/>
      <c r="V18" s="1651"/>
      <c r="W18" s="1652"/>
      <c r="X18" s="1591"/>
      <c r="Y18" s="3623"/>
      <c r="Z18" s="1653"/>
      <c r="AA18" s="1654">
        <v>1</v>
      </c>
      <c r="AB18" s="1654">
        <v>1</v>
      </c>
      <c r="AC18" s="1654">
        <v>1</v>
      </c>
    </row>
    <row r="19" spans="1:29" ht="41.4">
      <c r="A19" s="1628"/>
      <c r="B19" s="1663" t="s">
        <v>1465</v>
      </c>
      <c r="C19" s="1664" t="str">
        <f>估价对象房地状况!C7</f>
        <v>估价对象所在区域公共配套设施齐备情况</v>
      </c>
      <c r="D19" s="1668">
        <v>100</v>
      </c>
      <c r="E19" s="1673"/>
      <c r="F19" s="1674">
        <f>SUMIF(80:80,E20,81:81)-SUMIF(80:80,C20,81:81)+100</f>
        <v>100</v>
      </c>
      <c r="G19" s="1675"/>
      <c r="H19" s="1661">
        <f>SUMIF(80:80,G20,81:81)-SUMIF(80:80,C20,81:81)+100</f>
        <v>100</v>
      </c>
      <c r="I19" s="1673"/>
      <c r="J19" s="1661">
        <f>SUMIF(80:80,I20,81:81)-SUMIF(80:80,C20,81:81)+100</f>
        <v>100</v>
      </c>
      <c r="K19" s="1650"/>
      <c r="L19" s="2916"/>
      <c r="M19" s="2912"/>
      <c r="N19" s="2912"/>
      <c r="O19" s="2912"/>
      <c r="P19" s="3636"/>
      <c r="Q19" s="1541" t="str">
        <f>B19</f>
        <v>公共配套设施</v>
      </c>
      <c r="R19" s="1651" t="s">
        <v>28</v>
      </c>
      <c r="S19" s="1652">
        <f>F19</f>
        <v>100</v>
      </c>
      <c r="T19" s="1651" t="s">
        <v>28</v>
      </c>
      <c r="U19" s="1652">
        <f>H19</f>
        <v>100</v>
      </c>
      <c r="V19" s="1651" t="s">
        <v>28</v>
      </c>
      <c r="W19" s="1652">
        <f>J19</f>
        <v>100</v>
      </c>
      <c r="X19" s="1591"/>
      <c r="Y19" s="3623"/>
      <c r="Z19" s="1653" t="str">
        <f>Q19</f>
        <v>公共配套设施</v>
      </c>
      <c r="AA19" s="1654">
        <f t="shared" si="3"/>
        <v>1</v>
      </c>
      <c r="AB19" s="1654">
        <f t="shared" si="4"/>
        <v>1</v>
      </c>
      <c r="AC19" s="1654">
        <f t="shared" si="5"/>
        <v>1</v>
      </c>
    </row>
    <row r="20" spans="1:29" ht="15">
      <c r="A20" s="1628"/>
      <c r="B20" s="1669"/>
      <c r="C20" s="1656"/>
      <c r="D20" s="1657"/>
      <c r="E20" s="1658"/>
      <c r="F20" s="1659"/>
      <c r="G20" s="1660"/>
      <c r="H20" s="1657"/>
      <c r="I20" s="1658"/>
      <c r="J20" s="1657"/>
      <c r="K20" s="1662"/>
      <c r="L20" s="2916"/>
      <c r="M20" s="2912"/>
      <c r="N20" s="2912"/>
      <c r="O20" s="2912"/>
      <c r="P20" s="3636"/>
      <c r="Q20" s="1541"/>
      <c r="R20" s="1651"/>
      <c r="S20" s="1652"/>
      <c r="T20" s="1651"/>
      <c r="U20" s="1652"/>
      <c r="V20" s="1651"/>
      <c r="W20" s="1652"/>
      <c r="X20" s="1591"/>
      <c r="Y20" s="3623"/>
      <c r="Z20" s="1653"/>
      <c r="AA20" s="1654">
        <v>1</v>
      </c>
      <c r="AB20" s="1654">
        <v>1</v>
      </c>
      <c r="AC20" s="1654">
        <v>1</v>
      </c>
    </row>
    <row r="21" spans="1:29" ht="27.6">
      <c r="A21" s="1628"/>
      <c r="B21" s="1676" t="s">
        <v>1467</v>
      </c>
      <c r="C21" s="1664" t="str">
        <f>估价对象房地状况!C8</f>
        <v>估价对象所在区域基础设施水平</v>
      </c>
      <c r="D21" s="1668">
        <v>100</v>
      </c>
      <c r="E21" s="1673"/>
      <c r="F21" s="1674">
        <f>SUMIF(82:82,E22,83:83)-SUMIF(82:82,C22,83:83)+100</f>
        <v>100</v>
      </c>
      <c r="G21" s="1675"/>
      <c r="H21" s="1661">
        <f>SUMIF(82:82,G22,83:83)-SUMIF(82:82,C22,83:83)+100</f>
        <v>100</v>
      </c>
      <c r="I21" s="1673"/>
      <c r="J21" s="1661">
        <f>SUMIF(82:82,I22,83:83)-SUMIF(82:82,C22,83:83)+100</f>
        <v>100</v>
      </c>
      <c r="K21" s="1650"/>
      <c r="L21" s="2916"/>
      <c r="M21" s="2912"/>
      <c r="N21" s="2912"/>
      <c r="O21" s="2912"/>
      <c r="P21" s="3636"/>
      <c r="Q21" s="1541" t="str">
        <f>B21</f>
        <v>基础设施水平</v>
      </c>
      <c r="R21" s="1651" t="s">
        <v>28</v>
      </c>
      <c r="S21" s="1652">
        <f>F21</f>
        <v>100</v>
      </c>
      <c r="T21" s="1651" t="s">
        <v>28</v>
      </c>
      <c r="U21" s="1652">
        <f>H21</f>
        <v>100</v>
      </c>
      <c r="V21" s="1651" t="s">
        <v>28</v>
      </c>
      <c r="W21" s="1652">
        <f>J21</f>
        <v>100</v>
      </c>
      <c r="X21" s="1591"/>
      <c r="Y21" s="3623"/>
      <c r="Z21" s="1653" t="str">
        <f>Q21</f>
        <v>基础设施水平</v>
      </c>
      <c r="AA21" s="1654">
        <f t="shared" ref="AA21" si="8">D21/F21</f>
        <v>1</v>
      </c>
      <c r="AB21" s="1654">
        <f t="shared" ref="AB21" si="9">D21/H21</f>
        <v>1</v>
      </c>
      <c r="AC21" s="1654">
        <f t="shared" ref="AC21" si="10">D21/J21</f>
        <v>1</v>
      </c>
    </row>
    <row r="22" spans="1:29" ht="15">
      <c r="A22" s="1628"/>
      <c r="B22" s="1676"/>
      <c r="C22" s="1670"/>
      <c r="D22" s="1657"/>
      <c r="E22" s="1656"/>
      <c r="F22" s="1659"/>
      <c r="G22" s="1656"/>
      <c r="H22" s="1657"/>
      <c r="I22" s="1656"/>
      <c r="J22" s="1657"/>
      <c r="K22" s="1677"/>
      <c r="L22" s="2916"/>
      <c r="M22" s="2912"/>
      <c r="N22" s="2912"/>
      <c r="O22" s="2912"/>
      <c r="P22" s="3636"/>
      <c r="Q22" s="1541"/>
      <c r="R22" s="1651"/>
      <c r="S22" s="1652"/>
      <c r="T22" s="1651"/>
      <c r="U22" s="1652"/>
      <c r="V22" s="1651"/>
      <c r="W22" s="1652"/>
      <c r="X22" s="1591"/>
      <c r="Y22" s="3623"/>
      <c r="Z22" s="1653"/>
      <c r="AA22" s="1654">
        <v>1</v>
      </c>
      <c r="AB22" s="1654">
        <v>1</v>
      </c>
      <c r="AC22" s="1654">
        <v>1</v>
      </c>
    </row>
    <row r="23" spans="1:29" ht="55.2">
      <c r="A23" s="1628"/>
      <c r="B23" s="1663" t="s">
        <v>1468</v>
      </c>
      <c r="C23" s="1664" t="str">
        <f>估价对象房地状况!C9</f>
        <v>区域自然环境：；人文环境；综合评价环境状况一般</v>
      </c>
      <c r="D23" s="1661">
        <v>100</v>
      </c>
      <c r="E23" s="1665"/>
      <c r="F23" s="1666">
        <f>SUMIF(84:84,E24,85:85)-SUMIF(84:84,C24,85:85)+100</f>
        <v>100</v>
      </c>
      <c r="G23" s="1667"/>
      <c r="H23" s="1661">
        <f>SUMIF(84:84,G24,85:85)-SUMIF(84:84,C24,85:85)+100</f>
        <v>100</v>
      </c>
      <c r="I23" s="1665"/>
      <c r="J23" s="1661">
        <f>SUMIF(84:84,I24,85:85)-SUMIF(84:84,C24,85:85)+100</f>
        <v>100</v>
      </c>
      <c r="K23" s="1650"/>
      <c r="L23" s="2916"/>
      <c r="M23" s="2912"/>
      <c r="N23" s="2912"/>
      <c r="O23" s="2912"/>
      <c r="P23" s="3636"/>
      <c r="Q23" s="1541" t="str">
        <f>B23</f>
        <v>自然及人文环境</v>
      </c>
      <c r="R23" s="1651" t="s">
        <v>28</v>
      </c>
      <c r="S23" s="1652">
        <f>F23</f>
        <v>100</v>
      </c>
      <c r="T23" s="1651" t="s">
        <v>28</v>
      </c>
      <c r="U23" s="1652">
        <f>H23</f>
        <v>100</v>
      </c>
      <c r="V23" s="1651" t="s">
        <v>28</v>
      </c>
      <c r="W23" s="1652">
        <f>J23</f>
        <v>100</v>
      </c>
      <c r="X23" s="1591"/>
      <c r="Y23" s="3623"/>
      <c r="Z23" s="1653" t="str">
        <f>Q23</f>
        <v>自然及人文环境</v>
      </c>
      <c r="AA23" s="1654">
        <f t="shared" si="3"/>
        <v>1</v>
      </c>
      <c r="AB23" s="1654">
        <f t="shared" si="4"/>
        <v>1</v>
      </c>
      <c r="AC23" s="1654">
        <f t="shared" si="5"/>
        <v>1</v>
      </c>
    </row>
    <row r="24" spans="1:29" ht="15">
      <c r="A24" s="1628"/>
      <c r="B24" s="1669"/>
      <c r="C24" s="1656"/>
      <c r="D24" s="1657"/>
      <c r="E24" s="1658"/>
      <c r="F24" s="1659"/>
      <c r="G24" s="1660"/>
      <c r="H24" s="1657"/>
      <c r="I24" s="1658"/>
      <c r="J24" s="1657"/>
      <c r="K24" s="1662"/>
      <c r="L24" s="2916"/>
      <c r="M24" s="2912"/>
      <c r="N24" s="2912"/>
      <c r="O24" s="2912"/>
      <c r="P24" s="3636"/>
      <c r="Q24" s="1541"/>
      <c r="R24" s="1651"/>
      <c r="S24" s="1652"/>
      <c r="T24" s="1651"/>
      <c r="U24" s="1652"/>
      <c r="V24" s="1651"/>
      <c r="W24" s="1652"/>
      <c r="X24" s="1591"/>
      <c r="Y24" s="3623"/>
      <c r="Z24" s="1653"/>
      <c r="AA24" s="1654">
        <v>1</v>
      </c>
      <c r="AB24" s="1654">
        <v>1</v>
      </c>
      <c r="AC24" s="1654">
        <v>1</v>
      </c>
    </row>
    <row r="25" spans="1:29" ht="15">
      <c r="A25" s="1628"/>
      <c r="B25" s="1621" t="s">
        <v>2031</v>
      </c>
      <c r="C25" s="1678"/>
      <c r="D25" s="1637">
        <v>100</v>
      </c>
      <c r="E25" s="1679"/>
      <c r="F25" s="1680">
        <f>SUMIF(86:86,E25,87:87)-SUMIF(86:86,C25,87:87)+100</f>
        <v>100</v>
      </c>
      <c r="G25" s="1681"/>
      <c r="H25" s="1637">
        <f>SUMIF(86:86,G25,87:87)-SUMIF(86:86,C25,87:87)+100</f>
        <v>100</v>
      </c>
      <c r="I25" s="1679"/>
      <c r="J25" s="1637">
        <f>SUMIF(86:86,I25,87:87)-SUMIF(86:86,C25,87:87)+100</f>
        <v>100</v>
      </c>
      <c r="K25" s="1626"/>
      <c r="L25" s="2916"/>
      <c r="M25" s="2912"/>
      <c r="N25" s="2912"/>
      <c r="O25" s="2912"/>
      <c r="P25" s="3636"/>
      <c r="Q25" s="1541" t="str">
        <f t="shared" ref="Q25:Q46" si="11">B25</f>
        <v>楼层-1</v>
      </c>
      <c r="R25" s="1651" t="s">
        <v>28</v>
      </c>
      <c r="S25" s="1652">
        <f>F25</f>
        <v>100</v>
      </c>
      <c r="T25" s="1651" t="s">
        <v>28</v>
      </c>
      <c r="U25" s="1652">
        <f>H25</f>
        <v>100</v>
      </c>
      <c r="V25" s="1651" t="s">
        <v>28</v>
      </c>
      <c r="W25" s="1652">
        <f>J25</f>
        <v>100</v>
      </c>
      <c r="X25" s="1591"/>
      <c r="Y25" s="3623"/>
      <c r="Z25" s="1653" t="str">
        <f>Q25</f>
        <v>楼层-1</v>
      </c>
      <c r="AA25" s="1654">
        <f t="shared" si="3"/>
        <v>1</v>
      </c>
      <c r="AB25" s="1654">
        <f t="shared" si="4"/>
        <v>1</v>
      </c>
      <c r="AC25" s="1654">
        <f t="shared" si="5"/>
        <v>1</v>
      </c>
    </row>
    <row r="26" spans="1:29" ht="15">
      <c r="A26" s="1628"/>
      <c r="B26" s="1621" t="s">
        <v>2032</v>
      </c>
      <c r="C26" s="1678"/>
      <c r="D26" s="1637">
        <v>100</v>
      </c>
      <c r="E26" s="1679"/>
      <c r="F26" s="1680">
        <f>SUMIF(88:88,E26,89:89)-SUMIF(88:88,C26,89:89)+100</f>
        <v>100</v>
      </c>
      <c r="G26" s="1681"/>
      <c r="H26" s="1637">
        <f>SUMIF(88:88,G26,89:89)-SUMIF(88:88,C26,89:89)+100</f>
        <v>100</v>
      </c>
      <c r="I26" s="1679"/>
      <c r="J26" s="1637">
        <f>SUMIF(88:88,I26,89:89)-SUMIF(88:88,C26,89:89)+100</f>
        <v>100</v>
      </c>
      <c r="K26" s="1626"/>
      <c r="L26" s="2916"/>
      <c r="M26" s="2912"/>
      <c r="N26" s="2912"/>
      <c r="O26" s="2912"/>
      <c r="P26" s="3636"/>
      <c r="Q26" s="1541" t="str">
        <f t="shared" si="11"/>
        <v>朝向</v>
      </c>
      <c r="R26" s="1651" t="s">
        <v>28</v>
      </c>
      <c r="S26" s="1652">
        <f>F26</f>
        <v>100</v>
      </c>
      <c r="T26" s="1651" t="s">
        <v>28</v>
      </c>
      <c r="U26" s="1652">
        <f>H26</f>
        <v>100</v>
      </c>
      <c r="V26" s="1651" t="s">
        <v>28</v>
      </c>
      <c r="W26" s="1652">
        <f>J26</f>
        <v>100</v>
      </c>
      <c r="X26" s="1591"/>
      <c r="Y26" s="3623"/>
      <c r="Z26" s="1653" t="str">
        <f>Q26</f>
        <v>朝向</v>
      </c>
      <c r="AA26" s="1654">
        <f t="shared" si="3"/>
        <v>1</v>
      </c>
      <c r="AB26" s="1654">
        <f t="shared" si="4"/>
        <v>1</v>
      </c>
      <c r="AC26" s="1654">
        <f t="shared" si="5"/>
        <v>1</v>
      </c>
    </row>
    <row r="27" spans="1:29" s="1610" customFormat="1" ht="15">
      <c r="A27" s="1631"/>
      <c r="B27" s="1632" t="s">
        <v>2033</v>
      </c>
      <c r="C27" s="1633"/>
      <c r="D27" s="1682">
        <v>100</v>
      </c>
      <c r="E27" s="1683"/>
      <c r="F27" s="1684">
        <f>SUMIF(90:90,E27,91:91)-SUMIF(90:90,C27,91:91)+100</f>
        <v>100</v>
      </c>
      <c r="G27" s="1685"/>
      <c r="H27" s="1682">
        <f>SUMIF(90:90,G27,91:91)-SUMIF(90:90,C27,91:91)+100</f>
        <v>100</v>
      </c>
      <c r="I27" s="1683"/>
      <c r="J27" s="1682">
        <f>SUMIF(90:90,I27,91:91)-SUMIF(90:90,C27,91:91)+100</f>
        <v>100</v>
      </c>
      <c r="K27" s="1635"/>
      <c r="L27" s="2911"/>
      <c r="M27" s="2884"/>
      <c r="N27" s="2884"/>
      <c r="O27" s="2884"/>
      <c r="P27" s="3636"/>
      <c r="Q27" s="1560" t="str">
        <f t="shared" si="11"/>
        <v>道路级别</v>
      </c>
      <c r="R27" s="1606" t="s">
        <v>28</v>
      </c>
      <c r="S27" s="1607">
        <f>F27</f>
        <v>100</v>
      </c>
      <c r="T27" s="1606" t="s">
        <v>28</v>
      </c>
      <c r="U27" s="1607">
        <f>H27</f>
        <v>100</v>
      </c>
      <c r="V27" s="1606" t="s">
        <v>28</v>
      </c>
      <c r="W27" s="1607">
        <f>J27</f>
        <v>100</v>
      </c>
      <c r="X27" s="1608"/>
      <c r="Y27" s="3623"/>
      <c r="Z27" s="1619" t="str">
        <f>Q27</f>
        <v>道路级别</v>
      </c>
      <c r="AA27" s="1654">
        <f>D27/F27</f>
        <v>1</v>
      </c>
      <c r="AB27" s="1654">
        <f>D27/H27</f>
        <v>1</v>
      </c>
      <c r="AC27" s="1654">
        <f>D27/J27</f>
        <v>1</v>
      </c>
    </row>
    <row r="28" spans="1:29" ht="15">
      <c r="A28" s="1628"/>
      <c r="B28" s="1686">
        <v>111</v>
      </c>
      <c r="C28" s="1636"/>
      <c r="D28" s="1637">
        <v>100</v>
      </c>
      <c r="E28" s="1636"/>
      <c r="F28" s="1680">
        <f>SUMIF(92:92,E28,93:93)-SUMIF(92:92,C28,93:93)+100</f>
        <v>100</v>
      </c>
      <c r="G28" s="1636"/>
      <c r="H28" s="1637">
        <f>SUMIF(92:92,G28,93:93)-SUMIF(92:92,C28,93:93)+100</f>
        <v>100</v>
      </c>
      <c r="I28" s="1636"/>
      <c r="J28" s="1637">
        <f>SUMIF(92:92,I28,93:93)-SUMIF(92:92,C28,93:93)+100</f>
        <v>100</v>
      </c>
      <c r="K28" s="1635"/>
      <c r="L28" s="2916"/>
      <c r="M28" s="2912"/>
      <c r="N28" s="2912"/>
      <c r="O28" s="2912"/>
      <c r="P28" s="3636"/>
      <c r="Q28" s="1541">
        <f t="shared" si="11"/>
        <v>111</v>
      </c>
      <c r="R28" s="1651" t="s">
        <v>28</v>
      </c>
      <c r="S28" s="1652">
        <f t="shared" ref="S28:S46" si="12">F28</f>
        <v>100</v>
      </c>
      <c r="T28" s="1651" t="s">
        <v>28</v>
      </c>
      <c r="U28" s="1652">
        <f t="shared" ref="U28:U46" si="13">H28</f>
        <v>100</v>
      </c>
      <c r="V28" s="1651" t="s">
        <v>28</v>
      </c>
      <c r="W28" s="1652">
        <f t="shared" ref="W28:W46" si="14">J28</f>
        <v>100</v>
      </c>
      <c r="X28" s="1591"/>
      <c r="Y28" s="3623"/>
      <c r="Z28" s="1653">
        <f t="shared" ref="Z28:Z46" si="15">Q28</f>
        <v>111</v>
      </c>
      <c r="AA28" s="1654">
        <f t="shared" si="3"/>
        <v>1</v>
      </c>
      <c r="AB28" s="1654">
        <f t="shared" si="4"/>
        <v>1</v>
      </c>
      <c r="AC28" s="1654">
        <f t="shared" si="5"/>
        <v>1</v>
      </c>
    </row>
    <row r="29" spans="1:29" ht="15">
      <c r="A29" s="1628"/>
      <c r="B29" s="1686">
        <v>111</v>
      </c>
      <c r="C29" s="1636"/>
      <c r="D29" s="1637">
        <v>100</v>
      </c>
      <c r="E29" s="1636"/>
      <c r="F29" s="1680">
        <f>SUMIF(94:94,E29,95:95)-SUMIF(94:94,C29,95:95)+100</f>
        <v>100</v>
      </c>
      <c r="G29" s="1636"/>
      <c r="H29" s="1637">
        <f>SUMIF(94:94,G29,95:95)-SUMIF(94:94,C29,95:95)+100</f>
        <v>100</v>
      </c>
      <c r="I29" s="1636"/>
      <c r="J29" s="1637">
        <f>SUMIF(94:94,I29,95:95)-SUMIF(94:94,C29,95:95)+100</f>
        <v>100</v>
      </c>
      <c r="K29" s="1635"/>
      <c r="L29" s="2916"/>
      <c r="M29" s="2912"/>
      <c r="N29" s="2912"/>
      <c r="O29" s="2912"/>
      <c r="P29" s="3636"/>
      <c r="Q29" s="1541">
        <f t="shared" si="11"/>
        <v>111</v>
      </c>
      <c r="R29" s="1651" t="s">
        <v>28</v>
      </c>
      <c r="S29" s="1652">
        <f t="shared" si="12"/>
        <v>100</v>
      </c>
      <c r="T29" s="1651" t="s">
        <v>28</v>
      </c>
      <c r="U29" s="1652">
        <f t="shared" si="13"/>
        <v>100</v>
      </c>
      <c r="V29" s="1651" t="s">
        <v>28</v>
      </c>
      <c r="W29" s="1652">
        <f t="shared" si="14"/>
        <v>100</v>
      </c>
      <c r="X29" s="1591"/>
      <c r="Y29" s="3623"/>
      <c r="Z29" s="1653">
        <f t="shared" si="15"/>
        <v>111</v>
      </c>
      <c r="AA29" s="1654">
        <f t="shared" si="3"/>
        <v>1</v>
      </c>
      <c r="AB29" s="1654">
        <f t="shared" si="4"/>
        <v>1</v>
      </c>
      <c r="AC29" s="1654">
        <f t="shared" si="5"/>
        <v>1</v>
      </c>
    </row>
    <row r="30" spans="1:29" ht="15">
      <c r="A30" s="1628"/>
      <c r="B30" s="1686">
        <v>111</v>
      </c>
      <c r="C30" s="1636"/>
      <c r="D30" s="1637">
        <v>100</v>
      </c>
      <c r="E30" s="1636"/>
      <c r="F30" s="1680">
        <f>SUMIF(96:96,E30,97:97)-SUMIF(96:96,C30,97:97)+100</f>
        <v>100</v>
      </c>
      <c r="G30" s="1636"/>
      <c r="H30" s="1637">
        <f>SUMIF(96:96,G30,97:97)-SUMIF(96:96,C30,97:97)+100</f>
        <v>100</v>
      </c>
      <c r="I30" s="1636"/>
      <c r="J30" s="1637">
        <f>SUMIF(96:96,I30,97:97)-SUMIF(96:96,C30,97:97)+100</f>
        <v>100</v>
      </c>
      <c r="K30" s="1635"/>
      <c r="L30" s="2916"/>
      <c r="M30" s="2912"/>
      <c r="N30" s="2912"/>
      <c r="O30" s="2912"/>
      <c r="P30" s="3636"/>
      <c r="Q30" s="1541">
        <f t="shared" si="11"/>
        <v>111</v>
      </c>
      <c r="R30" s="1651" t="s">
        <v>28</v>
      </c>
      <c r="S30" s="1652">
        <f t="shared" si="12"/>
        <v>100</v>
      </c>
      <c r="T30" s="1651" t="s">
        <v>28</v>
      </c>
      <c r="U30" s="1652">
        <f t="shared" si="13"/>
        <v>100</v>
      </c>
      <c r="V30" s="1651" t="s">
        <v>28</v>
      </c>
      <c r="W30" s="1652">
        <f t="shared" si="14"/>
        <v>100</v>
      </c>
      <c r="X30" s="1591"/>
      <c r="Y30" s="3623"/>
      <c r="Z30" s="1653">
        <f t="shared" si="15"/>
        <v>111</v>
      </c>
      <c r="AA30" s="1654">
        <f t="shared" si="3"/>
        <v>1</v>
      </c>
      <c r="AB30" s="1654">
        <f t="shared" si="4"/>
        <v>1</v>
      </c>
      <c r="AC30" s="1654">
        <f t="shared" si="5"/>
        <v>1</v>
      </c>
    </row>
    <row r="31" spans="1:29" ht="15.6" thickBot="1">
      <c r="A31" s="1638"/>
      <c r="B31" s="1686">
        <v>111</v>
      </c>
      <c r="C31" s="1640"/>
      <c r="D31" s="1641">
        <v>100</v>
      </c>
      <c r="E31" s="1640"/>
      <c r="F31" s="1642">
        <f>SUMIF(98:98,E31,99:99)-SUMIF(98:98,C31,99:99)+100</f>
        <v>100</v>
      </c>
      <c r="G31" s="1640"/>
      <c r="H31" s="1641">
        <f>SUMIF(98:98,G31,99:99)-SUMIF(98:98,C31,99:99)+100</f>
        <v>100</v>
      </c>
      <c r="I31" s="1640"/>
      <c r="J31" s="1641">
        <f>SUMIF(98:98,I31,99:99)-SUMIF(98:98,C31,99:99)+100</f>
        <v>100</v>
      </c>
      <c r="K31" s="1635"/>
      <c r="L31" s="2916"/>
      <c r="M31" s="2912"/>
      <c r="N31" s="2912"/>
      <c r="O31" s="2912"/>
      <c r="P31" s="3636"/>
      <c r="Q31" s="1541">
        <f t="shared" si="11"/>
        <v>111</v>
      </c>
      <c r="R31" s="1651" t="s">
        <v>28</v>
      </c>
      <c r="S31" s="1652">
        <f t="shared" si="12"/>
        <v>100</v>
      </c>
      <c r="T31" s="1651" t="s">
        <v>28</v>
      </c>
      <c r="U31" s="1652">
        <f t="shared" si="13"/>
        <v>100</v>
      </c>
      <c r="V31" s="1651" t="s">
        <v>28</v>
      </c>
      <c r="W31" s="1652">
        <f t="shared" si="14"/>
        <v>100</v>
      </c>
      <c r="X31" s="1591"/>
      <c r="Y31" s="3623"/>
      <c r="Z31" s="1653">
        <f t="shared" si="15"/>
        <v>111</v>
      </c>
      <c r="AA31" s="1654">
        <f t="shared" si="3"/>
        <v>1</v>
      </c>
      <c r="AB31" s="1654">
        <f t="shared" si="4"/>
        <v>1</v>
      </c>
      <c r="AC31" s="1654">
        <f t="shared" si="5"/>
        <v>1</v>
      </c>
    </row>
    <row r="32" spans="1:29" ht="15">
      <c r="A32" s="1643" t="s">
        <v>2034</v>
      </c>
      <c r="B32" s="1613" t="s">
        <v>2035</v>
      </c>
      <c r="C32" s="1687"/>
      <c r="D32" s="1688">
        <v>100</v>
      </c>
      <c r="E32" s="1689"/>
      <c r="F32" s="1680">
        <f>SUMIF(100:100,E32,101:101)-SUMIF(100:100,C32,101:101)+100</f>
        <v>100</v>
      </c>
      <c r="G32" s="1687"/>
      <c r="H32" s="1688">
        <f>SUMIF(100:100,G32,101:101)-SUMIF(100:100,C32,101:101)+100</f>
        <v>100</v>
      </c>
      <c r="I32" s="1689"/>
      <c r="J32" s="1637">
        <f>SUMIF(100:100,I32,101:101)-SUMIF(100:100,C32,101:101)+100</f>
        <v>100</v>
      </c>
      <c r="K32" s="1626"/>
      <c r="L32" s="2916"/>
      <c r="M32" s="2912"/>
      <c r="N32" s="2912"/>
      <c r="O32" s="2912"/>
      <c r="P32" s="3624" t="s">
        <v>2036</v>
      </c>
      <c r="Q32" s="1541" t="str">
        <f t="shared" si="11"/>
        <v>建筑类型</v>
      </c>
      <c r="R32" s="1651" t="s">
        <v>28</v>
      </c>
      <c r="S32" s="1652">
        <f t="shared" si="12"/>
        <v>100</v>
      </c>
      <c r="T32" s="1651" t="s">
        <v>28</v>
      </c>
      <c r="U32" s="1652">
        <f t="shared" si="13"/>
        <v>100</v>
      </c>
      <c r="V32" s="1651" t="s">
        <v>28</v>
      </c>
      <c r="W32" s="1652">
        <f t="shared" si="14"/>
        <v>100</v>
      </c>
      <c r="X32" s="1591"/>
      <c r="Y32" s="3627" t="s">
        <v>2036</v>
      </c>
      <c r="Z32" s="1653" t="str">
        <f t="shared" si="15"/>
        <v>建筑类型</v>
      </c>
      <c r="AA32" s="1654">
        <f t="shared" si="3"/>
        <v>1</v>
      </c>
      <c r="AB32" s="1654">
        <f t="shared" si="4"/>
        <v>1</v>
      </c>
      <c r="AC32" s="1654">
        <f t="shared" si="5"/>
        <v>1</v>
      </c>
    </row>
    <row r="33" spans="1:29" s="1697" customFormat="1" ht="15">
      <c r="A33" s="1690"/>
      <c r="B33" s="1621" t="s">
        <v>2037</v>
      </c>
      <c r="C33" s="1691"/>
      <c r="D33" s="1623">
        <v>100</v>
      </c>
      <c r="E33" s="1630"/>
      <c r="F33" s="1625" t="e">
        <f>LOOKUP(E33,103:103,104:104)-LOOKUP(C33,103:103,104:104)+100</f>
        <v>#N/A</v>
      </c>
      <c r="G33" s="1629"/>
      <c r="H33" s="1623" t="e">
        <f>LOOKUP(G33,103:103,104:104)-LOOKUP(C33,103:103,104:104)+100</f>
        <v>#N/A</v>
      </c>
      <c r="I33" s="1630"/>
      <c r="J33" s="1623" t="e">
        <f>LOOKUP(I33,103:103,104:104)-LOOKUP(C33,103:103,104:104)+100</f>
        <v>#N/A</v>
      </c>
      <c r="K33" s="1635"/>
      <c r="L33" s="2915"/>
      <c r="M33" s="1985"/>
      <c r="N33" s="1985"/>
      <c r="O33" s="1985"/>
      <c r="P33" s="3625"/>
      <c r="Q33" s="1692" t="str">
        <f t="shared" si="11"/>
        <v>项目建筑规模</v>
      </c>
      <c r="R33" s="1693" t="s">
        <v>28</v>
      </c>
      <c r="S33" s="1694" t="e">
        <f t="shared" si="12"/>
        <v>#N/A</v>
      </c>
      <c r="T33" s="1693" t="s">
        <v>28</v>
      </c>
      <c r="U33" s="1694" t="e">
        <f t="shared" si="13"/>
        <v>#N/A</v>
      </c>
      <c r="V33" s="1693" t="s">
        <v>28</v>
      </c>
      <c r="W33" s="1694" t="e">
        <f t="shared" si="14"/>
        <v>#N/A</v>
      </c>
      <c r="X33" s="1695"/>
      <c r="Y33" s="3627"/>
      <c r="Z33" s="1696" t="str">
        <f t="shared" si="15"/>
        <v>项目建筑规模</v>
      </c>
      <c r="AA33" s="1654" t="e">
        <f t="shared" si="3"/>
        <v>#N/A</v>
      </c>
      <c r="AB33" s="1654" t="e">
        <f t="shared" si="4"/>
        <v>#N/A</v>
      </c>
      <c r="AC33" s="1654" t="e">
        <f t="shared" si="5"/>
        <v>#N/A</v>
      </c>
    </row>
    <row r="34" spans="1:29" ht="15">
      <c r="A34" s="1698"/>
      <c r="B34" s="1621" t="s">
        <v>2038</v>
      </c>
      <c r="C34" s="1699"/>
      <c r="D34" s="1637">
        <v>100</v>
      </c>
      <c r="E34" s="1700"/>
      <c r="F34" s="1680">
        <f>SUMIF(105:105,E34,106:106)-SUMIF(105:105,C34,106:106)+100</f>
        <v>100</v>
      </c>
      <c r="G34" s="1699"/>
      <c r="H34" s="1637">
        <f>SUMIF(105:105,G34,106:106)-SUMIF(105:105,C34,106:106)+100</f>
        <v>100</v>
      </c>
      <c r="I34" s="1700"/>
      <c r="J34" s="1637">
        <f>SUMIF(105:105,I34,106:106)-SUMIF(105:105,C34,106:106)+100</f>
        <v>100</v>
      </c>
      <c r="K34" s="1626"/>
      <c r="L34" s="2916"/>
      <c r="M34" s="2912"/>
      <c r="N34" s="2912"/>
      <c r="O34" s="2912"/>
      <c r="P34" s="3625"/>
      <c r="Q34" s="1541" t="str">
        <f t="shared" si="11"/>
        <v>建筑结构</v>
      </c>
      <c r="R34" s="1651" t="s">
        <v>28</v>
      </c>
      <c r="S34" s="1652">
        <f t="shared" si="12"/>
        <v>100</v>
      </c>
      <c r="T34" s="1651" t="s">
        <v>28</v>
      </c>
      <c r="U34" s="1652">
        <f t="shared" si="13"/>
        <v>100</v>
      </c>
      <c r="V34" s="1651" t="s">
        <v>28</v>
      </c>
      <c r="W34" s="1652">
        <f t="shared" si="14"/>
        <v>100</v>
      </c>
      <c r="X34" s="1591"/>
      <c r="Y34" s="3627"/>
      <c r="Z34" s="1653" t="str">
        <f t="shared" si="15"/>
        <v>建筑结构</v>
      </c>
      <c r="AA34" s="1654">
        <f t="shared" si="3"/>
        <v>1</v>
      </c>
      <c r="AB34" s="1654">
        <f t="shared" si="4"/>
        <v>1</v>
      </c>
      <c r="AC34" s="1654">
        <f t="shared" si="5"/>
        <v>1</v>
      </c>
    </row>
    <row r="35" spans="1:29" ht="15">
      <c r="A35" s="1698"/>
      <c r="B35" s="1621" t="s">
        <v>2039</v>
      </c>
      <c r="C35" s="1681"/>
      <c r="D35" s="1637">
        <v>100</v>
      </c>
      <c r="E35" s="1679"/>
      <c r="F35" s="1680">
        <f>SUMIF(107:107,E35,108:108)-SUMIF(107:107,C35,108:108)+100</f>
        <v>100</v>
      </c>
      <c r="G35" s="1681"/>
      <c r="H35" s="1637">
        <f>SUMIF(107:107,G35,108:108)-SUMIF(107:107,C35,108:108)+100</f>
        <v>100</v>
      </c>
      <c r="I35" s="1679"/>
      <c r="J35" s="1637">
        <f>SUMIF(107:107,I35,108:108)-SUMIF(107:107,C35,108:108)+100</f>
        <v>100</v>
      </c>
      <c r="K35" s="1626"/>
      <c r="L35" s="2916"/>
      <c r="M35" s="2912"/>
      <c r="N35" s="2912"/>
      <c r="O35" s="2912"/>
      <c r="P35" s="3625"/>
      <c r="Q35" s="1541" t="str">
        <f t="shared" si="11"/>
        <v>建筑品质</v>
      </c>
      <c r="R35" s="1651" t="s">
        <v>28</v>
      </c>
      <c r="S35" s="1652">
        <f t="shared" si="12"/>
        <v>100</v>
      </c>
      <c r="T35" s="1651" t="s">
        <v>28</v>
      </c>
      <c r="U35" s="1652">
        <f t="shared" si="13"/>
        <v>100</v>
      </c>
      <c r="V35" s="1651" t="s">
        <v>28</v>
      </c>
      <c r="W35" s="1652">
        <f t="shared" si="14"/>
        <v>100</v>
      </c>
      <c r="X35" s="1591"/>
      <c r="Y35" s="3627"/>
      <c r="Z35" s="1653" t="str">
        <f t="shared" si="15"/>
        <v>建筑品质</v>
      </c>
      <c r="AA35" s="1654">
        <f t="shared" si="3"/>
        <v>1</v>
      </c>
      <c r="AB35" s="1654">
        <f t="shared" si="4"/>
        <v>1</v>
      </c>
      <c r="AC35" s="1654">
        <f t="shared" si="5"/>
        <v>1</v>
      </c>
    </row>
    <row r="36" spans="1:29" ht="15">
      <c r="A36" s="1698"/>
      <c r="B36" s="1621" t="s">
        <v>2040</v>
      </c>
      <c r="C36" s="1681"/>
      <c r="D36" s="1637">
        <v>100</v>
      </c>
      <c r="E36" s="1679"/>
      <c r="F36" s="1680">
        <f>SUMIF(109:109,E36,110:110)-SUMIF(109:109,C36,110:110)+100</f>
        <v>100</v>
      </c>
      <c r="G36" s="1681"/>
      <c r="H36" s="1637">
        <f>SUMIF(109:109,G36,110:110)-SUMIF(109:109,C36,110:110)+100</f>
        <v>100</v>
      </c>
      <c r="I36" s="1679"/>
      <c r="J36" s="1637">
        <f>SUMIF(109:109,I36,110:110)-SUMIF(109:109,C36,110:110)+100</f>
        <v>100</v>
      </c>
      <c r="K36" s="1626"/>
      <c r="L36" s="2916"/>
      <c r="M36" s="2912"/>
      <c r="N36" s="2912"/>
      <c r="O36" s="2912"/>
      <c r="P36" s="3625"/>
      <c r="Q36" s="1541" t="str">
        <f t="shared" si="11"/>
        <v>公共部分装修</v>
      </c>
      <c r="R36" s="1651" t="s">
        <v>28</v>
      </c>
      <c r="S36" s="1652">
        <f t="shared" si="12"/>
        <v>100</v>
      </c>
      <c r="T36" s="1651" t="s">
        <v>28</v>
      </c>
      <c r="U36" s="1652">
        <f t="shared" si="13"/>
        <v>100</v>
      </c>
      <c r="V36" s="1651" t="s">
        <v>28</v>
      </c>
      <c r="W36" s="1652">
        <f t="shared" si="14"/>
        <v>100</v>
      </c>
      <c r="X36" s="1591"/>
      <c r="Y36" s="3627"/>
      <c r="Z36" s="1653" t="str">
        <f t="shared" si="15"/>
        <v>公共部分装修</v>
      </c>
      <c r="AA36" s="1654">
        <f t="shared" si="3"/>
        <v>1</v>
      </c>
      <c r="AB36" s="1654">
        <f t="shared" si="4"/>
        <v>1</v>
      </c>
      <c r="AC36" s="1654">
        <f t="shared" si="5"/>
        <v>1</v>
      </c>
    </row>
    <row r="37" spans="1:29" s="1610" customFormat="1" ht="15">
      <c r="A37" s="1701"/>
      <c r="B37" s="1621" t="s">
        <v>2041</v>
      </c>
      <c r="C37" s="1702"/>
      <c r="D37" s="1623">
        <v>100</v>
      </c>
      <c r="E37" s="1703"/>
      <c r="F37" s="1625" t="e">
        <f>LOOKUP(E37,112:112,113:113)-LOOKUP(C37,112:112,113:113)+100</f>
        <v>#N/A</v>
      </c>
      <c r="G37" s="1704"/>
      <c r="H37" s="1623" t="e">
        <f>LOOKUP(G37,112:112,113:113)-LOOKUP(C37,112:112,113:113)+100</f>
        <v>#N/A</v>
      </c>
      <c r="I37" s="1703"/>
      <c r="J37" s="1623" t="e">
        <f>LOOKUP(I37,112:112,113:113)-LOOKUP(C37,112:112,113:113)+100</f>
        <v>#N/A</v>
      </c>
      <c r="K37" s="1626"/>
      <c r="L37" s="2911"/>
      <c r="M37" s="2884"/>
      <c r="N37" s="2884"/>
      <c r="O37" s="2884"/>
      <c r="P37" s="3625"/>
      <c r="Q37" s="1560" t="str">
        <f t="shared" si="11"/>
        <v>成新度</v>
      </c>
      <c r="R37" s="1606" t="s">
        <v>28</v>
      </c>
      <c r="S37" s="1607" t="e">
        <f t="shared" si="12"/>
        <v>#N/A</v>
      </c>
      <c r="T37" s="1606" t="s">
        <v>28</v>
      </c>
      <c r="U37" s="1607" t="e">
        <f t="shared" si="13"/>
        <v>#N/A</v>
      </c>
      <c r="V37" s="1606" t="s">
        <v>28</v>
      </c>
      <c r="W37" s="1607" t="e">
        <f t="shared" si="14"/>
        <v>#N/A</v>
      </c>
      <c r="X37" s="1608"/>
      <c r="Y37" s="3627"/>
      <c r="Z37" s="1619" t="str">
        <f t="shared" si="15"/>
        <v>成新度</v>
      </c>
      <c r="AA37" s="1609" t="e">
        <f t="shared" si="3"/>
        <v>#N/A</v>
      </c>
      <c r="AB37" s="1609" t="e">
        <f t="shared" si="4"/>
        <v>#N/A</v>
      </c>
      <c r="AC37" s="1609" t="e">
        <f t="shared" si="5"/>
        <v>#N/A</v>
      </c>
    </row>
    <row r="38" spans="1:29" ht="15">
      <c r="A38" s="1698"/>
      <c r="B38" s="1621" t="s">
        <v>2042</v>
      </c>
      <c r="C38" s="1681"/>
      <c r="D38" s="1637">
        <v>100</v>
      </c>
      <c r="E38" s="1679"/>
      <c r="F38" s="1680">
        <f>SUMIF(114:114,E38,115:115)-SUMIF(114:114,C38,115:115)+100</f>
        <v>100</v>
      </c>
      <c r="G38" s="1681"/>
      <c r="H38" s="1637">
        <f>SUMIF(114:114,G38,115:115)-SUMIF(114:114,C38,115:115)+100</f>
        <v>100</v>
      </c>
      <c r="I38" s="1679"/>
      <c r="J38" s="1637">
        <f>SUMIF(114:114,I38,115:115)-SUMIF(114:114,C38,115:115)+100</f>
        <v>100</v>
      </c>
      <c r="K38" s="1626"/>
      <c r="L38" s="2916"/>
      <c r="M38" s="2912"/>
      <c r="N38" s="2912"/>
      <c r="O38" s="2912"/>
      <c r="P38" s="3625" t="s">
        <v>2036</v>
      </c>
      <c r="Q38" s="1541" t="str">
        <f t="shared" si="11"/>
        <v>物业管理</v>
      </c>
      <c r="R38" s="1651" t="s">
        <v>28</v>
      </c>
      <c r="S38" s="1652">
        <f t="shared" si="12"/>
        <v>100</v>
      </c>
      <c r="T38" s="1651" t="s">
        <v>28</v>
      </c>
      <c r="U38" s="1652">
        <f t="shared" si="13"/>
        <v>100</v>
      </c>
      <c r="V38" s="1651" t="s">
        <v>28</v>
      </c>
      <c r="W38" s="1652">
        <f t="shared" si="14"/>
        <v>100</v>
      </c>
      <c r="X38" s="1591"/>
      <c r="Y38" s="3627" t="s">
        <v>2036</v>
      </c>
      <c r="Z38" s="1653" t="str">
        <f t="shared" si="15"/>
        <v>物业管理</v>
      </c>
      <c r="AA38" s="1654">
        <f t="shared" si="3"/>
        <v>1</v>
      </c>
      <c r="AB38" s="1654">
        <f t="shared" si="4"/>
        <v>1</v>
      </c>
      <c r="AC38" s="1654">
        <f t="shared" si="5"/>
        <v>1</v>
      </c>
    </row>
    <row r="39" spans="1:29" ht="15">
      <c r="A39" s="1698"/>
      <c r="B39" s="1621" t="s">
        <v>2043</v>
      </c>
      <c r="C39" s="1681"/>
      <c r="D39" s="1637">
        <v>100</v>
      </c>
      <c r="E39" s="1679"/>
      <c r="F39" s="1680">
        <f>SUMIF(116:116,E39,117:117)-SUMIF(116:116,C39,117:117)+100</f>
        <v>100</v>
      </c>
      <c r="G39" s="1681"/>
      <c r="H39" s="1637">
        <f>SUMIF(116:116,G39,117:117)-SUMIF(116:116,C39,117:117)+100</f>
        <v>100</v>
      </c>
      <c r="I39" s="1679"/>
      <c r="J39" s="1637">
        <f>SUMIF(116:116,I39,117:117)-SUMIF(116:116,C39,117:117)+100</f>
        <v>100</v>
      </c>
      <c r="K39" s="1626"/>
      <c r="L39" s="2916"/>
      <c r="M39" s="2912"/>
      <c r="N39" s="2912"/>
      <c r="O39" s="2912"/>
      <c r="P39" s="3625"/>
      <c r="Q39" s="1541" t="str">
        <f t="shared" si="11"/>
        <v>市政基础设施</v>
      </c>
      <c r="R39" s="1651" t="s">
        <v>28</v>
      </c>
      <c r="S39" s="1652">
        <f t="shared" si="12"/>
        <v>100</v>
      </c>
      <c r="T39" s="1651" t="s">
        <v>28</v>
      </c>
      <c r="U39" s="1652">
        <f t="shared" si="13"/>
        <v>100</v>
      </c>
      <c r="V39" s="1651" t="s">
        <v>28</v>
      </c>
      <c r="W39" s="1652">
        <f t="shared" si="14"/>
        <v>100</v>
      </c>
      <c r="X39" s="1591"/>
      <c r="Y39" s="3627"/>
      <c r="Z39" s="1653" t="str">
        <f t="shared" si="15"/>
        <v>市政基础设施</v>
      </c>
      <c r="AA39" s="1654">
        <f t="shared" si="3"/>
        <v>1</v>
      </c>
      <c r="AB39" s="1654">
        <f t="shared" si="4"/>
        <v>1</v>
      </c>
      <c r="AC39" s="1654">
        <f t="shared" si="5"/>
        <v>1</v>
      </c>
    </row>
    <row r="40" spans="1:29" ht="15">
      <c r="A40" s="1698"/>
      <c r="B40" s="1621" t="s">
        <v>2044</v>
      </c>
      <c r="C40" s="1681"/>
      <c r="D40" s="1637">
        <v>100</v>
      </c>
      <c r="E40" s="1679"/>
      <c r="F40" s="1680">
        <f>SUMIF(118:118,E40,119:119)-SUMIF(118:118,C40,119:119)+100</f>
        <v>100</v>
      </c>
      <c r="G40" s="1681"/>
      <c r="H40" s="1637">
        <f>SUMIF(118:118,G40,119:119)-SUMIF(118:118,C40,119:119)+100</f>
        <v>100</v>
      </c>
      <c r="I40" s="1679"/>
      <c r="J40" s="1637">
        <f>SUMIF(118:118,I40,119:119)-SUMIF(118:118,C40,119:119)+100</f>
        <v>100</v>
      </c>
      <c r="K40" s="1626"/>
      <c r="L40" s="2916"/>
      <c r="M40" s="2912"/>
      <c r="N40" s="2912"/>
      <c r="O40" s="2912"/>
      <c r="P40" s="3625"/>
      <c r="Q40" s="1541" t="str">
        <f t="shared" si="11"/>
        <v>房型</v>
      </c>
      <c r="R40" s="1651" t="s">
        <v>28</v>
      </c>
      <c r="S40" s="1652">
        <f t="shared" si="12"/>
        <v>100</v>
      </c>
      <c r="T40" s="1651" t="s">
        <v>28</v>
      </c>
      <c r="U40" s="1652">
        <f t="shared" si="13"/>
        <v>100</v>
      </c>
      <c r="V40" s="1651" t="s">
        <v>28</v>
      </c>
      <c r="W40" s="1652">
        <f t="shared" si="14"/>
        <v>100</v>
      </c>
      <c r="X40" s="1591"/>
      <c r="Y40" s="3627"/>
      <c r="Z40" s="1653" t="str">
        <f t="shared" si="15"/>
        <v>房型</v>
      </c>
      <c r="AA40" s="1654">
        <f t="shared" si="3"/>
        <v>1</v>
      </c>
      <c r="AB40" s="1654">
        <f t="shared" si="4"/>
        <v>1</v>
      </c>
      <c r="AC40" s="1654">
        <f t="shared" si="5"/>
        <v>1</v>
      </c>
    </row>
    <row r="41" spans="1:29" s="1697" customFormat="1" ht="28.8">
      <c r="A41" s="1690"/>
      <c r="B41" s="1621" t="s">
        <v>2045</v>
      </c>
      <c r="C41" s="1691"/>
      <c r="D41" s="1623">
        <v>100</v>
      </c>
      <c r="E41" s="1630"/>
      <c r="F41" s="1625">
        <f>SUMIF(120:120,E41,121:121)-SUMIF(120:120,C41,121:121)+100</f>
        <v>100</v>
      </c>
      <c r="G41" s="1629"/>
      <c r="H41" s="1623">
        <f>SUMIF(120:120,G41,121:121)-SUMIF(120:120,C41,121:121)+100</f>
        <v>100</v>
      </c>
      <c r="I41" s="1705"/>
      <c r="J41" s="1637">
        <f>SUMIF(120:120,I41,121:121)-SUMIF(120:120,C41,121:121)+100</f>
        <v>100</v>
      </c>
      <c r="K41" s="1635"/>
      <c r="L41" s="2915"/>
      <c r="M41" s="1985"/>
      <c r="N41" s="1985"/>
      <c r="O41" s="1985"/>
      <c r="P41" s="3625"/>
      <c r="Q41" s="1692" t="str">
        <f t="shared" si="11"/>
        <v>单套/主力户型建筑面积</v>
      </c>
      <c r="R41" s="1693" t="s">
        <v>28</v>
      </c>
      <c r="S41" s="1694">
        <f t="shared" si="12"/>
        <v>100</v>
      </c>
      <c r="T41" s="1693" t="s">
        <v>28</v>
      </c>
      <c r="U41" s="1694">
        <f t="shared" si="13"/>
        <v>100</v>
      </c>
      <c r="V41" s="1693" t="s">
        <v>28</v>
      </c>
      <c r="W41" s="1694">
        <f t="shared" si="14"/>
        <v>100</v>
      </c>
      <c r="X41" s="1695"/>
      <c r="Y41" s="3627"/>
      <c r="Z41" s="1696" t="str">
        <f t="shared" si="15"/>
        <v>单套/主力户型建筑面积</v>
      </c>
      <c r="AA41" s="1654">
        <f t="shared" si="3"/>
        <v>1</v>
      </c>
      <c r="AB41" s="1654">
        <f t="shared" si="4"/>
        <v>1</v>
      </c>
      <c r="AC41" s="1654">
        <f t="shared" si="5"/>
        <v>1</v>
      </c>
    </row>
    <row r="42" spans="1:29" ht="15">
      <c r="A42" s="1698"/>
      <c r="B42" s="1621" t="s">
        <v>2046</v>
      </c>
      <c r="C42" s="1681"/>
      <c r="D42" s="1637">
        <v>100</v>
      </c>
      <c r="E42" s="1679"/>
      <c r="F42" s="1680">
        <f>SUMIF(122:122,E42,123:123)-SUMIF(122:122,C42,123:123)+100</f>
        <v>100</v>
      </c>
      <c r="G42" s="1681"/>
      <c r="H42" s="1637">
        <f>SUMIF(122:122,G42,123:123)-SUMIF(122:122,C42,123:123)+100</f>
        <v>100</v>
      </c>
      <c r="I42" s="1679"/>
      <c r="J42" s="1637">
        <f>SUMIF(122:122,I42,123:123)-SUMIF(122:122,C42,123:123)+100</f>
        <v>100</v>
      </c>
      <c r="K42" s="1626"/>
      <c r="L42" s="2916"/>
      <c r="M42" s="2912"/>
      <c r="N42" s="2912"/>
      <c r="O42" s="2912"/>
      <c r="P42" s="3625"/>
      <c r="Q42" s="1541" t="str">
        <f t="shared" si="11"/>
        <v>内部装修</v>
      </c>
      <c r="R42" s="1651" t="s">
        <v>28</v>
      </c>
      <c r="S42" s="1652">
        <f t="shared" si="12"/>
        <v>100</v>
      </c>
      <c r="T42" s="1651" t="s">
        <v>28</v>
      </c>
      <c r="U42" s="1652">
        <f t="shared" si="13"/>
        <v>100</v>
      </c>
      <c r="V42" s="1651" t="s">
        <v>28</v>
      </c>
      <c r="W42" s="1652">
        <f t="shared" si="14"/>
        <v>100</v>
      </c>
      <c r="X42" s="1591"/>
      <c r="Y42" s="3627"/>
      <c r="Z42" s="1653" t="str">
        <f t="shared" si="15"/>
        <v>内部装修</v>
      </c>
      <c r="AA42" s="1654">
        <f t="shared" si="3"/>
        <v>1</v>
      </c>
      <c r="AB42" s="1654">
        <f t="shared" si="4"/>
        <v>1</v>
      </c>
      <c r="AC42" s="1654">
        <f t="shared" si="5"/>
        <v>1</v>
      </c>
    </row>
    <row r="43" spans="1:29" ht="28.8">
      <c r="A43" s="1698"/>
      <c r="B43" s="1621" t="s">
        <v>2047</v>
      </c>
      <c r="C43" s="1681"/>
      <c r="D43" s="1637">
        <v>100</v>
      </c>
      <c r="E43" s="1679"/>
      <c r="F43" s="1680">
        <f>SUMIF(124:124,E43,125:125)-SUMIF(124:124,C43,125:125)+100</f>
        <v>100</v>
      </c>
      <c r="G43" s="1681"/>
      <c r="H43" s="1637">
        <f>SUMIF(124:124,G43,125:125)-SUMIF(124:124,C43,125:125)+100</f>
        <v>100</v>
      </c>
      <c r="I43" s="1679"/>
      <c r="J43" s="1637">
        <f>SUMIF(124:124,I43,125:125)-SUMIF(124:124,C43,125:125)+100</f>
        <v>100</v>
      </c>
      <c r="K43" s="1626"/>
      <c r="L43" s="2916"/>
      <c r="M43" s="2912"/>
      <c r="N43" s="2912"/>
      <c r="O43" s="2912"/>
      <c r="P43" s="3625"/>
      <c r="Q43" s="1541" t="str">
        <f t="shared" si="11"/>
        <v>内部装修维护情况</v>
      </c>
      <c r="R43" s="1651" t="s">
        <v>28</v>
      </c>
      <c r="S43" s="1652">
        <f t="shared" si="12"/>
        <v>100</v>
      </c>
      <c r="T43" s="1651" t="s">
        <v>28</v>
      </c>
      <c r="U43" s="1652">
        <f t="shared" si="13"/>
        <v>100</v>
      </c>
      <c r="V43" s="1651" t="s">
        <v>28</v>
      </c>
      <c r="W43" s="1652">
        <f t="shared" si="14"/>
        <v>100</v>
      </c>
      <c r="X43" s="1591"/>
      <c r="Y43" s="3627"/>
      <c r="Z43" s="1653" t="str">
        <f t="shared" si="15"/>
        <v>内部装修维护情况</v>
      </c>
      <c r="AA43" s="1654">
        <f t="shared" si="3"/>
        <v>1</v>
      </c>
      <c r="AB43" s="1654">
        <f t="shared" si="4"/>
        <v>1</v>
      </c>
      <c r="AC43" s="1654">
        <f t="shared" si="5"/>
        <v>1</v>
      </c>
    </row>
    <row r="44" spans="1:29" s="1610" customFormat="1" ht="15">
      <c r="A44" s="1701"/>
      <c r="B44" s="1686">
        <v>111</v>
      </c>
      <c r="C44" s="1691"/>
      <c r="D44" s="1623">
        <v>100</v>
      </c>
      <c r="E44" s="1691"/>
      <c r="F44" s="1625">
        <f>SUMIF(126:126,E44,127:127)-SUMIF(126:126,C44,127:127)+100</f>
        <v>100</v>
      </c>
      <c r="G44" s="1691"/>
      <c r="H44" s="1623">
        <f>SUMIF(126:126,G44,127:127)-SUMIF(126:126,C44,127:127)+100</f>
        <v>100</v>
      </c>
      <c r="I44" s="1691"/>
      <c r="J44" s="1623">
        <f>SUMIF(126:126,I44,127:127)-SUMIF(126:126,C44,127:127)+100</f>
        <v>100</v>
      </c>
      <c r="K44" s="1635"/>
      <c r="L44" s="2911"/>
      <c r="M44" s="2884"/>
      <c r="N44" s="2884"/>
      <c r="O44" s="2884"/>
      <c r="P44" s="3625"/>
      <c r="Q44" s="1560">
        <f t="shared" si="11"/>
        <v>111</v>
      </c>
      <c r="R44" s="1606" t="s">
        <v>28</v>
      </c>
      <c r="S44" s="1607">
        <f t="shared" si="12"/>
        <v>100</v>
      </c>
      <c r="T44" s="1606" t="s">
        <v>28</v>
      </c>
      <c r="U44" s="1607">
        <f t="shared" si="13"/>
        <v>100</v>
      </c>
      <c r="V44" s="1606" t="s">
        <v>28</v>
      </c>
      <c r="W44" s="1607">
        <f t="shared" si="14"/>
        <v>100</v>
      </c>
      <c r="X44" s="1608"/>
      <c r="Y44" s="3627"/>
      <c r="Z44" s="1619">
        <f t="shared" si="15"/>
        <v>111</v>
      </c>
      <c r="AA44" s="1609">
        <f t="shared" si="3"/>
        <v>1</v>
      </c>
      <c r="AB44" s="1609">
        <f t="shared" si="4"/>
        <v>1</v>
      </c>
      <c r="AC44" s="1609">
        <f t="shared" si="5"/>
        <v>1</v>
      </c>
    </row>
    <row r="45" spans="1:29" ht="15">
      <c r="A45" s="1698"/>
      <c r="B45" s="1686">
        <v>111</v>
      </c>
      <c r="C45" s="1636"/>
      <c r="D45" s="1637">
        <v>100</v>
      </c>
      <c r="E45" s="1636"/>
      <c r="F45" s="1680">
        <f>SUMIF(128:128,E45,129:129)-SUMIF(128:128,C45,129:129)+100</f>
        <v>100</v>
      </c>
      <c r="G45" s="1636"/>
      <c r="H45" s="1637">
        <f>SUMIF(128:128,G45,129:129)-SUMIF(128:128,C45,129:129)+100</f>
        <v>100</v>
      </c>
      <c r="I45" s="1636"/>
      <c r="J45" s="1637">
        <f>SUMIF(128:128,I45,129:129)-SUMIF(128:128,C45,129:129)+100</f>
        <v>100</v>
      </c>
      <c r="K45" s="1635"/>
      <c r="L45" s="2916"/>
      <c r="M45" s="2912"/>
      <c r="N45" s="2912"/>
      <c r="O45" s="2912"/>
      <c r="P45" s="3625"/>
      <c r="Q45" s="1541">
        <f t="shared" si="11"/>
        <v>111</v>
      </c>
      <c r="R45" s="1651" t="s">
        <v>28</v>
      </c>
      <c r="S45" s="1652">
        <f t="shared" si="12"/>
        <v>100</v>
      </c>
      <c r="T45" s="1651" t="s">
        <v>28</v>
      </c>
      <c r="U45" s="1652">
        <f t="shared" si="13"/>
        <v>100</v>
      </c>
      <c r="V45" s="1651" t="s">
        <v>28</v>
      </c>
      <c r="W45" s="1652">
        <f t="shared" si="14"/>
        <v>100</v>
      </c>
      <c r="X45" s="1591"/>
      <c r="Y45" s="3627"/>
      <c r="Z45" s="1653">
        <f t="shared" si="15"/>
        <v>111</v>
      </c>
      <c r="AA45" s="1654">
        <f t="shared" si="3"/>
        <v>1</v>
      </c>
      <c r="AB45" s="1654">
        <f t="shared" si="4"/>
        <v>1</v>
      </c>
      <c r="AC45" s="1654">
        <f t="shared" si="5"/>
        <v>1</v>
      </c>
    </row>
    <row r="46" spans="1:29" ht="15.6" thickBot="1">
      <c r="A46" s="1706"/>
      <c r="B46" s="1639">
        <v>111</v>
      </c>
      <c r="C46" s="1640"/>
      <c r="D46" s="1641">
        <v>100</v>
      </c>
      <c r="E46" s="1640"/>
      <c r="F46" s="1642">
        <f>SUMIF(130:130,E46,131:131)-SUMIF(130:130,C46,131:131)+100</f>
        <v>100</v>
      </c>
      <c r="G46" s="1640"/>
      <c r="H46" s="1641">
        <f>SUMIF(130:130,G46,131:131)-SUMIF(130:130,C46,131:131)+100</f>
        <v>100</v>
      </c>
      <c r="I46" s="1640"/>
      <c r="J46" s="1641">
        <f>SUMIF(130:130,I46,131:131)-SUMIF(130:130,C46,131:131)+100</f>
        <v>100</v>
      </c>
      <c r="K46" s="1635"/>
      <c r="L46" s="2916"/>
      <c r="M46" s="2912"/>
      <c r="N46" s="2912"/>
      <c r="O46" s="2912"/>
      <c r="P46" s="3626"/>
      <c r="Q46" s="1541">
        <f t="shared" si="11"/>
        <v>111</v>
      </c>
      <c r="R46" s="1651" t="s">
        <v>27</v>
      </c>
      <c r="S46" s="1652">
        <f t="shared" si="12"/>
        <v>100</v>
      </c>
      <c r="T46" s="1651" t="s">
        <v>27</v>
      </c>
      <c r="U46" s="1652">
        <f t="shared" si="13"/>
        <v>100</v>
      </c>
      <c r="V46" s="1651" t="s">
        <v>27</v>
      </c>
      <c r="W46" s="1652">
        <f t="shared" si="14"/>
        <v>100</v>
      </c>
      <c r="X46" s="1591"/>
      <c r="Y46" s="3628"/>
      <c r="Z46" s="1653">
        <f t="shared" si="15"/>
        <v>111</v>
      </c>
      <c r="AA46" s="1654">
        <f t="shared" si="3"/>
        <v>1</v>
      </c>
      <c r="AB46" s="1654">
        <f t="shared" si="4"/>
        <v>1</v>
      </c>
      <c r="AC46" s="1654">
        <f t="shared" si="5"/>
        <v>1</v>
      </c>
    </row>
    <row r="47" spans="1:29" ht="14.4">
      <c r="A47" s="1707" t="s">
        <v>2048</v>
      </c>
      <c r="B47" s="1708"/>
      <c r="C47" s="1709" t="s">
        <v>26</v>
      </c>
      <c r="D47" s="1710"/>
      <c r="E47" s="1711"/>
      <c r="F47" s="1712"/>
      <c r="G47" s="1713"/>
      <c r="H47" s="1714"/>
      <c r="I47" s="1711"/>
      <c r="J47" s="1714"/>
      <c r="K47" s="1715"/>
      <c r="L47" s="2917"/>
      <c r="N47" s="2912"/>
      <c r="P47" s="3633" t="str">
        <f>A47</f>
        <v>成交单价（元/平方米）</v>
      </c>
      <c r="Q47" s="3633"/>
      <c r="R47" s="3634">
        <f>E47</f>
        <v>0</v>
      </c>
      <c r="S47" s="3634"/>
      <c r="T47" s="3634">
        <f>G47</f>
        <v>0</v>
      </c>
      <c r="U47" s="3634"/>
      <c r="V47" s="3634">
        <f>I47</f>
        <v>0</v>
      </c>
      <c r="W47" s="3634"/>
      <c r="X47" s="1717"/>
      <c r="Y47" s="1718"/>
      <c r="Z47" s="1717"/>
      <c r="AA47" s="1717"/>
      <c r="AB47" s="1717"/>
      <c r="AC47" s="1717"/>
    </row>
    <row r="48" spans="1:29" ht="15" thickBot="1">
      <c r="A48" s="1719" t="s">
        <v>2049</v>
      </c>
      <c r="B48" s="1720"/>
      <c r="C48" s="1721" t="e">
        <f>R49</f>
        <v>#DIV/0!</v>
      </c>
      <c r="D48" s="1722" t="s">
        <v>2499</v>
      </c>
      <c r="E48" s="1723" t="e">
        <f>R48</f>
        <v>#DIV/0!</v>
      </c>
      <c r="F48" s="1724"/>
      <c r="G48" s="1721" t="e">
        <f>T48</f>
        <v>#DIV/0!</v>
      </c>
      <c r="H48" s="1724"/>
      <c r="I48" s="1723" t="e">
        <f>V48</f>
        <v>#DIV/0!</v>
      </c>
      <c r="J48" s="1724"/>
      <c r="K48" s="2427">
        <f>F48+H48+J48</f>
        <v>0</v>
      </c>
      <c r="L48" s="2917"/>
      <c r="P48" s="3633" t="str">
        <f>A48</f>
        <v>比较价值（元/平方米）</v>
      </c>
      <c r="Q48" s="3633"/>
      <c r="R48" s="3634" t="e">
        <f>IF(E1="售价",ROUND(PRODUCT(R47,AA7:AA46),0),ROUND(PRODUCT(R47,AA7:AA46),1))</f>
        <v>#DIV/0!</v>
      </c>
      <c r="S48" s="3634"/>
      <c r="T48" s="3637" t="e">
        <f>IF(E1="售价",ROUND(PRODUCT(T47,AB7:AB46),0),ROUND(PRODUCT(T47,AB7:AB46),1))</f>
        <v>#DIV/0!</v>
      </c>
      <c r="U48" s="3638"/>
      <c r="V48" s="3634" t="e">
        <f>IF(E1="售价",ROUND(PRODUCT(V47,AC7:AC46),0),ROUND(PRODUCT(V47,AC7:AC46),1))</f>
        <v>#DIV/0!</v>
      </c>
      <c r="W48" s="3634"/>
      <c r="X48" s="1717"/>
      <c r="Y48" s="1717"/>
      <c r="Z48" s="1717"/>
      <c r="AA48" s="1717"/>
      <c r="AB48" s="1717"/>
      <c r="AC48" s="1717"/>
    </row>
    <row r="49" spans="1:29" ht="15" thickBot="1">
      <c r="A49" s="1725" t="s">
        <v>2050</v>
      </c>
      <c r="B49" s="1726"/>
      <c r="C49" s="1727" t="e">
        <f>R49</f>
        <v>#DIV/0!</v>
      </c>
      <c r="D49" s="1728"/>
      <c r="E49" s="1728"/>
      <c r="F49" s="1728"/>
      <c r="G49" s="1728"/>
      <c r="H49" s="1728"/>
      <c r="I49" s="1728"/>
      <c r="J49" s="1728"/>
      <c r="K49" s="1729"/>
      <c r="L49" s="2917"/>
      <c r="P49" s="3639" t="str">
        <f>A49</f>
        <v>估价对象XX用房的比较价值（楼面单价，元/平方米）</v>
      </c>
      <c r="Q49" s="3640"/>
      <c r="R49" s="3641" t="e">
        <f>IF(E1="售价",ROUND(IF(D48="简单平均",AVERAGE(R48:V48),R48*F48+T48*H48+V48*J48),0),ROUND(IF(D48="简单平均",AVERAGE(R48:V48),R48*F48+T48*H48+V48*J48),1))</f>
        <v>#DIV/0!</v>
      </c>
      <c r="S49" s="3641"/>
      <c r="T49" s="3641"/>
      <c r="U49" s="3641"/>
      <c r="V49" s="3641"/>
      <c r="W49" s="3641"/>
      <c r="X49" s="1717"/>
      <c r="Y49" s="1717"/>
      <c r="Z49" s="1717"/>
      <c r="AA49" s="1717"/>
      <c r="AB49" s="1717"/>
      <c r="AC49" s="1717"/>
    </row>
    <row r="50" spans="1:29">
      <c r="G50" s="2921"/>
    </row>
    <row r="52" spans="1:29" ht="13.5" customHeight="1">
      <c r="C52" s="383" t="s">
        <v>2051</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row>
    <row r="53" spans="1:29" ht="13.5" customHeight="1">
      <c r="C53" s="383" t="s">
        <v>2052</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row>
    <row r="54" spans="1:29" s="1739" customFormat="1" ht="13.5" customHeight="1">
      <c r="C54" s="383" t="s">
        <v>2053</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4"/>
      <c r="L54" s="2918"/>
      <c r="P54" s="1738"/>
    </row>
    <row r="55" spans="1:29" s="1739" customFormat="1">
      <c r="B55" s="2922"/>
      <c r="C55" s="2923"/>
      <c r="K55" s="2924"/>
      <c r="L55" s="2918"/>
      <c r="P55" s="1738"/>
    </row>
    <row r="56" spans="1:29">
      <c r="B56" s="2922"/>
      <c r="C56" s="2923"/>
    </row>
    <row r="57" spans="1:29" ht="22.2" thickBot="1">
      <c r="A57" s="1742" t="s">
        <v>2054</v>
      </c>
      <c r="B57" s="1717"/>
      <c r="C57" s="1743"/>
      <c r="D57" s="1743"/>
      <c r="E57" s="1743"/>
      <c r="F57" s="1743"/>
      <c r="G57" s="1743"/>
      <c r="H57" s="1743"/>
      <c r="I57" s="1743"/>
      <c r="J57" s="1743"/>
      <c r="K57" s="1744"/>
      <c r="L57" s="2919"/>
      <c r="M57" s="2920"/>
      <c r="N57" s="2920"/>
      <c r="O57" s="2920"/>
      <c r="P57" s="1746"/>
      <c r="Q57" s="1747"/>
    </row>
    <row r="58" spans="1:29" s="1753" customFormat="1" ht="14.4">
      <c r="A58" s="1748" t="s">
        <v>2055</v>
      </c>
      <c r="B58" s="1749"/>
      <c r="C58" s="1750" t="str">
        <f>YEAR(C7)&amp;"-"&amp;MONTH(C7)</f>
        <v>2022-5</v>
      </c>
      <c r="D58" s="1751">
        <f>EDATE(C58,-1)</f>
        <v>44652</v>
      </c>
      <c r="E58" s="1751">
        <f t="shared" ref="E58:O58" si="16">EDATE(D58,-1)</f>
        <v>44621</v>
      </c>
      <c r="F58" s="1751">
        <f t="shared" si="16"/>
        <v>44593</v>
      </c>
      <c r="G58" s="1751">
        <f t="shared" si="16"/>
        <v>44562</v>
      </c>
      <c r="H58" s="1751">
        <f t="shared" si="16"/>
        <v>44531</v>
      </c>
      <c r="I58" s="1751">
        <f t="shared" si="16"/>
        <v>44501</v>
      </c>
      <c r="J58" s="1751">
        <f t="shared" si="16"/>
        <v>44470</v>
      </c>
      <c r="K58" s="1751">
        <f t="shared" si="16"/>
        <v>44440</v>
      </c>
      <c r="L58" s="1751">
        <f t="shared" si="16"/>
        <v>44409</v>
      </c>
      <c r="M58" s="1751">
        <f t="shared" si="16"/>
        <v>44378</v>
      </c>
      <c r="N58" s="1751">
        <f t="shared" si="16"/>
        <v>44348</v>
      </c>
      <c r="O58" s="1751">
        <f t="shared" si="16"/>
        <v>44317</v>
      </c>
      <c r="P58" s="1752"/>
    </row>
    <row r="59" spans="1:29" s="1610" customFormat="1">
      <c r="A59" s="1754"/>
      <c r="B59" s="1755"/>
      <c r="C59" s="1756">
        <v>100</v>
      </c>
      <c r="D59" s="1757"/>
      <c r="E59" s="1757"/>
      <c r="F59" s="1757"/>
      <c r="G59" s="1757"/>
      <c r="H59" s="1757"/>
      <c r="I59" s="1757"/>
      <c r="J59" s="1757"/>
      <c r="K59" s="1757"/>
      <c r="L59" s="1757"/>
      <c r="M59" s="1758"/>
      <c r="N59" s="1757"/>
      <c r="O59" s="1758"/>
      <c r="P59" s="1759"/>
    </row>
    <row r="60" spans="1:29" s="1610" customFormat="1" ht="15" thickBot="1">
      <c r="A60" s="1760" t="s">
        <v>2056</v>
      </c>
      <c r="B60" s="1761"/>
      <c r="C60" s="1762"/>
      <c r="D60" s="1763"/>
      <c r="E60" s="1763"/>
      <c r="F60" s="1763"/>
      <c r="G60" s="1763"/>
      <c r="H60" s="1763"/>
      <c r="I60" s="1763"/>
      <c r="J60" s="1763"/>
      <c r="K60" s="1763"/>
      <c r="L60" s="1763"/>
      <c r="M60" s="1764"/>
      <c r="N60" s="1763"/>
      <c r="O60" s="1764"/>
      <c r="P60" s="1759"/>
      <c r="Q60" s="1747"/>
    </row>
    <row r="61" spans="1:29" s="1610" customFormat="1" ht="14.4">
      <c r="A61" s="1765" t="s">
        <v>2057</v>
      </c>
      <c r="B61" s="1755"/>
      <c r="C61" s="1766" t="s">
        <v>2058</v>
      </c>
      <c r="D61" s="409"/>
      <c r="E61" s="409"/>
      <c r="F61" s="409"/>
      <c r="G61" s="409"/>
      <c r="H61" s="409"/>
      <c r="I61" s="409"/>
      <c r="J61" s="409"/>
      <c r="K61" s="409"/>
      <c r="L61" s="409"/>
      <c r="M61" s="1767"/>
      <c r="N61" s="1768"/>
      <c r="O61" s="1768"/>
      <c r="P61" s="1769"/>
      <c r="Q61" s="1747"/>
    </row>
    <row r="62" spans="1:29" s="1610" customFormat="1" ht="14.4" thickBot="1">
      <c r="A62" s="1765"/>
      <c r="B62" s="1755"/>
      <c r="C62" s="1770">
        <v>100</v>
      </c>
      <c r="D62" s="1757"/>
      <c r="E62" s="1757"/>
      <c r="F62" s="1757"/>
      <c r="G62" s="1757"/>
      <c r="H62" s="1757"/>
      <c r="I62" s="1757"/>
      <c r="J62" s="1757"/>
      <c r="K62" s="1757"/>
      <c r="L62" s="1757"/>
      <c r="M62" s="1771"/>
      <c r="N62" s="1768"/>
      <c r="O62" s="1768"/>
      <c r="P62" s="1759"/>
      <c r="Q62" s="1747"/>
    </row>
    <row r="63" spans="1:29" ht="14.4">
      <c r="A63" s="1772" t="s">
        <v>2059</v>
      </c>
      <c r="B63" s="1773" t="s">
        <v>2024</v>
      </c>
      <c r="C63" s="1774">
        <f>C9</f>
        <v>0</v>
      </c>
      <c r="D63" s="1775"/>
      <c r="E63" s="1775"/>
      <c r="F63" s="1775"/>
      <c r="G63" s="1775"/>
      <c r="H63" s="1775"/>
      <c r="I63" s="1775"/>
      <c r="J63" s="1775"/>
      <c r="K63" s="417"/>
      <c r="L63" s="417"/>
      <c r="M63" s="1776"/>
      <c r="N63" s="1777"/>
      <c r="O63" s="1777"/>
      <c r="P63" s="1778"/>
      <c r="Q63" s="1747"/>
    </row>
    <row r="64" spans="1:29" ht="14.4" thickBot="1">
      <c r="A64" s="1779"/>
      <c r="B64" s="1780"/>
      <c r="C64" s="1781">
        <v>100</v>
      </c>
      <c r="D64" s="1781"/>
      <c r="E64" s="1781"/>
      <c r="F64" s="1781"/>
      <c r="G64" s="1781"/>
      <c r="H64" s="1781"/>
      <c r="I64" s="1781"/>
      <c r="J64" s="1781"/>
      <c r="K64" s="1781"/>
      <c r="L64" s="1781"/>
      <c r="M64" s="1782"/>
      <c r="N64" s="1783"/>
      <c r="O64" s="1783"/>
      <c r="P64" s="1778"/>
      <c r="Q64" s="1747"/>
    </row>
    <row r="65" spans="1:17" ht="29.4" thickTop="1">
      <c r="A65" s="1779"/>
      <c r="B65" s="1784" t="s">
        <v>2027</v>
      </c>
      <c r="C65" s="1785" t="s">
        <v>2060</v>
      </c>
      <c r="D65" s="1785" t="s">
        <v>2061</v>
      </c>
      <c r="E65" s="1785" t="s">
        <v>2062</v>
      </c>
      <c r="F65" s="1785" t="s">
        <v>2063</v>
      </c>
      <c r="G65" s="1785" t="s">
        <v>2064</v>
      </c>
      <c r="H65" s="1785" t="s">
        <v>2065</v>
      </c>
      <c r="I65" s="1785" t="s">
        <v>2066</v>
      </c>
      <c r="J65" s="1785"/>
      <c r="K65" s="428"/>
      <c r="L65" s="428"/>
      <c r="M65" s="1786"/>
      <c r="N65" s="1777"/>
      <c r="O65" s="1777"/>
      <c r="P65" s="1778"/>
      <c r="Q65" s="1747"/>
    </row>
    <row r="66" spans="1:17" ht="14.4"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 thickTop="1">
      <c r="A67" s="1779"/>
      <c r="B67" s="1790" t="s">
        <v>2028</v>
      </c>
      <c r="C67" s="1791" t="str">
        <f>C68&amp;"（含）"&amp;"-"&amp;D68</f>
        <v>（含）-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57" t="str">
        <f>M68&amp;"（含）"&amp;"-"&amp;P68</f>
        <v>（含）-</v>
      </c>
      <c r="N67" s="1783"/>
      <c r="O67" s="1783"/>
      <c r="P67" s="1778"/>
      <c r="Q67" s="1747"/>
    </row>
    <row r="68" spans="1:17">
      <c r="A68" s="1779"/>
      <c r="B68" s="1792"/>
      <c r="C68" s="1793"/>
      <c r="D68" s="1793"/>
      <c r="E68" s="1793"/>
      <c r="F68" s="1793"/>
      <c r="G68" s="1793"/>
      <c r="H68" s="1793"/>
      <c r="I68" s="1793"/>
      <c r="J68" s="1793"/>
      <c r="K68" s="438"/>
      <c r="L68" s="438"/>
      <c r="M68" s="1794"/>
      <c r="N68" s="1777"/>
      <c r="O68" s="1777"/>
      <c r="P68" s="1778"/>
      <c r="Q68" s="1747"/>
    </row>
    <row r="69" spans="1:17" ht="14.4"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7" customFormat="1" ht="14.4" thickTop="1">
      <c r="A70" s="1795"/>
      <c r="B70" s="1784">
        <f>B12</f>
        <v>111</v>
      </c>
      <c r="C70" s="468"/>
      <c r="D70" s="468"/>
      <c r="E70" s="468"/>
      <c r="F70" s="468"/>
      <c r="G70" s="468"/>
      <c r="H70" s="443"/>
      <c r="I70" s="443"/>
      <c r="J70" s="443"/>
      <c r="K70" s="443"/>
      <c r="L70" s="443"/>
      <c r="M70" s="1796"/>
      <c r="N70" s="1797"/>
      <c r="O70" s="1797"/>
      <c r="P70" s="1798"/>
      <c r="Q70" s="1799"/>
    </row>
    <row r="71" spans="1:17" s="1697" customFormat="1" ht="14.4" thickBot="1">
      <c r="A71" s="1795"/>
      <c r="B71" s="1787"/>
      <c r="C71" s="1800"/>
      <c r="D71" s="1781"/>
      <c r="E71" s="1781"/>
      <c r="F71" s="1781"/>
      <c r="G71" s="1781"/>
      <c r="H71" s="1781"/>
      <c r="I71" s="1781"/>
      <c r="J71" s="1781"/>
      <c r="K71" s="1781"/>
      <c r="L71" s="1781"/>
      <c r="M71" s="1782"/>
      <c r="N71" s="1783"/>
      <c r="O71" s="1783"/>
      <c r="P71" s="1798"/>
      <c r="Q71" s="1799"/>
    </row>
    <row r="72" spans="1:17" s="1697" customFormat="1" ht="14.4" thickTop="1">
      <c r="A72" s="1795"/>
      <c r="B72" s="1784">
        <f>B13</f>
        <v>111</v>
      </c>
      <c r="C72" s="468"/>
      <c r="D72" s="468"/>
      <c r="E72" s="468"/>
      <c r="F72" s="468"/>
      <c r="G72" s="468"/>
      <c r="H72" s="443"/>
      <c r="I72" s="443"/>
      <c r="J72" s="443"/>
      <c r="K72" s="443"/>
      <c r="L72" s="443"/>
      <c r="M72" s="1796"/>
      <c r="N72" s="1797"/>
      <c r="O72" s="1797"/>
      <c r="P72" s="1801"/>
      <c r="Q72" s="1802"/>
    </row>
    <row r="73" spans="1:17" s="1697" customFormat="1" ht="14.4" thickBot="1">
      <c r="A73" s="1795"/>
      <c r="B73" s="1787"/>
      <c r="C73" s="1800"/>
      <c r="D73" s="1800"/>
      <c r="E73" s="1800"/>
      <c r="F73" s="1800"/>
      <c r="G73" s="1800"/>
      <c r="H73" s="1803"/>
      <c r="I73" s="1803"/>
      <c r="J73" s="1803"/>
      <c r="K73" s="1803"/>
      <c r="L73" s="1803"/>
      <c r="M73" s="1804"/>
      <c r="N73" s="1797"/>
      <c r="O73" s="1797"/>
      <c r="P73" s="1798"/>
      <c r="Q73" s="1799"/>
    </row>
    <row r="74" spans="1:17" s="1697" customFormat="1" ht="14.4" thickTop="1">
      <c r="A74" s="1795"/>
      <c r="B74" s="1790">
        <f>B14</f>
        <v>111</v>
      </c>
      <c r="C74" s="468"/>
      <c r="D74" s="468"/>
      <c r="E74" s="468"/>
      <c r="F74" s="468"/>
      <c r="G74" s="409"/>
      <c r="H74" s="453"/>
      <c r="I74" s="453"/>
      <c r="J74" s="453"/>
      <c r="K74" s="453"/>
      <c r="L74" s="453"/>
      <c r="M74" s="1805"/>
      <c r="N74" s="1797"/>
      <c r="O74" s="1797"/>
      <c r="P74" s="1798"/>
      <c r="Q74" s="1799"/>
    </row>
    <row r="75" spans="1:17" s="1697" customFormat="1" ht="14.4" thickBot="1">
      <c r="A75" s="1806"/>
      <c r="B75" s="1807"/>
      <c r="C75" s="1808"/>
      <c r="D75" s="1808"/>
      <c r="E75" s="1808"/>
      <c r="F75" s="1808"/>
      <c r="G75" s="1808"/>
      <c r="H75" s="1809"/>
      <c r="I75" s="1809"/>
      <c r="J75" s="1809"/>
      <c r="K75" s="1809"/>
      <c r="L75" s="1809"/>
      <c r="M75" s="1810"/>
      <c r="N75" s="1797"/>
      <c r="O75" s="1797"/>
      <c r="P75" s="1798"/>
      <c r="Q75" s="1799"/>
    </row>
    <row r="76" spans="1:17" ht="14.4">
      <c r="A76" s="1772" t="s">
        <v>2029</v>
      </c>
      <c r="B76" s="1773" t="s">
        <v>2067</v>
      </c>
      <c r="C76" s="1811" t="s">
        <v>2068</v>
      </c>
      <c r="D76" s="1811" t="s">
        <v>2069</v>
      </c>
      <c r="E76" s="1811" t="s">
        <v>2070</v>
      </c>
      <c r="F76" s="1811" t="s">
        <v>2071</v>
      </c>
      <c r="G76" s="1811" t="s">
        <v>2072</v>
      </c>
      <c r="H76" s="1774"/>
      <c r="I76" s="1774"/>
      <c r="J76" s="1774"/>
      <c r="K76" s="463"/>
      <c r="L76" s="463"/>
      <c r="M76" s="1812"/>
      <c r="N76" s="1777"/>
      <c r="O76" s="1777"/>
      <c r="P76" s="1778"/>
      <c r="Q76" s="1747"/>
    </row>
    <row r="77" spans="1:17" ht="14.4" thickBot="1">
      <c r="A77" s="1779"/>
      <c r="B77" s="1787"/>
      <c r="C77" s="1788">
        <v>100</v>
      </c>
      <c r="D77" s="1788">
        <f>C77-$K15</f>
        <v>100</v>
      </c>
      <c r="E77" s="1788">
        <f>D77-$K15</f>
        <v>100</v>
      </c>
      <c r="F77" s="1788">
        <f>E77-$K15</f>
        <v>100</v>
      </c>
      <c r="G77" s="1788">
        <f>F77-$K15</f>
        <v>100</v>
      </c>
      <c r="H77" s="1788"/>
      <c r="I77" s="1788"/>
      <c r="J77" s="1788"/>
      <c r="K77" s="1788"/>
      <c r="L77" s="1788"/>
      <c r="M77" s="1789"/>
      <c r="N77" s="1783"/>
      <c r="O77" s="1783"/>
      <c r="P77" s="1778"/>
      <c r="Q77" s="1747"/>
    </row>
    <row r="78" spans="1:17" ht="15" thickTop="1">
      <c r="A78" s="1779"/>
      <c r="B78" s="1784" t="s">
        <v>2073</v>
      </c>
      <c r="C78" s="579" t="s">
        <v>2068</v>
      </c>
      <c r="D78" s="579" t="s">
        <v>2069</v>
      </c>
      <c r="E78" s="579" t="s">
        <v>2070</v>
      </c>
      <c r="F78" s="579" t="s">
        <v>2071</v>
      </c>
      <c r="G78" s="579" t="s">
        <v>2072</v>
      </c>
      <c r="H78" s="1785"/>
      <c r="I78" s="1785"/>
      <c r="J78" s="1785"/>
      <c r="K78" s="428"/>
      <c r="L78" s="428"/>
      <c r="M78" s="1786"/>
      <c r="N78" s="1777"/>
      <c r="O78" s="1777"/>
      <c r="P78" s="1778"/>
      <c r="Q78" s="1747"/>
    </row>
    <row r="79" spans="1:17" ht="14.4" thickBot="1">
      <c r="A79" s="1779"/>
      <c r="B79" s="1787"/>
      <c r="C79" s="1788">
        <v>100</v>
      </c>
      <c r="D79" s="1788">
        <f>C79-$K17</f>
        <v>100</v>
      </c>
      <c r="E79" s="1788">
        <f>D79-$K17</f>
        <v>100</v>
      </c>
      <c r="F79" s="1788">
        <f>E79-$K17</f>
        <v>100</v>
      </c>
      <c r="G79" s="1788">
        <f>F79-$K17</f>
        <v>100</v>
      </c>
      <c r="H79" s="1788"/>
      <c r="I79" s="1788"/>
      <c r="J79" s="1788"/>
      <c r="K79" s="1788"/>
      <c r="L79" s="1788"/>
      <c r="M79" s="1789"/>
      <c r="N79" s="1783"/>
      <c r="O79" s="1783"/>
      <c r="P79" s="1778"/>
      <c r="Q79" s="1747"/>
    </row>
    <row r="80" spans="1:17" ht="15" thickTop="1">
      <c r="A80" s="1779"/>
      <c r="B80" s="1784" t="s">
        <v>2074</v>
      </c>
      <c r="C80" s="579" t="s">
        <v>2068</v>
      </c>
      <c r="D80" s="579" t="s">
        <v>2069</v>
      </c>
      <c r="E80" s="579" t="s">
        <v>2070</v>
      </c>
      <c r="F80" s="579" t="s">
        <v>2071</v>
      </c>
      <c r="G80" s="579" t="s">
        <v>2072</v>
      </c>
      <c r="H80" s="1785"/>
      <c r="I80" s="1785"/>
      <c r="J80" s="1785"/>
      <c r="K80" s="428"/>
      <c r="L80" s="428"/>
      <c r="M80" s="1786"/>
      <c r="N80" s="1777"/>
      <c r="O80" s="1777"/>
      <c r="P80" s="1778"/>
      <c r="Q80" s="1747"/>
    </row>
    <row r="81" spans="1:17" ht="14.4" thickBot="1">
      <c r="A81" s="1779"/>
      <c r="B81" s="1787"/>
      <c r="C81" s="1788">
        <v>100</v>
      </c>
      <c r="D81" s="1788">
        <f>C81-$K19</f>
        <v>100</v>
      </c>
      <c r="E81" s="1788">
        <f>D81-$K19</f>
        <v>100</v>
      </c>
      <c r="F81" s="1788">
        <f>E81-$K19</f>
        <v>100</v>
      </c>
      <c r="G81" s="1788">
        <f>F81-$K19</f>
        <v>100</v>
      </c>
      <c r="H81" s="1788"/>
      <c r="I81" s="1788"/>
      <c r="J81" s="1788"/>
      <c r="K81" s="1788"/>
      <c r="L81" s="1788"/>
      <c r="M81" s="1789"/>
      <c r="N81" s="1783"/>
      <c r="O81" s="1783"/>
      <c r="P81" s="1778"/>
      <c r="Q81" s="1747"/>
    </row>
    <row r="82" spans="1:17" ht="15" thickTop="1">
      <c r="A82" s="1779"/>
      <c r="B82" s="1790" t="s">
        <v>1467</v>
      </c>
      <c r="C82" s="1785" t="s">
        <v>2075</v>
      </c>
      <c r="D82" s="1785" t="s">
        <v>2076</v>
      </c>
      <c r="E82" s="1785" t="s">
        <v>2077</v>
      </c>
      <c r="F82" s="1785" t="s">
        <v>2078</v>
      </c>
      <c r="G82" s="1785" t="s">
        <v>2079</v>
      </c>
      <c r="H82" s="1785"/>
      <c r="I82" s="1785"/>
      <c r="J82" s="1785"/>
      <c r="K82" s="1785"/>
      <c r="L82" s="1785"/>
      <c r="M82" s="1813"/>
      <c r="N82" s="1783"/>
      <c r="O82" s="1783"/>
      <c r="P82" s="1778"/>
      <c r="Q82" s="1747"/>
    </row>
    <row r="83" spans="1:17" ht="14.4" thickBot="1">
      <c r="A83" s="1779"/>
      <c r="B83" s="1790"/>
      <c r="C83" s="1788">
        <v>100</v>
      </c>
      <c r="D83" s="1788">
        <f>C83-$K21</f>
        <v>100</v>
      </c>
      <c r="E83" s="1788">
        <f>D83-$K21</f>
        <v>100</v>
      </c>
      <c r="F83" s="1788">
        <f>E83-$K21</f>
        <v>100</v>
      </c>
      <c r="G83" s="1788">
        <f>F83-$K21</f>
        <v>100</v>
      </c>
      <c r="H83" s="1814"/>
      <c r="I83" s="1814"/>
      <c r="J83" s="1814"/>
      <c r="K83" s="1814"/>
      <c r="L83" s="1814"/>
      <c r="M83" s="1661"/>
      <c r="N83" s="1783"/>
      <c r="O83" s="1783"/>
      <c r="P83" s="1778"/>
      <c r="Q83" s="1747"/>
    </row>
    <row r="84" spans="1:17" ht="15" thickTop="1">
      <c r="A84" s="1779"/>
      <c r="B84" s="1784" t="s">
        <v>2080</v>
      </c>
      <c r="C84" s="579" t="s">
        <v>2068</v>
      </c>
      <c r="D84" s="579" t="s">
        <v>2069</v>
      </c>
      <c r="E84" s="579" t="s">
        <v>2070</v>
      </c>
      <c r="F84" s="579" t="s">
        <v>2071</v>
      </c>
      <c r="G84" s="579" t="s">
        <v>2072</v>
      </c>
      <c r="H84" s="1785"/>
      <c r="I84" s="1785"/>
      <c r="J84" s="1785"/>
      <c r="K84" s="428"/>
      <c r="L84" s="428"/>
      <c r="M84" s="1786"/>
      <c r="N84" s="1777"/>
      <c r="O84" s="1777"/>
      <c r="P84" s="1778"/>
      <c r="Q84" s="1747"/>
    </row>
    <row r="85" spans="1:17" ht="14.4" thickBot="1">
      <c r="A85" s="1779"/>
      <c r="B85" s="1787"/>
      <c r="C85" s="1788">
        <v>100</v>
      </c>
      <c r="D85" s="1788">
        <f>C85-$K23</f>
        <v>100</v>
      </c>
      <c r="E85" s="1788">
        <f>D85-$K23</f>
        <v>100</v>
      </c>
      <c r="F85" s="1788">
        <f>E85-$K23</f>
        <v>100</v>
      </c>
      <c r="G85" s="1788">
        <f>F85-$K23</f>
        <v>100</v>
      </c>
      <c r="H85" s="1788"/>
      <c r="I85" s="1788"/>
      <c r="J85" s="1788"/>
      <c r="K85" s="1788"/>
      <c r="L85" s="1788"/>
      <c r="M85" s="1789"/>
      <c r="N85" s="1783"/>
      <c r="O85" s="1783"/>
      <c r="P85" s="1778"/>
      <c r="Q85" s="1747"/>
    </row>
    <row r="86" spans="1:17" s="1610" customFormat="1" ht="15" thickTop="1">
      <c r="A86" s="1815"/>
      <c r="B86" s="1784" t="s">
        <v>2081</v>
      </c>
      <c r="C86" s="468"/>
      <c r="D86" s="468"/>
      <c r="E86" s="468"/>
      <c r="F86" s="468"/>
      <c r="G86" s="468"/>
      <c r="H86" s="468"/>
      <c r="I86" s="468"/>
      <c r="J86" s="468"/>
      <c r="K86" s="468"/>
      <c r="L86" s="468"/>
      <c r="M86" s="1816"/>
      <c r="N86" s="1768"/>
      <c r="O86" s="1768"/>
      <c r="P86" s="1778"/>
      <c r="Q86" s="1747"/>
    </row>
    <row r="87" spans="1:17" s="1610" customFormat="1" ht="14.4"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0" customFormat="1" ht="15" thickTop="1">
      <c r="A88" s="1815"/>
      <c r="B88" s="1784" t="s">
        <v>2082</v>
      </c>
      <c r="C88" s="468"/>
      <c r="D88" s="468"/>
      <c r="E88" s="468"/>
      <c r="F88" s="1818"/>
      <c r="G88" s="468"/>
      <c r="H88" s="468"/>
      <c r="I88" s="468"/>
      <c r="J88" s="468"/>
      <c r="K88" s="468"/>
      <c r="L88" s="468"/>
      <c r="M88" s="1816"/>
      <c r="N88" s="1768"/>
      <c r="O88" s="1768"/>
      <c r="P88" s="1778"/>
      <c r="Q88" s="1747"/>
    </row>
    <row r="89" spans="1:17" s="1610" customFormat="1" ht="14.4"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7" customFormat="1" ht="14.4" thickTop="1">
      <c r="A90" s="1795"/>
      <c r="B90" s="1784" t="str">
        <f>B27</f>
        <v>道路级别</v>
      </c>
      <c r="C90" s="468"/>
      <c r="D90" s="468"/>
      <c r="E90" s="468"/>
      <c r="F90" s="468"/>
      <c r="G90" s="468"/>
      <c r="H90" s="443"/>
      <c r="I90" s="443"/>
      <c r="J90" s="443"/>
      <c r="K90" s="443"/>
      <c r="L90" s="443"/>
      <c r="M90" s="1796"/>
      <c r="N90" s="1797"/>
      <c r="O90" s="1797"/>
      <c r="P90" s="1798"/>
      <c r="Q90" s="1799"/>
    </row>
    <row r="91" spans="1:17" s="1697" customFormat="1" ht="14.4" thickBot="1">
      <c r="A91" s="1795"/>
      <c r="B91" s="1787"/>
      <c r="C91" s="1800"/>
      <c r="D91" s="1800"/>
      <c r="E91" s="1800"/>
      <c r="F91" s="1800"/>
      <c r="G91" s="1800"/>
      <c r="H91" s="1803"/>
      <c r="I91" s="1803"/>
      <c r="J91" s="1803"/>
      <c r="K91" s="1803"/>
      <c r="L91" s="1803"/>
      <c r="M91" s="1804"/>
      <c r="N91" s="1797"/>
      <c r="O91" s="1797"/>
      <c r="P91" s="1798"/>
      <c r="Q91" s="1799"/>
    </row>
    <row r="92" spans="1:17" ht="14.4" thickTop="1">
      <c r="A92" s="1779"/>
      <c r="B92" s="1784">
        <f>B28</f>
        <v>111</v>
      </c>
      <c r="C92" s="468"/>
      <c r="D92" s="468"/>
      <c r="E92" s="468"/>
      <c r="F92" s="468"/>
      <c r="G92" s="1503"/>
      <c r="H92" s="1503"/>
      <c r="I92" s="1503"/>
      <c r="J92" s="1503"/>
      <c r="K92" s="473"/>
      <c r="L92" s="473"/>
      <c r="M92" s="1819"/>
      <c r="N92" s="1777"/>
      <c r="O92" s="1777"/>
      <c r="P92" s="1778"/>
      <c r="Q92" s="1747"/>
    </row>
    <row r="93" spans="1:17" ht="14.4" thickBot="1">
      <c r="A93" s="1779"/>
      <c r="B93" s="1787"/>
      <c r="C93" s="1800"/>
      <c r="D93" s="1781"/>
      <c r="E93" s="1781"/>
      <c r="F93" s="1781"/>
      <c r="G93" s="1781"/>
      <c r="H93" s="1781"/>
      <c r="I93" s="1781"/>
      <c r="J93" s="1781"/>
      <c r="K93" s="1781"/>
      <c r="L93" s="1781"/>
      <c r="M93" s="1782"/>
      <c r="N93" s="1783"/>
      <c r="O93" s="1783"/>
      <c r="P93" s="1778"/>
      <c r="Q93" s="1747"/>
    </row>
    <row r="94" spans="1:17" ht="14.4" thickTop="1">
      <c r="A94" s="1779"/>
      <c r="B94" s="1784">
        <f>B29</f>
        <v>111</v>
      </c>
      <c r="C94" s="468"/>
      <c r="D94" s="468"/>
      <c r="E94" s="468"/>
      <c r="F94" s="468"/>
      <c r="G94" s="1503"/>
      <c r="H94" s="1503"/>
      <c r="I94" s="1503"/>
      <c r="J94" s="1503"/>
      <c r="K94" s="473"/>
      <c r="L94" s="473"/>
      <c r="M94" s="1819"/>
      <c r="N94" s="1777"/>
      <c r="O94" s="1777"/>
      <c r="P94" s="1778"/>
      <c r="Q94" s="1747"/>
    </row>
    <row r="95" spans="1:17" ht="14.4" thickBot="1">
      <c r="A95" s="1779"/>
      <c r="B95" s="1787"/>
      <c r="C95" s="1800"/>
      <c r="D95" s="1800"/>
      <c r="E95" s="1800"/>
      <c r="F95" s="1800"/>
      <c r="G95" s="1781"/>
      <c r="H95" s="1781"/>
      <c r="I95" s="1781"/>
      <c r="J95" s="1781"/>
      <c r="K95" s="1781"/>
      <c r="L95" s="1781"/>
      <c r="M95" s="1782"/>
      <c r="N95" s="1783"/>
      <c r="O95" s="1783"/>
      <c r="P95" s="1778"/>
      <c r="Q95" s="1747"/>
    </row>
    <row r="96" spans="1:17" ht="14.4" thickTop="1">
      <c r="A96" s="1779"/>
      <c r="B96" s="1784">
        <f>B30</f>
        <v>111</v>
      </c>
      <c r="C96" s="468"/>
      <c r="D96" s="468"/>
      <c r="E96" s="468"/>
      <c r="F96" s="468"/>
      <c r="G96" s="1503"/>
      <c r="H96" s="1503"/>
      <c r="I96" s="1503"/>
      <c r="J96" s="1503"/>
      <c r="K96" s="473"/>
      <c r="L96" s="473"/>
      <c r="M96" s="1819"/>
      <c r="N96" s="1777"/>
      <c r="O96" s="1777"/>
      <c r="P96" s="1778"/>
      <c r="Q96" s="1747"/>
    </row>
    <row r="97" spans="1:17" ht="14.4" thickBot="1">
      <c r="A97" s="1779"/>
      <c r="B97" s="1787"/>
      <c r="C97" s="1808"/>
      <c r="D97" s="1808"/>
      <c r="E97" s="1808"/>
      <c r="F97" s="1808"/>
      <c r="G97" s="1781"/>
      <c r="H97" s="1781"/>
      <c r="I97" s="1781"/>
      <c r="J97" s="1781"/>
      <c r="K97" s="1781"/>
      <c r="L97" s="1781"/>
      <c r="M97" s="1782"/>
      <c r="N97" s="1783"/>
      <c r="O97" s="1783"/>
      <c r="P97" s="1778"/>
      <c r="Q97" s="1747"/>
    </row>
    <row r="98" spans="1:17" ht="14.4" thickTop="1">
      <c r="A98" s="1779"/>
      <c r="B98" s="1790">
        <f>B31</f>
        <v>111</v>
      </c>
      <c r="C98" s="1820"/>
      <c r="D98" s="1820"/>
      <c r="E98" s="1820"/>
      <c r="F98" s="1820"/>
      <c r="G98" s="1820"/>
      <c r="H98" s="1820"/>
      <c r="I98" s="1820"/>
      <c r="J98" s="1820"/>
      <c r="K98" s="477"/>
      <c r="L98" s="477"/>
      <c r="M98" s="1821"/>
      <c r="N98" s="1777"/>
      <c r="O98" s="1777"/>
      <c r="P98" s="1778"/>
      <c r="Q98" s="1747"/>
    </row>
    <row r="99" spans="1:17" ht="14.4" thickBot="1">
      <c r="A99" s="1822"/>
      <c r="B99" s="1807"/>
      <c r="C99" s="1823"/>
      <c r="D99" s="1823"/>
      <c r="E99" s="1823"/>
      <c r="F99" s="1823"/>
      <c r="G99" s="1823"/>
      <c r="H99" s="1823"/>
      <c r="I99" s="1823"/>
      <c r="J99" s="1823"/>
      <c r="K99" s="1823"/>
      <c r="L99" s="1823"/>
      <c r="M99" s="1824"/>
      <c r="N99" s="1783"/>
      <c r="O99" s="1783"/>
      <c r="P99" s="1778"/>
      <c r="Q99" s="1747"/>
    </row>
    <row r="100" spans="1:17" ht="14.4">
      <c r="A100" s="1772" t="s">
        <v>2034</v>
      </c>
      <c r="B100" s="1773" t="s">
        <v>2083</v>
      </c>
      <c r="C100" s="1775"/>
      <c r="D100" s="1775"/>
      <c r="E100" s="1775"/>
      <c r="F100" s="1775"/>
      <c r="G100" s="1775"/>
      <c r="H100" s="1775"/>
      <c r="I100" s="1775"/>
      <c r="J100" s="1775"/>
      <c r="K100" s="417"/>
      <c r="L100" s="417"/>
      <c r="M100" s="1776"/>
      <c r="N100" s="1777"/>
      <c r="O100" s="1777"/>
      <c r="P100" s="1778"/>
      <c r="Q100" s="1747"/>
    </row>
    <row r="101" spans="1:17" ht="14.4" thickBot="1">
      <c r="A101" s="1779"/>
      <c r="B101" s="1787"/>
      <c r="C101" s="1788">
        <v>100</v>
      </c>
      <c r="D101" s="1788">
        <f t="shared" ref="D101:M101" si="22">C101-$K32</f>
        <v>100</v>
      </c>
      <c r="E101" s="1788">
        <f t="shared" si="22"/>
        <v>100</v>
      </c>
      <c r="F101" s="1788">
        <f t="shared" si="22"/>
        <v>100</v>
      </c>
      <c r="G101" s="1788">
        <f t="shared" si="22"/>
        <v>100</v>
      </c>
      <c r="H101" s="1788">
        <f t="shared" si="22"/>
        <v>100</v>
      </c>
      <c r="I101" s="1788">
        <f t="shared" si="22"/>
        <v>100</v>
      </c>
      <c r="J101" s="1788">
        <f t="shared" si="22"/>
        <v>100</v>
      </c>
      <c r="K101" s="1788">
        <f t="shared" si="22"/>
        <v>100</v>
      </c>
      <c r="L101" s="1788">
        <f t="shared" si="22"/>
        <v>100</v>
      </c>
      <c r="M101" s="1788">
        <f t="shared" si="22"/>
        <v>100</v>
      </c>
      <c r="N101" s="1783"/>
      <c r="O101" s="1783"/>
      <c r="P101" s="1778"/>
      <c r="Q101" s="1747"/>
    </row>
    <row r="102" spans="1:17" ht="15" thickTop="1">
      <c r="A102" s="1779"/>
      <c r="B102" s="1784"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7" customFormat="1">
      <c r="A103" s="1825"/>
      <c r="B103" s="1826"/>
      <c r="C103" s="1827"/>
      <c r="D103" s="1827"/>
      <c r="E103" s="1827"/>
      <c r="F103" s="1827"/>
      <c r="G103" s="1827"/>
      <c r="H103" s="1827"/>
      <c r="I103" s="1827"/>
      <c r="J103" s="485"/>
      <c r="K103" s="485"/>
      <c r="L103" s="485"/>
      <c r="M103" s="1828"/>
      <c r="N103" s="1797"/>
      <c r="O103" s="1797"/>
      <c r="P103" s="1798"/>
      <c r="Q103" s="1799"/>
    </row>
    <row r="104" spans="1:17" s="1697" customFormat="1" ht="14.4" thickBot="1">
      <c r="A104" s="1795"/>
      <c r="B104" s="1787"/>
      <c r="C104" s="1800"/>
      <c r="D104" s="1781"/>
      <c r="E104" s="1781"/>
      <c r="F104" s="1781"/>
      <c r="G104" s="1781"/>
      <c r="H104" s="1781"/>
      <c r="I104" s="1781"/>
      <c r="J104" s="1781"/>
      <c r="K104" s="1781"/>
      <c r="L104" s="1781"/>
      <c r="M104" s="1781"/>
      <c r="N104" s="1783"/>
      <c r="O104" s="1783"/>
      <c r="P104" s="1798"/>
      <c r="Q104" s="1799"/>
    </row>
    <row r="105" spans="1:17" ht="15" thickTop="1">
      <c r="A105" s="1829"/>
      <c r="B105" s="1784" t="s">
        <v>2085</v>
      </c>
      <c r="C105" s="468"/>
      <c r="D105" s="468"/>
      <c r="E105" s="1503"/>
      <c r="F105" s="1503"/>
      <c r="G105" s="1503"/>
      <c r="H105" s="1503"/>
      <c r="I105" s="1503"/>
      <c r="J105" s="1503"/>
      <c r="K105" s="473"/>
      <c r="L105" s="473"/>
      <c r="M105" s="1819"/>
      <c r="N105" s="1777"/>
      <c r="O105" s="1777"/>
      <c r="P105" s="1778"/>
      <c r="Q105" s="1747"/>
    </row>
    <row r="106" spans="1:17" ht="14.4" thickBot="1">
      <c r="A106" s="1779"/>
      <c r="B106" s="1787"/>
      <c r="C106" s="1788">
        <v>100</v>
      </c>
      <c r="D106" s="1788">
        <f t="shared" ref="D106:M106" si="24">C106-$K34</f>
        <v>100</v>
      </c>
      <c r="E106" s="1788">
        <f t="shared" si="24"/>
        <v>100</v>
      </c>
      <c r="F106" s="1788">
        <f t="shared" si="24"/>
        <v>100</v>
      </c>
      <c r="G106" s="1788">
        <f t="shared" si="24"/>
        <v>100</v>
      </c>
      <c r="H106" s="1788">
        <f t="shared" si="24"/>
        <v>100</v>
      </c>
      <c r="I106" s="1788">
        <f t="shared" si="24"/>
        <v>100</v>
      </c>
      <c r="J106" s="1788">
        <f t="shared" si="24"/>
        <v>100</v>
      </c>
      <c r="K106" s="1788">
        <f t="shared" si="24"/>
        <v>100</v>
      </c>
      <c r="L106" s="1788">
        <f t="shared" si="24"/>
        <v>100</v>
      </c>
      <c r="M106" s="1788">
        <f t="shared" si="24"/>
        <v>100</v>
      </c>
      <c r="N106" s="1783"/>
      <c r="O106" s="1783"/>
      <c r="P106" s="1778"/>
      <c r="Q106" s="1747"/>
    </row>
    <row r="107" spans="1:17" ht="15" thickTop="1">
      <c r="A107" s="1829"/>
      <c r="B107" s="1784" t="s">
        <v>2086</v>
      </c>
      <c r="C107" s="1503"/>
      <c r="D107" s="1503"/>
      <c r="E107" s="1503"/>
      <c r="F107" s="1503"/>
      <c r="G107" s="1503"/>
      <c r="H107" s="1503"/>
      <c r="I107" s="1503"/>
      <c r="J107" s="1503"/>
      <c r="K107" s="473"/>
      <c r="L107" s="473"/>
      <c r="M107" s="1819"/>
      <c r="N107" s="1777"/>
      <c r="O107" s="1777"/>
      <c r="P107" s="1778"/>
      <c r="Q107" s="1747"/>
    </row>
    <row r="108" spans="1:17" ht="14.4" thickBot="1">
      <c r="A108" s="1779"/>
      <c r="B108" s="1787"/>
      <c r="C108" s="1788">
        <v>100</v>
      </c>
      <c r="D108" s="1788">
        <f t="shared" ref="D108:M108" si="25">C108-$K35</f>
        <v>100</v>
      </c>
      <c r="E108" s="1788">
        <f t="shared" si="25"/>
        <v>100</v>
      </c>
      <c r="F108" s="1788">
        <f t="shared" si="25"/>
        <v>100</v>
      </c>
      <c r="G108" s="1788">
        <f t="shared" si="25"/>
        <v>100</v>
      </c>
      <c r="H108" s="1788">
        <f t="shared" si="25"/>
        <v>100</v>
      </c>
      <c r="I108" s="1788">
        <f t="shared" si="25"/>
        <v>100</v>
      </c>
      <c r="J108" s="1788">
        <f t="shared" si="25"/>
        <v>100</v>
      </c>
      <c r="K108" s="1788">
        <f t="shared" si="25"/>
        <v>100</v>
      </c>
      <c r="L108" s="1788">
        <f t="shared" si="25"/>
        <v>100</v>
      </c>
      <c r="M108" s="1788">
        <f t="shared" si="25"/>
        <v>100</v>
      </c>
      <c r="N108" s="1783"/>
      <c r="O108" s="1783"/>
      <c r="P108" s="1778"/>
      <c r="Q108" s="1747"/>
    </row>
    <row r="109" spans="1:17" ht="15" thickTop="1">
      <c r="A109" s="1829"/>
      <c r="B109" s="1784" t="s">
        <v>2087</v>
      </c>
      <c r="C109" s="468"/>
      <c r="D109" s="468"/>
      <c r="E109" s="468"/>
      <c r="F109" s="1503"/>
      <c r="G109" s="1503"/>
      <c r="H109" s="1503"/>
      <c r="I109" s="1503"/>
      <c r="J109" s="1503"/>
      <c r="K109" s="473"/>
      <c r="L109" s="473"/>
      <c r="M109" s="1819"/>
      <c r="N109" s="1777"/>
      <c r="O109" s="1777"/>
      <c r="P109" s="1778"/>
      <c r="Q109" s="1747"/>
    </row>
    <row r="110" spans="1:17" ht="14.4" thickBot="1">
      <c r="A110" s="1779"/>
      <c r="B110" s="1787"/>
      <c r="C110" s="1788">
        <v>100</v>
      </c>
      <c r="D110" s="1788">
        <f t="shared" ref="D110:M110" si="26">C110-$K36</f>
        <v>100</v>
      </c>
      <c r="E110" s="1788">
        <f t="shared" si="26"/>
        <v>100</v>
      </c>
      <c r="F110" s="1788">
        <f t="shared" si="26"/>
        <v>100</v>
      </c>
      <c r="G110" s="1788">
        <f t="shared" si="26"/>
        <v>100</v>
      </c>
      <c r="H110" s="1788">
        <f t="shared" si="26"/>
        <v>100</v>
      </c>
      <c r="I110" s="1788">
        <f t="shared" si="26"/>
        <v>100</v>
      </c>
      <c r="J110" s="1788">
        <f t="shared" si="26"/>
        <v>100</v>
      </c>
      <c r="K110" s="1788">
        <f t="shared" si="26"/>
        <v>100</v>
      </c>
      <c r="L110" s="1788">
        <f t="shared" si="26"/>
        <v>100</v>
      </c>
      <c r="M110" s="1788">
        <f t="shared" si="26"/>
        <v>100</v>
      </c>
      <c r="N110" s="1783"/>
      <c r="O110" s="1783"/>
      <c r="P110" s="1778"/>
      <c r="Q110" s="1747"/>
    </row>
    <row r="111" spans="1:17" s="1697" customFormat="1" ht="15" thickTop="1">
      <c r="A111" s="1825"/>
      <c r="B111" s="1784"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7"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7" customFormat="1" ht="14.4" thickBot="1">
      <c r="A113" s="1795"/>
      <c r="B113" s="1787"/>
      <c r="C113" s="1817">
        <v>100</v>
      </c>
      <c r="D113" s="1788">
        <f>C113+$K37</f>
        <v>100</v>
      </c>
      <c r="E113" s="1788">
        <f>D113+$K37</f>
        <v>100</v>
      </c>
      <c r="F113" s="1788">
        <f>E113+$K37</f>
        <v>100</v>
      </c>
      <c r="G113" s="1788">
        <f>F113+$K37</f>
        <v>100</v>
      </c>
      <c r="H113" s="1788">
        <f>G113+$K37</f>
        <v>100</v>
      </c>
      <c r="I113" s="1817"/>
      <c r="J113" s="1833"/>
      <c r="K113" s="1833"/>
      <c r="L113" s="1833"/>
      <c r="M113" s="1834"/>
      <c r="N113" s="1797"/>
      <c r="O113" s="1797"/>
      <c r="P113" s="1798"/>
      <c r="Q113" s="1799"/>
    </row>
    <row r="114" spans="1:17" ht="15" thickTop="1">
      <c r="A114" s="1829"/>
      <c r="B114" s="1784" t="s">
        <v>2089</v>
      </c>
      <c r="C114" s="468"/>
      <c r="D114" s="468"/>
      <c r="E114" s="1503"/>
      <c r="F114" s="1503"/>
      <c r="G114" s="1503"/>
      <c r="H114" s="1503"/>
      <c r="I114" s="1503"/>
      <c r="J114" s="1503"/>
      <c r="K114" s="473"/>
      <c r="L114" s="473"/>
      <c r="M114" s="1819"/>
      <c r="N114" s="1777"/>
      <c r="O114" s="1777"/>
      <c r="P114" s="1778"/>
      <c r="Q114" s="1747"/>
    </row>
    <row r="115" spans="1:17" ht="14.4"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8">
        <f t="shared" si="27"/>
        <v>100</v>
      </c>
      <c r="N115" s="1783"/>
      <c r="O115" s="1783"/>
      <c r="P115" s="1778"/>
      <c r="Q115" s="1747"/>
    </row>
    <row r="116" spans="1:17" ht="15" thickTop="1">
      <c r="A116" s="1829"/>
      <c r="B116" s="1784" t="s">
        <v>2090</v>
      </c>
      <c r="C116" s="468"/>
      <c r="D116" s="468"/>
      <c r="E116" s="468"/>
      <c r="F116" s="468"/>
      <c r="G116" s="468"/>
      <c r="H116" s="1503"/>
      <c r="I116" s="1503"/>
      <c r="J116" s="1503"/>
      <c r="K116" s="473"/>
      <c r="L116" s="473"/>
      <c r="M116" s="1819"/>
      <c r="N116" s="1777"/>
      <c r="O116" s="1777"/>
      <c r="P116" s="1778"/>
      <c r="Q116" s="1747"/>
    </row>
    <row r="117" spans="1:17" ht="14.4"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1783"/>
      <c r="O117" s="1783"/>
      <c r="P117" s="1778"/>
      <c r="Q117" s="1747"/>
    </row>
    <row r="118" spans="1:17" ht="15" thickTop="1">
      <c r="A118" s="1829"/>
      <c r="B118" s="1784" t="s">
        <v>2091</v>
      </c>
      <c r="C118" s="1503"/>
      <c r="D118" s="1503"/>
      <c r="E118" s="1503"/>
      <c r="F118" s="1503"/>
      <c r="G118" s="1503"/>
      <c r="H118" s="1503"/>
      <c r="I118" s="1503"/>
      <c r="J118" s="1503"/>
      <c r="K118" s="473"/>
      <c r="L118" s="473"/>
      <c r="M118" s="1819"/>
      <c r="N118" s="1777"/>
      <c r="O118" s="1777"/>
      <c r="P118" s="1778"/>
      <c r="Q118" s="1747"/>
    </row>
    <row r="119" spans="1:17" ht="14.4" thickBot="1">
      <c r="A119" s="1779"/>
      <c r="B119" s="1787"/>
      <c r="C119" s="1788">
        <v>100</v>
      </c>
      <c r="D119" s="1788">
        <f t="shared" ref="D119:M119" si="28">C119-$K40</f>
        <v>100</v>
      </c>
      <c r="E119" s="1788">
        <f t="shared" si="28"/>
        <v>100</v>
      </c>
      <c r="F119" s="1788">
        <f t="shared" si="28"/>
        <v>100</v>
      </c>
      <c r="G119" s="1788">
        <f t="shared" si="28"/>
        <v>100</v>
      </c>
      <c r="H119" s="1788">
        <f t="shared" si="28"/>
        <v>100</v>
      </c>
      <c r="I119" s="1788">
        <f t="shared" si="28"/>
        <v>100</v>
      </c>
      <c r="J119" s="1788">
        <f t="shared" si="28"/>
        <v>100</v>
      </c>
      <c r="K119" s="1788">
        <f t="shared" si="28"/>
        <v>100</v>
      </c>
      <c r="L119" s="1788">
        <f t="shared" si="28"/>
        <v>100</v>
      </c>
      <c r="M119" s="1788">
        <f t="shared" si="28"/>
        <v>100</v>
      </c>
      <c r="N119" s="1783"/>
      <c r="O119" s="1783"/>
      <c r="P119" s="1778"/>
      <c r="Q119" s="1747"/>
    </row>
    <row r="120" spans="1:17" s="1697" customFormat="1" ht="29.4" thickTop="1">
      <c r="A120" s="1825"/>
      <c r="B120" s="1784" t="s">
        <v>2045</v>
      </c>
      <c r="C120" s="468"/>
      <c r="D120" s="468"/>
      <c r="E120" s="468"/>
      <c r="F120" s="468"/>
      <c r="G120" s="468"/>
      <c r="H120" s="468"/>
      <c r="I120" s="468"/>
      <c r="J120" s="468"/>
      <c r="K120" s="468"/>
      <c r="L120" s="468"/>
      <c r="M120" s="1816"/>
      <c r="N120" s="1797"/>
      <c r="O120" s="1797"/>
      <c r="P120" s="1798"/>
      <c r="Q120" s="1799"/>
    </row>
    <row r="121" spans="1:17" s="1697" customFormat="1" ht="14.4"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2092</v>
      </c>
      <c r="C122" s="468"/>
      <c r="D122" s="468"/>
      <c r="E122" s="468"/>
      <c r="F122" s="1503"/>
      <c r="G122" s="1503"/>
      <c r="H122" s="1503"/>
      <c r="I122" s="1503"/>
      <c r="J122" s="1503"/>
      <c r="K122" s="473"/>
      <c r="L122" s="473"/>
      <c r="M122" s="1819"/>
      <c r="N122" s="1777"/>
      <c r="O122" s="1777"/>
      <c r="P122" s="1778"/>
      <c r="Q122" s="1747"/>
    </row>
    <row r="123" spans="1:17" ht="14.4"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8">
        <f t="shared" si="29"/>
        <v>100</v>
      </c>
      <c r="N123" s="1783"/>
      <c r="O123" s="1783"/>
      <c r="P123" s="1778"/>
      <c r="Q123" s="1747"/>
    </row>
    <row r="124" spans="1:17" ht="29.4" thickTop="1">
      <c r="A124" s="1829"/>
      <c r="B124" s="1784" t="s">
        <v>2093</v>
      </c>
      <c r="C124" s="579" t="s">
        <v>2068</v>
      </c>
      <c r="D124" s="579" t="s">
        <v>2069</v>
      </c>
      <c r="E124" s="579" t="s">
        <v>2070</v>
      </c>
      <c r="F124" s="579" t="s">
        <v>2071</v>
      </c>
      <c r="G124" s="579" t="s">
        <v>2072</v>
      </c>
      <c r="H124" s="1785"/>
      <c r="I124" s="1785"/>
      <c r="J124" s="1785"/>
      <c r="K124" s="428"/>
      <c r="L124" s="428"/>
      <c r="M124" s="1786"/>
      <c r="N124" s="1777"/>
      <c r="O124" s="1777"/>
      <c r="P124" s="1798"/>
      <c r="Q124" s="1747"/>
    </row>
    <row r="125" spans="1:17" ht="14.4"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1783"/>
      <c r="O125" s="1783"/>
      <c r="P125" s="1778"/>
      <c r="Q125" s="1747"/>
    </row>
    <row r="126" spans="1:17" s="1697" customFormat="1" ht="14.4" thickTop="1">
      <c r="A126" s="1825"/>
      <c r="B126" s="1784">
        <f>B44</f>
        <v>111</v>
      </c>
      <c r="C126" s="468"/>
      <c r="D126" s="468"/>
      <c r="E126" s="468"/>
      <c r="F126" s="468"/>
      <c r="G126" s="468"/>
      <c r="H126" s="443"/>
      <c r="I126" s="443"/>
      <c r="J126" s="443"/>
      <c r="K126" s="443"/>
      <c r="L126" s="443"/>
      <c r="M126" s="1796"/>
      <c r="N126" s="1797"/>
      <c r="O126" s="1797"/>
      <c r="P126" s="1798"/>
      <c r="Q126" s="1799"/>
    </row>
    <row r="127" spans="1:17" s="1697" customFormat="1" ht="14.4" thickBot="1">
      <c r="A127" s="1795"/>
      <c r="B127" s="1787"/>
      <c r="C127" s="1800"/>
      <c r="D127" s="1781"/>
      <c r="E127" s="1781"/>
      <c r="F127" s="1781"/>
      <c r="G127" s="1800"/>
      <c r="H127" s="1803"/>
      <c r="I127" s="1803"/>
      <c r="J127" s="1803"/>
      <c r="K127" s="1803"/>
      <c r="L127" s="1803"/>
      <c r="M127" s="1804"/>
      <c r="N127" s="1797"/>
      <c r="O127" s="1797"/>
      <c r="P127" s="1798"/>
      <c r="Q127" s="1799"/>
    </row>
    <row r="128" spans="1:17" ht="14.4" thickTop="1">
      <c r="A128" s="1829"/>
      <c r="B128" s="1784">
        <f>B45</f>
        <v>111</v>
      </c>
      <c r="C128" s="468"/>
      <c r="D128" s="468"/>
      <c r="E128" s="468"/>
      <c r="F128" s="468"/>
      <c r="G128" s="1503"/>
      <c r="H128" s="1503"/>
      <c r="I128" s="1503"/>
      <c r="J128" s="1503"/>
      <c r="K128" s="473"/>
      <c r="L128" s="473"/>
      <c r="M128" s="1819"/>
      <c r="N128" s="1777"/>
      <c r="O128" s="1777"/>
      <c r="P128" s="1778"/>
      <c r="Q128" s="1747"/>
    </row>
    <row r="129" spans="1:17" ht="14.4" thickBot="1">
      <c r="A129" s="1779"/>
      <c r="B129" s="1787"/>
      <c r="C129" s="1800"/>
      <c r="D129" s="1800"/>
      <c r="E129" s="1800"/>
      <c r="F129" s="1800"/>
      <c r="G129" s="1781"/>
      <c r="H129" s="1781"/>
      <c r="I129" s="1781"/>
      <c r="J129" s="1781"/>
      <c r="K129" s="1781"/>
      <c r="L129" s="1781"/>
      <c r="M129" s="1782"/>
      <c r="N129" s="1783"/>
      <c r="O129" s="1783"/>
      <c r="P129" s="1778"/>
      <c r="Q129" s="1747"/>
    </row>
    <row r="130" spans="1:17" ht="14.4"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4.4"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498" t="s">
        <v>2094</v>
      </c>
    </row>
    <row r="137" spans="1:17" ht="15">
      <c r="B137" s="1837" t="s">
        <v>2095</v>
      </c>
      <c r="C137" s="1838"/>
      <c r="D137" s="1838"/>
      <c r="E137" s="1838"/>
      <c r="F137" s="1838"/>
      <c r="G137" s="1839"/>
      <c r="H137" s="1840"/>
      <c r="I137" s="1841" t="s">
        <v>2096</v>
      </c>
      <c r="J137" s="1838"/>
      <c r="K137" s="1842"/>
    </row>
    <row r="138" spans="1:17" ht="15">
      <c r="B138" s="1843"/>
      <c r="C138" s="1844" t="s">
        <v>2097</v>
      </c>
      <c r="D138" s="1844" t="s">
        <v>2098</v>
      </c>
      <c r="E138" s="1845" t="s">
        <v>2099</v>
      </c>
      <c r="F138" s="1846" t="s">
        <v>2100</v>
      </c>
      <c r="G138" s="1844" t="s">
        <v>2098</v>
      </c>
      <c r="H138" s="1847" t="s">
        <v>2099</v>
      </c>
      <c r="I138" s="1848"/>
      <c r="J138" s="1844" t="s">
        <v>2101</v>
      </c>
      <c r="K138" s="1847" t="s">
        <v>2102</v>
      </c>
    </row>
    <row r="139" spans="1:17" ht="15">
      <c r="B139" s="1849">
        <v>6</v>
      </c>
      <c r="C139" s="1850">
        <v>96</v>
      </c>
      <c r="D139" s="1851" t="s">
        <v>2103</v>
      </c>
      <c r="E139" s="1852">
        <v>100</v>
      </c>
      <c r="F139" s="1853">
        <v>102.5</v>
      </c>
      <c r="G139" s="1851" t="s">
        <v>2103</v>
      </c>
      <c r="H139" s="1854">
        <v>105</v>
      </c>
      <c r="I139" s="1855" t="s">
        <v>2104</v>
      </c>
      <c r="J139" s="1850">
        <v>20</v>
      </c>
      <c r="K139" s="1856">
        <f>C145/(J139-2)</f>
        <v>4.0555555555555553E-3</v>
      </c>
    </row>
    <row r="140" spans="1:17" ht="15">
      <c r="B140" s="1857">
        <v>5</v>
      </c>
      <c r="C140" s="1858">
        <v>100</v>
      </c>
      <c r="D140" s="1858"/>
      <c r="E140" s="1859"/>
      <c r="F140" s="1860">
        <v>102</v>
      </c>
      <c r="G140" s="1858"/>
      <c r="H140" s="1861"/>
      <c r="I140" s="1862" t="s">
        <v>2105</v>
      </c>
      <c r="J140" s="1863">
        <f>ROUNDUP((J139-1)/2,0)</f>
        <v>10</v>
      </c>
      <c r="K140" s="1864">
        <v>100</v>
      </c>
    </row>
    <row r="141" spans="1:17" ht="15">
      <c r="B141" s="1857">
        <v>4</v>
      </c>
      <c r="C141" s="1858">
        <v>102</v>
      </c>
      <c r="D141" s="1858"/>
      <c r="E141" s="1859"/>
      <c r="F141" s="1860">
        <v>101.5</v>
      </c>
      <c r="G141" s="1858"/>
      <c r="H141" s="1861"/>
      <c r="I141" s="1862" t="s">
        <v>2106</v>
      </c>
      <c r="J141" s="1863">
        <v>1</v>
      </c>
      <c r="K141" s="1865">
        <f>ROUND(100+(J141-J140)*K139*100,1)</f>
        <v>96.4</v>
      </c>
    </row>
    <row r="142" spans="1:17" ht="15">
      <c r="B142" s="1857">
        <v>3</v>
      </c>
      <c r="C142" s="1858">
        <v>103</v>
      </c>
      <c r="D142" s="1858"/>
      <c r="E142" s="1859"/>
      <c r="F142" s="1860">
        <v>101</v>
      </c>
      <c r="G142" s="1858"/>
      <c r="H142" s="1861"/>
      <c r="I142" s="1862" t="s">
        <v>2107</v>
      </c>
      <c r="J142" s="1863">
        <f>J139</f>
        <v>20</v>
      </c>
      <c r="K142" s="1866">
        <v>95</v>
      </c>
    </row>
    <row r="143" spans="1:17" ht="15">
      <c r="B143" s="1857">
        <v>2</v>
      </c>
      <c r="C143" s="1858">
        <v>100</v>
      </c>
      <c r="D143" s="1858"/>
      <c r="E143" s="1859"/>
      <c r="F143" s="1860">
        <v>100.5</v>
      </c>
      <c r="G143" s="1858"/>
      <c r="H143" s="1861"/>
      <c r="I143" s="1862" t="s">
        <v>2108</v>
      </c>
      <c r="J143" s="1858">
        <v>15</v>
      </c>
      <c r="K143" s="1865">
        <f>ROUND(100+(J143-J140)*K139*100,1)</f>
        <v>102</v>
      </c>
    </row>
    <row r="144" spans="1:17" ht="15">
      <c r="B144" s="1857">
        <v>1</v>
      </c>
      <c r="C144" s="1858">
        <v>98</v>
      </c>
      <c r="D144" s="1348" t="s">
        <v>2109</v>
      </c>
      <c r="E144" s="1859">
        <v>102</v>
      </c>
      <c r="F144" s="1867">
        <v>100</v>
      </c>
      <c r="G144" s="1348" t="s">
        <v>2109</v>
      </c>
      <c r="H144" s="1861">
        <v>105</v>
      </c>
      <c r="I144" s="1862" t="s">
        <v>2108</v>
      </c>
      <c r="J144" s="1858">
        <v>18</v>
      </c>
      <c r="K144" s="1865">
        <f>ROUND(100+(J144-J140)*K139*100,1)</f>
        <v>103.2</v>
      </c>
    </row>
    <row r="145" spans="2:11" ht="16.2" thickBot="1">
      <c r="B145" s="1868" t="s">
        <v>2110</v>
      </c>
      <c r="C145" s="1869">
        <f>ROUND(MAX(C139:C144)/MIN(C139:C144)-1,3)</f>
        <v>7.2999999999999995E-2</v>
      </c>
      <c r="D145" s="1870"/>
      <c r="E145" s="1870"/>
      <c r="F145" s="1499" t="s">
        <v>2111</v>
      </c>
      <c r="G145" s="1871"/>
      <c r="H145" s="1872"/>
      <c r="I145" s="1873" t="s">
        <v>2108</v>
      </c>
      <c r="J145" s="1874">
        <v>8</v>
      </c>
      <c r="K145" s="1875">
        <f>ROUND(100+(J145-J140)*K139*100,1)</f>
        <v>99.2</v>
      </c>
    </row>
    <row r="147" spans="2:11" ht="14.4">
      <c r="B147" s="1498" t="s">
        <v>2112</v>
      </c>
    </row>
    <row r="148" spans="2:11" ht="14.4">
      <c r="B148" s="1498"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22" zoomScale="70" zoomScaleNormal="70" zoomScaleSheetLayoutView="70" workbookViewId="0">
      <selection activeCell="M45" sqref="M45"/>
    </sheetView>
  </sheetViews>
  <sheetFormatPr defaultColWidth="9" defaultRowHeight="13.8"/>
  <cols>
    <col min="1" max="1" width="10.44140625" style="1592" customWidth="1"/>
    <col min="2" max="2" width="15.77734375" style="1592" customWidth="1"/>
    <col min="3" max="3" width="14.33203125" style="1592" customWidth="1"/>
    <col min="4" max="4" width="12.21875" style="1592" customWidth="1"/>
    <col min="5" max="5" width="14.33203125" style="1592" customWidth="1"/>
    <col min="6" max="6" width="12.21875" style="1592" customWidth="1"/>
    <col min="7" max="7" width="14.44140625" style="1592" customWidth="1"/>
    <col min="8" max="8" width="12.21875" style="1592" customWidth="1"/>
    <col min="9" max="9" width="14.44140625" style="1592" customWidth="1"/>
    <col min="10" max="10" width="12.21875" style="1592" customWidth="1"/>
    <col min="11" max="11" width="12.21875" style="1835" customWidth="1"/>
    <col min="12" max="12" width="12.21875" style="1836" customWidth="1"/>
    <col min="13" max="15" width="12.21875" style="1592" customWidth="1"/>
    <col min="16" max="16" width="4.77734375" style="1732" customWidth="1"/>
    <col min="17" max="17" width="19.44140625" style="1592" customWidth="1"/>
    <col min="18" max="22" width="6.109375" style="1592" customWidth="1"/>
    <col min="23" max="23" width="5.77734375" style="1592" customWidth="1"/>
    <col min="24" max="24" width="4.21875" style="1592" customWidth="1"/>
    <col min="25" max="25" width="3.44140625" style="1592" customWidth="1"/>
    <col min="26" max="26" width="19.77734375" style="1592" customWidth="1"/>
    <col min="27" max="28" width="9.33203125" style="1592" customWidth="1"/>
    <col min="29" max="16384" width="9" style="1592"/>
  </cols>
  <sheetData>
    <row r="1" spans="1:29" s="1573" customFormat="1" ht="28.5" customHeight="1" thickBot="1">
      <c r="A1" s="1562" t="s">
        <v>2001</v>
      </c>
      <c r="B1" s="1563" t="s">
        <v>2114</v>
      </c>
      <c r="C1" s="1564" t="s">
        <v>2502</v>
      </c>
      <c r="D1" s="2385"/>
      <c r="E1" s="1566" t="s">
        <v>2500</v>
      </c>
      <c r="F1" s="1567" t="s">
        <v>2003</v>
      </c>
      <c r="G1" s="1563"/>
      <c r="H1" s="1563"/>
      <c r="I1" s="1563"/>
      <c r="J1" s="1563"/>
      <c r="K1" s="1568"/>
      <c r="L1" s="1569"/>
      <c r="M1" s="1563"/>
      <c r="N1" s="1563"/>
      <c r="O1" s="1563"/>
      <c r="P1" s="1570"/>
      <c r="Q1" s="1571"/>
      <c r="R1" s="1571"/>
      <c r="S1" s="1571"/>
      <c r="T1" s="1571"/>
      <c r="U1" s="1571"/>
      <c r="V1" s="1571"/>
      <c r="W1" s="1571"/>
      <c r="X1" s="1571"/>
      <c r="Y1" s="1571"/>
      <c r="Z1" s="1571"/>
      <c r="AA1" s="1571"/>
      <c r="AB1" s="1571"/>
      <c r="AC1" s="1572"/>
    </row>
    <row r="2" spans="1:29" s="1885" customFormat="1" ht="28.5" customHeight="1" thickTop="1">
      <c r="A2" s="1574" t="s">
        <v>1674</v>
      </c>
      <c r="B2" s="1575">
        <f>IF(D2="——",IF(C2="元",ROUND(C49*D3,0),ROUND(C49*D3/10000,0)),IF(C2="元",ROUND(C49*D3,0),ROUND(C49*D3/10000,0))-E2)</f>
        <v>11939364</v>
      </c>
      <c r="C2" s="1576" t="str">
        <f>'数据-取费表'!B3</f>
        <v>元</v>
      </c>
      <c r="D2" s="1577" t="s">
        <v>1001</v>
      </c>
      <c r="E2" s="2386">
        <f ca="1">SUMIF(INDIRECT("'"&amp;G2&amp;"'"&amp;"!A:A"),"承租人权益价值",INDIRECT("'"&amp;G2&amp;"'"&amp;"!c:c"))</f>
        <v>1439453</v>
      </c>
      <c r="F2" s="1579" t="str">
        <f>C2</f>
        <v>元</v>
      </c>
      <c r="G2" s="1580" t="s">
        <v>3065</v>
      </c>
      <c r="H2" s="2926"/>
      <c r="I2" s="2926"/>
      <c r="J2" s="2926"/>
      <c r="K2" s="2926"/>
      <c r="L2" s="2928"/>
      <c r="M2" s="2926"/>
      <c r="N2" s="2926"/>
      <c r="O2" s="2926"/>
      <c r="P2" s="2387"/>
      <c r="Q2" s="1882"/>
      <c r="R2" s="1882"/>
      <c r="S2" s="1882"/>
      <c r="T2" s="1882"/>
      <c r="U2" s="1882"/>
      <c r="V2" s="1882"/>
      <c r="W2" s="1882"/>
      <c r="X2" s="1882"/>
      <c r="Y2" s="1882"/>
      <c r="Z2" s="1882"/>
      <c r="AA2" s="1882"/>
      <c r="AB2" s="1882"/>
      <c r="AC2" s="1883"/>
    </row>
    <row r="3" spans="1:29" s="1885" customFormat="1" ht="28.5" customHeight="1" thickBot="1">
      <c r="A3" s="1584" t="s">
        <v>1675</v>
      </c>
      <c r="B3" s="1888">
        <f>ROUND(IF(D2="——",C49,IF(C2="万元",B2*10000/D3,B2/D3)),0)</f>
        <v>45421</v>
      </c>
      <c r="C3" s="1585" t="s">
        <v>2004</v>
      </c>
      <c r="D3" s="1585">
        <f>IF(C1="仅计算典型户型",'数据-取费表'!E5,'数据-取费表'!B5)</f>
        <v>262.86</v>
      </c>
      <c r="F3" s="2925"/>
      <c r="G3" s="2926"/>
      <c r="H3" s="2926"/>
      <c r="I3" s="2926"/>
      <c r="J3" s="2926"/>
      <c r="K3" s="2927"/>
      <c r="L3" s="2928"/>
      <c r="M3" s="2926"/>
      <c r="N3" s="2926"/>
      <c r="O3" s="2926"/>
      <c r="P3" s="2387"/>
      <c r="Q3" s="1882"/>
      <c r="R3" s="1882"/>
      <c r="S3" s="1882"/>
      <c r="T3" s="1882"/>
      <c r="U3" s="1882"/>
      <c r="V3" s="1882"/>
      <c r="W3" s="1882"/>
      <c r="X3" s="1882"/>
      <c r="Y3" s="1882"/>
      <c r="Z3" s="1882"/>
      <c r="AA3" s="1882"/>
      <c r="AB3" s="1882"/>
      <c r="AC3" s="1890"/>
    </row>
    <row r="4" spans="1:29" ht="14.4">
      <c r="A4" s="1588" t="s">
        <v>2005</v>
      </c>
      <c r="B4" s="1589"/>
      <c r="C4" s="3597" t="s">
        <v>2006</v>
      </c>
      <c r="D4" s="3598"/>
      <c r="E4" s="3599" t="s">
        <v>2007</v>
      </c>
      <c r="F4" s="3600"/>
      <c r="G4" s="3597" t="s">
        <v>2008</v>
      </c>
      <c r="H4" s="3598"/>
      <c r="I4" s="3597" t="s">
        <v>2009</v>
      </c>
      <c r="J4" s="3598"/>
      <c r="K4" s="1891" t="s">
        <v>2010</v>
      </c>
      <c r="L4" s="2911"/>
      <c r="M4" s="2912"/>
      <c r="N4" s="2912"/>
      <c r="O4" s="2912"/>
      <c r="P4" s="3601" t="s">
        <v>2011</v>
      </c>
      <c r="Q4" s="3602"/>
      <c r="R4" s="3607" t="s">
        <v>2007</v>
      </c>
      <c r="S4" s="3608"/>
      <c r="T4" s="3607" t="s">
        <v>2008</v>
      </c>
      <c r="U4" s="3608"/>
      <c r="V4" s="3613" t="s">
        <v>2009</v>
      </c>
      <c r="W4" s="3613"/>
      <c r="X4" s="2000"/>
      <c r="Y4" s="3607" t="s">
        <v>2011</v>
      </c>
      <c r="Z4" s="3608"/>
      <c r="AA4" s="3594" t="s">
        <v>2007</v>
      </c>
      <c r="AB4" s="3613" t="s">
        <v>2008</v>
      </c>
      <c r="AC4" s="3594" t="s">
        <v>2009</v>
      </c>
    </row>
    <row r="5" spans="1:29">
      <c r="A5" s="1593"/>
      <c r="B5" s="1594"/>
      <c r="C5" s="3616" t="s">
        <v>2012</v>
      </c>
      <c r="D5" s="3617"/>
      <c r="E5" s="3643" t="s">
        <v>3075</v>
      </c>
      <c r="F5" s="3615"/>
      <c r="G5" s="3642" t="s">
        <v>3075</v>
      </c>
      <c r="H5" s="3617"/>
      <c r="I5" s="3642" t="s">
        <v>3076</v>
      </c>
      <c r="J5" s="3617"/>
      <c r="K5" s="1891"/>
      <c r="L5" s="2911"/>
      <c r="M5" s="2912"/>
      <c r="N5" s="2912"/>
      <c r="O5" s="2912"/>
      <c r="P5" s="3603"/>
      <c r="Q5" s="3604"/>
      <c r="R5" s="3609"/>
      <c r="S5" s="3610"/>
      <c r="T5" s="3609"/>
      <c r="U5" s="3610"/>
      <c r="V5" s="3613"/>
      <c r="W5" s="3613"/>
      <c r="X5" s="2000"/>
      <c r="Y5" s="3609"/>
      <c r="Z5" s="3610"/>
      <c r="AA5" s="3595"/>
      <c r="AB5" s="3613"/>
      <c r="AC5" s="3595"/>
    </row>
    <row r="6" spans="1:29" ht="15" thickBot="1">
      <c r="A6" s="1596"/>
      <c r="B6" s="1597"/>
      <c r="C6" s="3618" t="s">
        <v>2016</v>
      </c>
      <c r="D6" s="3619"/>
      <c r="E6" s="3620" t="s">
        <v>2016</v>
      </c>
      <c r="F6" s="3621"/>
      <c r="G6" s="3618" t="s">
        <v>2016</v>
      </c>
      <c r="H6" s="3619"/>
      <c r="I6" s="3618" t="s">
        <v>2016</v>
      </c>
      <c r="J6" s="3619"/>
      <c r="K6" s="1891" t="s">
        <v>2017</v>
      </c>
      <c r="L6" s="2911"/>
      <c r="M6" s="2912"/>
      <c r="N6" s="2912"/>
      <c r="O6" s="2912"/>
      <c r="P6" s="3605"/>
      <c r="Q6" s="3606"/>
      <c r="R6" s="3609"/>
      <c r="S6" s="3610"/>
      <c r="T6" s="3611"/>
      <c r="U6" s="3612"/>
      <c r="V6" s="3613"/>
      <c r="W6" s="3613"/>
      <c r="X6" s="2000"/>
      <c r="Y6" s="3611"/>
      <c r="Z6" s="3612"/>
      <c r="AA6" s="3596"/>
      <c r="AB6" s="3613"/>
      <c r="AC6" s="3596"/>
    </row>
    <row r="7" spans="1:29" s="1610" customFormat="1" ht="15" thickBot="1">
      <c r="A7" s="1598" t="s">
        <v>2018</v>
      </c>
      <c r="B7" s="1599"/>
      <c r="C7" s="1600">
        <f>'数据-取费表'!B2</f>
        <v>44701</v>
      </c>
      <c r="D7" s="1601">
        <v>100</v>
      </c>
      <c r="E7" s="1602">
        <v>44682</v>
      </c>
      <c r="F7" s="1603">
        <f>SUMIF(58:58,YEAR(E7)&amp;"-"&amp;MONTH(E7),59:59)</f>
        <v>100</v>
      </c>
      <c r="G7" s="1602">
        <v>44652</v>
      </c>
      <c r="H7" s="1601">
        <f>SUMIF(58:58,YEAR(G7)&amp;"-"&amp;MONTH(G7),59:59)</f>
        <v>100</v>
      </c>
      <c r="I7" s="1602">
        <v>44682</v>
      </c>
      <c r="J7" s="1601">
        <f>SUMIF(58:58,YEAR(I7)&amp;"-"&amp;MONTH(I7),59:59)</f>
        <v>100</v>
      </c>
      <c r="K7" s="1893"/>
      <c r="L7" s="2911"/>
      <c r="M7" s="2884"/>
      <c r="N7" s="2884"/>
      <c r="O7" s="2884"/>
      <c r="P7" s="3629" t="s">
        <v>2019</v>
      </c>
      <c r="Q7" s="3631"/>
      <c r="R7" s="1606" t="s">
        <v>25</v>
      </c>
      <c r="S7" s="1607">
        <f t="shared" ref="S7:S15" si="0">F7</f>
        <v>100</v>
      </c>
      <c r="T7" s="1606" t="s">
        <v>25</v>
      </c>
      <c r="U7" s="1607">
        <f t="shared" ref="U7:U15" si="1">H7</f>
        <v>100</v>
      </c>
      <c r="V7" s="1606" t="s">
        <v>25</v>
      </c>
      <c r="W7" s="1607">
        <f t="shared" ref="W7:W15" si="2">J7</f>
        <v>100</v>
      </c>
      <c r="X7" s="1608"/>
      <c r="Y7" s="3629" t="s">
        <v>2019</v>
      </c>
      <c r="Z7" s="3630"/>
      <c r="AA7" s="1609">
        <f>D7/F7</f>
        <v>1</v>
      </c>
      <c r="AB7" s="1609">
        <f>D7/H7</f>
        <v>1</v>
      </c>
      <c r="AC7" s="1609">
        <f>D7/J7</f>
        <v>1</v>
      </c>
    </row>
    <row r="8" spans="1:29" s="1610" customFormat="1" ht="15" thickBot="1">
      <c r="A8" s="1598" t="s">
        <v>2020</v>
      </c>
      <c r="B8" s="1599"/>
      <c r="C8" s="1611" t="s">
        <v>2021</v>
      </c>
      <c r="D8" s="1601">
        <v>100</v>
      </c>
      <c r="E8" s="1611" t="s">
        <v>2635</v>
      </c>
      <c r="F8" s="1603">
        <f>SUMIF(61:61,E8,62:62)-SUMIF(61:61,C8,62:62)+100</f>
        <v>100</v>
      </c>
      <c r="G8" s="1611" t="s">
        <v>2635</v>
      </c>
      <c r="H8" s="1601">
        <f>SUMIF(61:61,G8,62:62)-SUMIF(61:61,C8,62:62)+100</f>
        <v>100</v>
      </c>
      <c r="I8" s="1611" t="s">
        <v>2635</v>
      </c>
      <c r="J8" s="1601">
        <f>SUMIF(61:61,I8,62:62)-SUMIF(61:61,C8,62:62)+100</f>
        <v>100</v>
      </c>
      <c r="K8" s="1893"/>
      <c r="L8" s="2911"/>
      <c r="M8" s="2884"/>
      <c r="N8" s="2884"/>
      <c r="O8" s="2884"/>
      <c r="P8" s="3629" t="s">
        <v>2022</v>
      </c>
      <c r="Q8" s="3630"/>
      <c r="R8" s="1606" t="s">
        <v>25</v>
      </c>
      <c r="S8" s="1607">
        <f t="shared" si="0"/>
        <v>100</v>
      </c>
      <c r="T8" s="1606" t="s">
        <v>25</v>
      </c>
      <c r="U8" s="1607">
        <f t="shared" si="1"/>
        <v>100</v>
      </c>
      <c r="V8" s="1606" t="s">
        <v>25</v>
      </c>
      <c r="W8" s="1607">
        <f t="shared" si="2"/>
        <v>100</v>
      </c>
      <c r="X8" s="1608"/>
      <c r="Y8" s="3629" t="s">
        <v>2022</v>
      </c>
      <c r="Z8" s="3630"/>
      <c r="AA8" s="1609">
        <f t="shared" ref="AA8:AA46" si="3">D8/F8</f>
        <v>1</v>
      </c>
      <c r="AB8" s="1609">
        <f t="shared" ref="AB8:AB46" si="4">D8/H8</f>
        <v>1</v>
      </c>
      <c r="AC8" s="1609">
        <f t="shared" ref="AC8:AC46" si="5">D8/J8</f>
        <v>1</v>
      </c>
    </row>
    <row r="9" spans="1:29" s="1610" customFormat="1" ht="14.4">
      <c r="A9" s="1992" t="s">
        <v>2023</v>
      </c>
      <c r="B9" s="1613" t="s">
        <v>2024</v>
      </c>
      <c r="C9" s="3321" t="s">
        <v>3044</v>
      </c>
      <c r="D9" s="1615">
        <v>100</v>
      </c>
      <c r="E9" s="1616" t="s">
        <v>3037</v>
      </c>
      <c r="F9" s="1617">
        <f>SUMIF(63:63,E9,64:64)-SUMIF(63:63,C9,64:64)+100</f>
        <v>100</v>
      </c>
      <c r="G9" s="1616" t="s">
        <v>3037</v>
      </c>
      <c r="H9" s="1615">
        <f>SUMIF(63:63,G9,64:64)-SUMIF(63:63,C9,64:64)+100</f>
        <v>100</v>
      </c>
      <c r="I9" s="1616" t="s">
        <v>3037</v>
      </c>
      <c r="J9" s="1615">
        <f>SUMIF(63:63,I9,64:64)-SUMIF(63:63,C9,64:64)+100</f>
        <v>100</v>
      </c>
      <c r="K9" s="1893"/>
      <c r="L9" s="2911"/>
      <c r="M9" s="2884"/>
      <c r="N9" s="2884"/>
      <c r="O9" s="2884"/>
      <c r="P9" s="3632" t="s">
        <v>2025</v>
      </c>
      <c r="Q9" s="1991" t="str">
        <f t="shared" ref="Q9:Q15" si="6">B9</f>
        <v>用途</v>
      </c>
      <c r="R9" s="1606" t="s">
        <v>25</v>
      </c>
      <c r="S9" s="1607">
        <f t="shared" si="0"/>
        <v>100</v>
      </c>
      <c r="T9" s="1606" t="s">
        <v>25</v>
      </c>
      <c r="U9" s="1607">
        <f t="shared" si="1"/>
        <v>100</v>
      </c>
      <c r="V9" s="1606" t="s">
        <v>25</v>
      </c>
      <c r="W9" s="1607">
        <f t="shared" si="2"/>
        <v>100</v>
      </c>
      <c r="X9" s="1608"/>
      <c r="Y9" s="3497" t="s">
        <v>2026</v>
      </c>
      <c r="Z9" s="1619" t="str">
        <f t="shared" ref="Z9:Z15" si="7">Q9</f>
        <v>用途</v>
      </c>
      <c r="AA9" s="1609">
        <f t="shared" si="3"/>
        <v>1</v>
      </c>
      <c r="AB9" s="1609">
        <f t="shared" si="4"/>
        <v>1</v>
      </c>
      <c r="AC9" s="1609">
        <f t="shared" si="5"/>
        <v>1</v>
      </c>
    </row>
    <row r="10" spans="1:29" s="1627" customFormat="1" ht="28.8">
      <c r="A10" s="1620"/>
      <c r="B10" s="1621" t="s">
        <v>2027</v>
      </c>
      <c r="C10" s="1622" t="s">
        <v>3090</v>
      </c>
      <c r="D10" s="1623">
        <v>100</v>
      </c>
      <c r="E10" s="1622" t="s">
        <v>3090</v>
      </c>
      <c r="F10" s="1625">
        <f>SUMIF(65:65,E10,66:66)-SUMIF(65:65,C10,66:66)+100</f>
        <v>100</v>
      </c>
      <c r="G10" s="1622" t="s">
        <v>3090</v>
      </c>
      <c r="H10" s="1623">
        <f>SUMIF(65:65,G10,66:66)-SUMIF(65:65,C10,66:66)+100</f>
        <v>100</v>
      </c>
      <c r="I10" s="1622" t="s">
        <v>3090</v>
      </c>
      <c r="J10" s="1623">
        <f>SUMIF(65:65,I10,66:66)-SUMIF(65:65,C10,66:66)+100</f>
        <v>100</v>
      </c>
      <c r="K10" s="1918">
        <v>1</v>
      </c>
      <c r="L10" s="2913"/>
      <c r="M10" s="2914"/>
      <c r="N10" s="2914"/>
      <c r="O10" s="2914"/>
      <c r="P10" s="3632"/>
      <c r="Q10" s="1991" t="str">
        <f t="shared" si="6"/>
        <v>土地使用年限（年）</v>
      </c>
      <c r="R10" s="1606" t="s">
        <v>25</v>
      </c>
      <c r="S10" s="1607">
        <f t="shared" si="0"/>
        <v>100</v>
      </c>
      <c r="T10" s="1606" t="s">
        <v>25</v>
      </c>
      <c r="U10" s="1607">
        <f t="shared" si="1"/>
        <v>100</v>
      </c>
      <c r="V10" s="1606" t="s">
        <v>25</v>
      </c>
      <c r="W10" s="1607">
        <f t="shared" si="2"/>
        <v>100</v>
      </c>
      <c r="X10" s="1608"/>
      <c r="Y10" s="3497"/>
      <c r="Z10" s="1619" t="str">
        <f t="shared" si="7"/>
        <v>土地使用年限（年）</v>
      </c>
      <c r="AA10" s="1609">
        <f t="shared" si="3"/>
        <v>1</v>
      </c>
      <c r="AB10" s="1609">
        <f t="shared" si="4"/>
        <v>1</v>
      </c>
      <c r="AC10" s="1609">
        <f t="shared" si="5"/>
        <v>1</v>
      </c>
    </row>
    <row r="11" spans="1:29" ht="15">
      <c r="A11" s="1628"/>
      <c r="B11" s="1621" t="s">
        <v>2028</v>
      </c>
      <c r="C11" s="1629"/>
      <c r="D11" s="1623">
        <v>100</v>
      </c>
      <c r="E11" s="1630"/>
      <c r="F11" s="1625">
        <f>LOOKUP(E11,68:68,69:69)-LOOKUP(C11,68:68,69:69)+100</f>
        <v>100</v>
      </c>
      <c r="G11" s="1629"/>
      <c r="H11" s="1623">
        <f>LOOKUP(G11,68:68,69:69)-LOOKUP(C11,68:68,69:69)+100</f>
        <v>100</v>
      </c>
      <c r="I11" s="1629"/>
      <c r="J11" s="1623">
        <f>LOOKUP(I11,68:68,69:69)-LOOKUP(C11,68:68,69:69)+100</f>
        <v>100</v>
      </c>
      <c r="K11" s="1918"/>
      <c r="L11" s="2915"/>
      <c r="M11" s="2912"/>
      <c r="N11" s="2912"/>
      <c r="O11" s="2912"/>
      <c r="P11" s="3632"/>
      <c r="Q11" s="1991" t="str">
        <f t="shared" si="6"/>
        <v>容积率</v>
      </c>
      <c r="R11" s="1606" t="s">
        <v>25</v>
      </c>
      <c r="S11" s="1607">
        <f t="shared" si="0"/>
        <v>100</v>
      </c>
      <c r="T11" s="1606" t="s">
        <v>25</v>
      </c>
      <c r="U11" s="1607">
        <f t="shared" si="1"/>
        <v>100</v>
      </c>
      <c r="V11" s="1606" t="s">
        <v>25</v>
      </c>
      <c r="W11" s="1607">
        <f t="shared" si="2"/>
        <v>100</v>
      </c>
      <c r="X11" s="1608"/>
      <c r="Y11" s="3497"/>
      <c r="Z11" s="1619" t="str">
        <f t="shared" si="7"/>
        <v>容积率</v>
      </c>
      <c r="AA11" s="1609">
        <f t="shared" si="3"/>
        <v>1</v>
      </c>
      <c r="AB11" s="1609">
        <f t="shared" si="4"/>
        <v>1</v>
      </c>
      <c r="AC11" s="1609">
        <f t="shared" si="5"/>
        <v>1</v>
      </c>
    </row>
    <row r="12" spans="1:29" s="1610" customFormat="1" ht="15">
      <c r="A12" s="1631"/>
      <c r="B12" s="1632">
        <v>111</v>
      </c>
      <c r="C12" s="1633"/>
      <c r="D12" s="1634">
        <v>100</v>
      </c>
      <c r="E12" s="1636"/>
      <c r="F12" s="1625">
        <f>SUMIF(70:70,E12,71:71)-SUMIF(70:70,C12,71:71)+100</f>
        <v>100</v>
      </c>
      <c r="G12" s="1636"/>
      <c r="H12" s="1623">
        <f>SUMIF(70:70,G12,71:71)-SUMIF(70:70,C12,71:71)+100</f>
        <v>100</v>
      </c>
      <c r="I12" s="1636"/>
      <c r="J12" s="1623">
        <f>SUMIF(70:70,I12,71:71)-SUMIF(70:70,C12,71:71)+100</f>
        <v>100</v>
      </c>
      <c r="K12" s="1915"/>
      <c r="L12" s="2911"/>
      <c r="M12" s="2884"/>
      <c r="N12" s="2884"/>
      <c r="O12" s="2884"/>
      <c r="P12" s="3632"/>
      <c r="Q12" s="1991">
        <f t="shared" si="6"/>
        <v>111</v>
      </c>
      <c r="R12" s="1606" t="s">
        <v>25</v>
      </c>
      <c r="S12" s="1607">
        <f t="shared" si="0"/>
        <v>100</v>
      </c>
      <c r="T12" s="1606" t="s">
        <v>25</v>
      </c>
      <c r="U12" s="1607">
        <f t="shared" si="1"/>
        <v>100</v>
      </c>
      <c r="V12" s="1606" t="s">
        <v>25</v>
      </c>
      <c r="W12" s="1607">
        <f t="shared" si="2"/>
        <v>100</v>
      </c>
      <c r="X12" s="1608"/>
      <c r="Y12" s="3497"/>
      <c r="Z12" s="1619">
        <f t="shared" si="7"/>
        <v>111</v>
      </c>
      <c r="AA12" s="1609">
        <f>D12/F12</f>
        <v>1</v>
      </c>
      <c r="AB12" s="1609">
        <f>D12/H12</f>
        <v>1</v>
      </c>
      <c r="AC12" s="1609">
        <f>D12/J12</f>
        <v>1</v>
      </c>
    </row>
    <row r="13" spans="1:29" ht="15">
      <c r="A13" s="1628"/>
      <c r="B13" s="1632">
        <v>111</v>
      </c>
      <c r="C13" s="1636"/>
      <c r="D13" s="1637">
        <v>100</v>
      </c>
      <c r="E13" s="1636"/>
      <c r="F13" s="1625">
        <f>SUMIF(72:72,E13,73:73)-SUMIF(72:72,C13,73:73)+100</f>
        <v>100</v>
      </c>
      <c r="G13" s="1636"/>
      <c r="H13" s="1637">
        <f>SUMIF(72:72,G13,73:73)-SUMIF(72:72,C13,73:73)+100</f>
        <v>100</v>
      </c>
      <c r="I13" s="1636"/>
      <c r="J13" s="1637">
        <f>SUMIF(72:72,I13,73:73)-SUMIF(72:72,C13,73:73)+100</f>
        <v>100</v>
      </c>
      <c r="K13" s="1915"/>
      <c r="L13" s="2916"/>
      <c r="M13" s="2912"/>
      <c r="N13" s="2912"/>
      <c r="O13" s="2912"/>
      <c r="P13" s="3632"/>
      <c r="Q13" s="1991">
        <f t="shared" si="6"/>
        <v>111</v>
      </c>
      <c r="R13" s="1606" t="s">
        <v>25</v>
      </c>
      <c r="S13" s="1607">
        <f t="shared" si="0"/>
        <v>100</v>
      </c>
      <c r="T13" s="1606" t="s">
        <v>25</v>
      </c>
      <c r="U13" s="1607">
        <f t="shared" si="1"/>
        <v>100</v>
      </c>
      <c r="V13" s="1606" t="s">
        <v>25</v>
      </c>
      <c r="W13" s="1607">
        <f t="shared" si="2"/>
        <v>100</v>
      </c>
      <c r="X13" s="1608"/>
      <c r="Y13" s="3497"/>
      <c r="Z13" s="1619">
        <f t="shared" si="7"/>
        <v>111</v>
      </c>
      <c r="AA13" s="1609">
        <f t="shared" si="3"/>
        <v>1</v>
      </c>
      <c r="AB13" s="1609">
        <f t="shared" si="4"/>
        <v>1</v>
      </c>
      <c r="AC13" s="1609">
        <f t="shared" si="5"/>
        <v>1</v>
      </c>
    </row>
    <row r="14" spans="1:29" ht="15.6" thickBot="1">
      <c r="A14" s="1638"/>
      <c r="B14" s="1639">
        <v>111</v>
      </c>
      <c r="C14" s="1640"/>
      <c r="D14" s="1641">
        <v>100</v>
      </c>
      <c r="E14" s="1636"/>
      <c r="F14" s="1642">
        <f>SUMIF(74:74,E14,75:75)-SUMIF(74:74,C14,75:75)+100</f>
        <v>100</v>
      </c>
      <c r="G14" s="1636"/>
      <c r="H14" s="1641">
        <f>SUMIF(74:74,G14,75:75)-SUMIF(74:74,C14,75:75)+100</f>
        <v>100</v>
      </c>
      <c r="I14" s="1636"/>
      <c r="J14" s="1641">
        <f>SUMIF(74:74,I14,75:75)-SUMIF(74:74,C14,75:75)+100</f>
        <v>100</v>
      </c>
      <c r="K14" s="1915"/>
      <c r="L14" s="2916"/>
      <c r="M14" s="2912"/>
      <c r="N14" s="2912"/>
      <c r="O14" s="2912"/>
      <c r="P14" s="3632"/>
      <c r="Q14" s="1991">
        <f t="shared" si="6"/>
        <v>111</v>
      </c>
      <c r="R14" s="1606" t="s">
        <v>25</v>
      </c>
      <c r="S14" s="1607">
        <f t="shared" si="0"/>
        <v>100</v>
      </c>
      <c r="T14" s="1606" t="s">
        <v>25</v>
      </c>
      <c r="U14" s="1607">
        <f t="shared" si="1"/>
        <v>100</v>
      </c>
      <c r="V14" s="1606" t="s">
        <v>25</v>
      </c>
      <c r="W14" s="1607">
        <f t="shared" si="2"/>
        <v>100</v>
      </c>
      <c r="X14" s="1608"/>
      <c r="Y14" s="3497"/>
      <c r="Z14" s="1619">
        <f t="shared" si="7"/>
        <v>111</v>
      </c>
      <c r="AA14" s="1609">
        <f t="shared" si="3"/>
        <v>1</v>
      </c>
      <c r="AB14" s="1609">
        <f t="shared" si="4"/>
        <v>1</v>
      </c>
      <c r="AC14" s="1609">
        <f t="shared" si="5"/>
        <v>1</v>
      </c>
    </row>
    <row r="15" spans="1:29" ht="82.8">
      <c r="A15" s="1643" t="s">
        <v>2029</v>
      </c>
      <c r="B15" s="1644" t="s">
        <v>2115</v>
      </c>
      <c r="C15" s="1645" t="str">
        <f>估价对象房地状况!C4</f>
        <v>估价对象位于XX商圈，周边商业氛围成熟，人流量大，商业繁华度好</v>
      </c>
      <c r="D15" s="1646">
        <v>100</v>
      </c>
      <c r="E15" s="1647"/>
      <c r="F15" s="1648">
        <f>SUMIF(76:76,E16,77:77)-SUMIF(76:76,C16,77:77)+100</f>
        <v>100</v>
      </c>
      <c r="G15" s="1649"/>
      <c r="H15" s="1646">
        <f>SUMIF(76:76,G16,77:77)-SUMIF(76:76,C16,77:77)+100</f>
        <v>100</v>
      </c>
      <c r="I15" s="1647"/>
      <c r="J15" s="1646">
        <f>SUMIF(76:76,I16,77:77)-SUMIF(76:76,C16,77:77)+100</f>
        <v>100</v>
      </c>
      <c r="K15" s="2388">
        <v>2</v>
      </c>
      <c r="L15" s="2916"/>
      <c r="M15" s="2912"/>
      <c r="N15" s="2912"/>
      <c r="O15" s="2912"/>
      <c r="P15" s="3635" t="s">
        <v>2030</v>
      </c>
      <c r="Q15" s="1997" t="str">
        <f t="shared" si="6"/>
        <v>商业繁华度</v>
      </c>
      <c r="R15" s="1651" t="s">
        <v>25</v>
      </c>
      <c r="S15" s="1652">
        <f t="shared" si="0"/>
        <v>100</v>
      </c>
      <c r="T15" s="1651" t="s">
        <v>25</v>
      </c>
      <c r="U15" s="1652">
        <f t="shared" si="1"/>
        <v>100</v>
      </c>
      <c r="V15" s="1651" t="s">
        <v>25</v>
      </c>
      <c r="W15" s="1652">
        <f t="shared" si="2"/>
        <v>100</v>
      </c>
      <c r="X15" s="2000"/>
      <c r="Y15" s="3622" t="s">
        <v>2030</v>
      </c>
      <c r="Z15" s="2004" t="str">
        <f t="shared" si="7"/>
        <v>商业繁华度</v>
      </c>
      <c r="AA15" s="1995">
        <f t="shared" si="3"/>
        <v>1</v>
      </c>
      <c r="AB15" s="1995">
        <f t="shared" si="4"/>
        <v>1</v>
      </c>
      <c r="AC15" s="1995">
        <f t="shared" si="5"/>
        <v>1</v>
      </c>
    </row>
    <row r="16" spans="1:29" ht="15">
      <c r="A16" s="1628"/>
      <c r="B16" s="1655"/>
      <c r="C16" s="1656" t="s">
        <v>30</v>
      </c>
      <c r="D16" s="1657"/>
      <c r="E16" s="1656" t="s">
        <v>30</v>
      </c>
      <c r="F16" s="1659"/>
      <c r="G16" s="1656" t="s">
        <v>30</v>
      </c>
      <c r="H16" s="1661"/>
      <c r="I16" s="1656" t="s">
        <v>30</v>
      </c>
      <c r="J16" s="1657"/>
      <c r="K16" s="2389"/>
      <c r="L16" s="2916"/>
      <c r="M16" s="2912"/>
      <c r="N16" s="2912"/>
      <c r="O16" s="2912"/>
      <c r="P16" s="3636"/>
      <c r="Q16" s="1997"/>
      <c r="R16" s="1651"/>
      <c r="S16" s="1652"/>
      <c r="T16" s="1651"/>
      <c r="U16" s="1652"/>
      <c r="V16" s="1651"/>
      <c r="W16" s="1652"/>
      <c r="X16" s="2000"/>
      <c r="Y16" s="3623"/>
      <c r="Z16" s="2004"/>
      <c r="AA16" s="1995">
        <v>1</v>
      </c>
      <c r="AB16" s="1995">
        <v>1</v>
      </c>
      <c r="AC16" s="1995">
        <v>1</v>
      </c>
    </row>
    <row r="17" spans="1:29" ht="96.6">
      <c r="A17" s="1628"/>
      <c r="B17" s="1663" t="s">
        <v>1466</v>
      </c>
      <c r="C17" s="1664" t="str">
        <f>估价对象房地状况!C6</f>
        <v>估价对象周边道路状况、公共交通通达情况、停车便捷程度，综合评价交通便捷度较好</v>
      </c>
      <c r="D17" s="1661">
        <v>100</v>
      </c>
      <c r="E17" s="1665"/>
      <c r="F17" s="1666">
        <f>SUMIF(78:78,E18,79:79)-SUMIF(78:78,C18,79:79)+100</f>
        <v>100</v>
      </c>
      <c r="G17" s="1667"/>
      <c r="H17" s="1668">
        <f>SUMIF(78:78,G18,79:79)-SUMIF(78:78,C18,79:79)+100</f>
        <v>100</v>
      </c>
      <c r="I17" s="1665"/>
      <c r="J17" s="1668">
        <f>SUMIF(78:78,I18,79:79)-SUMIF(78:78,C18,79:79)+100</f>
        <v>100</v>
      </c>
      <c r="K17" s="2388">
        <v>2</v>
      </c>
      <c r="L17" s="2916"/>
      <c r="M17" s="2912"/>
      <c r="N17" s="2912"/>
      <c r="O17" s="2912"/>
      <c r="P17" s="3636"/>
      <c r="Q17" s="1997" t="str">
        <f>B17</f>
        <v>交通便捷度</v>
      </c>
      <c r="R17" s="1651" t="s">
        <v>25</v>
      </c>
      <c r="S17" s="1652">
        <f>F17</f>
        <v>100</v>
      </c>
      <c r="T17" s="1651" t="s">
        <v>25</v>
      </c>
      <c r="U17" s="1652">
        <f>H17</f>
        <v>100</v>
      </c>
      <c r="V17" s="1651" t="s">
        <v>25</v>
      </c>
      <c r="W17" s="1652">
        <f>J17</f>
        <v>100</v>
      </c>
      <c r="X17" s="2000"/>
      <c r="Y17" s="3623"/>
      <c r="Z17" s="2004" t="str">
        <f>Q17</f>
        <v>交通便捷度</v>
      </c>
      <c r="AA17" s="1995">
        <f t="shared" si="3"/>
        <v>1</v>
      </c>
      <c r="AB17" s="1995">
        <f t="shared" si="4"/>
        <v>1</v>
      </c>
      <c r="AC17" s="1995">
        <f t="shared" si="5"/>
        <v>1</v>
      </c>
    </row>
    <row r="18" spans="1:29" ht="15">
      <c r="A18" s="1628"/>
      <c r="B18" s="1669"/>
      <c r="C18" s="1656" t="s">
        <v>30</v>
      </c>
      <c r="D18" s="1661"/>
      <c r="E18" s="1656" t="s">
        <v>30</v>
      </c>
      <c r="F18" s="1666"/>
      <c r="G18" s="1656" t="s">
        <v>30</v>
      </c>
      <c r="H18" s="1657"/>
      <c r="I18" s="1656" t="s">
        <v>30</v>
      </c>
      <c r="J18" s="1657"/>
      <c r="K18" s="2389"/>
      <c r="L18" s="2916"/>
      <c r="M18" s="2912"/>
      <c r="N18" s="2912"/>
      <c r="O18" s="2912"/>
      <c r="P18" s="3636"/>
      <c r="Q18" s="1997"/>
      <c r="R18" s="1651"/>
      <c r="S18" s="1652"/>
      <c r="T18" s="1651"/>
      <c r="U18" s="1652"/>
      <c r="V18" s="1651"/>
      <c r="W18" s="1652"/>
      <c r="X18" s="2000"/>
      <c r="Y18" s="3623"/>
      <c r="Z18" s="2004"/>
      <c r="AA18" s="1995">
        <v>1</v>
      </c>
      <c r="AB18" s="1995">
        <v>1</v>
      </c>
      <c r="AC18" s="1995">
        <v>1</v>
      </c>
    </row>
    <row r="19" spans="1:29" ht="41.4">
      <c r="A19" s="1628"/>
      <c r="B19" s="1663" t="s">
        <v>2116</v>
      </c>
      <c r="C19" s="1664" t="str">
        <f>估价对象房地状况!C7</f>
        <v>估价对象所在区域公共配套设施齐备情况</v>
      </c>
      <c r="D19" s="1668">
        <v>100</v>
      </c>
      <c r="E19" s="1673"/>
      <c r="F19" s="1674">
        <f>SUMIF(80:80,E20,81:81)-SUMIF(80:80,C20,81:81)+100</f>
        <v>100</v>
      </c>
      <c r="G19" s="1675"/>
      <c r="H19" s="1661">
        <f>SUMIF(80:80,G20,81:81)-SUMIF(80:80,C20,81:81)+100</f>
        <v>100</v>
      </c>
      <c r="I19" s="1673"/>
      <c r="J19" s="1661">
        <f>SUMIF(80:80,I20,81:81)-SUMIF(80:80,C20,81:81)+100</f>
        <v>100</v>
      </c>
      <c r="K19" s="2388">
        <v>2</v>
      </c>
      <c r="L19" s="2916"/>
      <c r="M19" s="2912"/>
      <c r="N19" s="2912"/>
      <c r="O19" s="2912"/>
      <c r="P19" s="3636"/>
      <c r="Q19" s="1997" t="str">
        <f>B19</f>
        <v>公共配套设施</v>
      </c>
      <c r="R19" s="1651" t="s">
        <v>25</v>
      </c>
      <c r="S19" s="1652">
        <f>F19</f>
        <v>100</v>
      </c>
      <c r="T19" s="1651" t="s">
        <v>25</v>
      </c>
      <c r="U19" s="1652">
        <f>H19</f>
        <v>100</v>
      </c>
      <c r="V19" s="1651" t="s">
        <v>25</v>
      </c>
      <c r="W19" s="1652">
        <f>J19</f>
        <v>100</v>
      </c>
      <c r="X19" s="2000"/>
      <c r="Y19" s="3623"/>
      <c r="Z19" s="2004" t="str">
        <f>Q19</f>
        <v>公共配套设施</v>
      </c>
      <c r="AA19" s="1995">
        <f t="shared" si="3"/>
        <v>1</v>
      </c>
      <c r="AB19" s="1995">
        <f t="shared" si="4"/>
        <v>1</v>
      </c>
      <c r="AC19" s="1995">
        <f t="shared" si="5"/>
        <v>1</v>
      </c>
    </row>
    <row r="20" spans="1:29" ht="15">
      <c r="A20" s="1628"/>
      <c r="B20" s="1669"/>
      <c r="C20" s="1656" t="s">
        <v>30</v>
      </c>
      <c r="D20" s="1657"/>
      <c r="E20" s="1656" t="s">
        <v>30</v>
      </c>
      <c r="F20" s="1659"/>
      <c r="G20" s="1656" t="s">
        <v>30</v>
      </c>
      <c r="H20" s="1657"/>
      <c r="I20" s="1656" t="s">
        <v>30</v>
      </c>
      <c r="J20" s="1657"/>
      <c r="K20" s="2389"/>
      <c r="L20" s="2916"/>
      <c r="M20" s="2912"/>
      <c r="N20" s="2912"/>
      <c r="O20" s="2912"/>
      <c r="P20" s="3636"/>
      <c r="Q20" s="1997"/>
      <c r="R20" s="1651"/>
      <c r="S20" s="1652"/>
      <c r="T20" s="1651"/>
      <c r="U20" s="1652"/>
      <c r="V20" s="1651"/>
      <c r="W20" s="1652"/>
      <c r="X20" s="2000"/>
      <c r="Y20" s="3623"/>
      <c r="Z20" s="2004"/>
      <c r="AA20" s="1995">
        <v>1</v>
      </c>
      <c r="AB20" s="1995">
        <v>1</v>
      </c>
      <c r="AC20" s="1995">
        <v>1</v>
      </c>
    </row>
    <row r="21" spans="1:29" ht="41.4">
      <c r="A21" s="1628"/>
      <c r="B21" s="1676" t="s">
        <v>2117</v>
      </c>
      <c r="C21" s="1664" t="str">
        <f>估价对象房地状况!C8</f>
        <v>估价对象所在区域基础设施水平</v>
      </c>
      <c r="D21" s="1668">
        <v>100</v>
      </c>
      <c r="E21" s="1673"/>
      <c r="F21" s="1674">
        <f>SUMIF(82:82,E22,83:83)-SUMIF(82:82,C22,83:83)+100</f>
        <v>100</v>
      </c>
      <c r="G21" s="1675"/>
      <c r="H21" s="1661">
        <f>SUMIF(82:82,G22,83:83)-SUMIF(82:82,C22,83:83)+100</f>
        <v>100</v>
      </c>
      <c r="I21" s="1673"/>
      <c r="J21" s="1661">
        <f>SUMIF(82:82,I22,83:83)-SUMIF(82:82,C22,83:83)+100</f>
        <v>100</v>
      </c>
      <c r="K21" s="2388">
        <v>2</v>
      </c>
      <c r="L21" s="2916"/>
      <c r="M21" s="2912"/>
      <c r="N21" s="2912"/>
      <c r="O21" s="2912"/>
      <c r="P21" s="3636"/>
      <c r="Q21" s="1997" t="str">
        <f>B21</f>
        <v>基础设施水平</v>
      </c>
      <c r="R21" s="1651" t="s">
        <v>25</v>
      </c>
      <c r="S21" s="1652">
        <f>F21</f>
        <v>100</v>
      </c>
      <c r="T21" s="1651" t="s">
        <v>25</v>
      </c>
      <c r="U21" s="1652">
        <f>H21</f>
        <v>100</v>
      </c>
      <c r="V21" s="1651" t="s">
        <v>25</v>
      </c>
      <c r="W21" s="1652">
        <f>J21</f>
        <v>100</v>
      </c>
      <c r="X21" s="2000"/>
      <c r="Y21" s="3623"/>
      <c r="Z21" s="2004" t="str">
        <f>Q21</f>
        <v>基础设施水平</v>
      </c>
      <c r="AA21" s="1995">
        <f t="shared" ref="AA21" si="8">D21/F21</f>
        <v>1</v>
      </c>
      <c r="AB21" s="1995">
        <f t="shared" ref="AB21" si="9">D21/H21</f>
        <v>1</v>
      </c>
      <c r="AC21" s="1995">
        <f t="shared" ref="AC21" si="10">D21/J21</f>
        <v>1</v>
      </c>
    </row>
    <row r="22" spans="1:29" ht="15">
      <c r="A22" s="1628"/>
      <c r="B22" s="1676"/>
      <c r="C22" s="1670" t="s">
        <v>3045</v>
      </c>
      <c r="D22" s="1657"/>
      <c r="E22" s="1670" t="s">
        <v>3045</v>
      </c>
      <c r="F22" s="1659"/>
      <c r="G22" s="1670" t="s">
        <v>3045</v>
      </c>
      <c r="H22" s="1657"/>
      <c r="I22" s="1670" t="s">
        <v>3045</v>
      </c>
      <c r="J22" s="1657"/>
      <c r="K22" s="2390"/>
      <c r="L22" s="2916"/>
      <c r="M22" s="2912"/>
      <c r="N22" s="2912"/>
      <c r="O22" s="2912"/>
      <c r="P22" s="3636"/>
      <c r="Q22" s="1997"/>
      <c r="R22" s="1651"/>
      <c r="S22" s="1652"/>
      <c r="T22" s="1651"/>
      <c r="U22" s="1652"/>
      <c r="V22" s="1651"/>
      <c r="W22" s="1652"/>
      <c r="X22" s="2000"/>
      <c r="Y22" s="3623"/>
      <c r="Z22" s="2004"/>
      <c r="AA22" s="1995">
        <v>1</v>
      </c>
      <c r="AB22" s="1995">
        <v>1</v>
      </c>
      <c r="AC22" s="1995">
        <v>1</v>
      </c>
    </row>
    <row r="23" spans="1:29" ht="55.2">
      <c r="A23" s="1628"/>
      <c r="B23" s="1663" t="s">
        <v>1468</v>
      </c>
      <c r="C23" s="2391" t="str">
        <f>估价对象房地状况!C9</f>
        <v>区域自然环境：；人文环境；综合评价环境状况一般</v>
      </c>
      <c r="D23" s="1661">
        <v>100</v>
      </c>
      <c r="E23" s="1665"/>
      <c r="F23" s="1666">
        <f>SUMIF(84:84,E24,85:85)-SUMIF(84:84,C24,85:85)+100</f>
        <v>100</v>
      </c>
      <c r="G23" s="1667"/>
      <c r="H23" s="1661">
        <f>SUMIF(84:84,G24,85:85)-SUMIF(84:84,C24,85:85)+100</f>
        <v>100</v>
      </c>
      <c r="I23" s="1665"/>
      <c r="J23" s="1661">
        <f>SUMIF(84:84,I24,85:85)-SUMIF(84:84,C24,85:85)+100</f>
        <v>100</v>
      </c>
      <c r="K23" s="2388">
        <v>2</v>
      </c>
      <c r="L23" s="2916"/>
      <c r="M23" s="2912"/>
      <c r="N23" s="2912"/>
      <c r="O23" s="2912"/>
      <c r="P23" s="3636"/>
      <c r="Q23" s="1997" t="str">
        <f>B23</f>
        <v>自然及人文环境</v>
      </c>
      <c r="R23" s="1651" t="s">
        <v>25</v>
      </c>
      <c r="S23" s="1652">
        <f>F23</f>
        <v>100</v>
      </c>
      <c r="T23" s="1651" t="s">
        <v>25</v>
      </c>
      <c r="U23" s="1652">
        <f>H23</f>
        <v>100</v>
      </c>
      <c r="V23" s="1651" t="s">
        <v>25</v>
      </c>
      <c r="W23" s="1652">
        <f>J23</f>
        <v>100</v>
      </c>
      <c r="X23" s="2000"/>
      <c r="Y23" s="3623"/>
      <c r="Z23" s="2004" t="str">
        <f>Q23</f>
        <v>自然及人文环境</v>
      </c>
      <c r="AA23" s="1995">
        <f t="shared" si="3"/>
        <v>1</v>
      </c>
      <c r="AB23" s="1995">
        <f t="shared" si="4"/>
        <v>1</v>
      </c>
      <c r="AC23" s="1995">
        <f t="shared" si="5"/>
        <v>1</v>
      </c>
    </row>
    <row r="24" spans="1:29" ht="15">
      <c r="A24" s="1628"/>
      <c r="B24" s="1669"/>
      <c r="C24" s="1656" t="s">
        <v>30</v>
      </c>
      <c r="D24" s="1657"/>
      <c r="E24" s="1656" t="s">
        <v>30</v>
      </c>
      <c r="F24" s="1659"/>
      <c r="G24" s="1656" t="s">
        <v>30</v>
      </c>
      <c r="H24" s="1657"/>
      <c r="I24" s="1656" t="s">
        <v>30</v>
      </c>
      <c r="J24" s="1657"/>
      <c r="K24" s="2389"/>
      <c r="L24" s="2916"/>
      <c r="M24" s="2912"/>
      <c r="N24" s="2912"/>
      <c r="O24" s="2912"/>
      <c r="P24" s="3636"/>
      <c r="Q24" s="1997"/>
      <c r="R24" s="1651"/>
      <c r="S24" s="1652"/>
      <c r="T24" s="1651"/>
      <c r="U24" s="1652"/>
      <c r="V24" s="1651"/>
      <c r="W24" s="1652"/>
      <c r="X24" s="2000"/>
      <c r="Y24" s="3623"/>
      <c r="Z24" s="2004"/>
      <c r="AA24" s="1995">
        <v>1</v>
      </c>
      <c r="AB24" s="1995">
        <v>1</v>
      </c>
      <c r="AC24" s="1995">
        <v>1</v>
      </c>
    </row>
    <row r="25" spans="1:29" ht="15">
      <c r="A25" s="1628"/>
      <c r="B25" s="1621" t="s">
        <v>2118</v>
      </c>
      <c r="C25" s="1917" t="s">
        <v>3059</v>
      </c>
      <c r="D25" s="1637">
        <v>100</v>
      </c>
      <c r="E25" s="1917" t="s">
        <v>3059</v>
      </c>
      <c r="F25" s="1680">
        <f>SUMIF(86:86,E25,87:87)-SUMIF(86:86,C25,87:87)+100</f>
        <v>100</v>
      </c>
      <c r="G25" s="1917" t="s">
        <v>3059</v>
      </c>
      <c r="H25" s="1637">
        <f>SUMIF(86:86,G25,87:87)-SUMIF(86:86,C25,87:87)+100</f>
        <v>100</v>
      </c>
      <c r="I25" s="1917" t="s">
        <v>3059</v>
      </c>
      <c r="J25" s="1637">
        <f>SUMIF(86:86,I25,87:87)-SUMIF(86:86,C25,87:87)+100</f>
        <v>100</v>
      </c>
      <c r="K25" s="1918">
        <v>1</v>
      </c>
      <c r="L25" s="2916"/>
      <c r="M25" s="2912"/>
      <c r="N25" s="2912"/>
      <c r="O25" s="2912"/>
      <c r="P25" s="3636"/>
      <c r="Q25" s="1997" t="str">
        <f t="shared" ref="Q25:Q46" si="11">B25</f>
        <v>临街状况</v>
      </c>
      <c r="R25" s="1651" t="s">
        <v>25</v>
      </c>
      <c r="S25" s="1652">
        <f>F25</f>
        <v>100</v>
      </c>
      <c r="T25" s="1651" t="s">
        <v>25</v>
      </c>
      <c r="U25" s="1652">
        <f>H25</f>
        <v>100</v>
      </c>
      <c r="V25" s="1651" t="s">
        <v>25</v>
      </c>
      <c r="W25" s="1652">
        <f>J25</f>
        <v>100</v>
      </c>
      <c r="X25" s="2000"/>
      <c r="Y25" s="3623"/>
      <c r="Z25" s="2004" t="str">
        <f>Q25</f>
        <v>临街状况</v>
      </c>
      <c r="AA25" s="1995">
        <f t="shared" si="3"/>
        <v>1</v>
      </c>
      <c r="AB25" s="1995">
        <f t="shared" si="4"/>
        <v>1</v>
      </c>
      <c r="AC25" s="1995">
        <f t="shared" si="5"/>
        <v>1</v>
      </c>
    </row>
    <row r="26" spans="1:29" ht="15">
      <c r="A26" s="1628"/>
      <c r="B26" s="1686" t="s">
        <v>2119</v>
      </c>
      <c r="C26" s="1636"/>
      <c r="D26" s="1637">
        <v>100</v>
      </c>
      <c r="E26" s="1636"/>
      <c r="F26" s="1680">
        <f>SUMIF(88:88,E26,89:89)-SUMIF(88:88,C26,89:89)+100</f>
        <v>100</v>
      </c>
      <c r="G26" s="1636"/>
      <c r="H26" s="1637">
        <f>SUMIF(88:88,G26,89:89)-SUMIF(88:88,C26,89:89)+100</f>
        <v>100</v>
      </c>
      <c r="I26" s="1636"/>
      <c r="J26" s="1637">
        <f>SUMIF(88:88,I26,89:89)-SUMIF(88:88,C26,89:89)+100</f>
        <v>100</v>
      </c>
      <c r="K26" s="1915"/>
      <c r="L26" s="2916"/>
      <c r="M26" s="2912"/>
      <c r="N26" s="2912"/>
      <c r="O26" s="2912"/>
      <c r="P26" s="3636"/>
      <c r="Q26" s="1997" t="str">
        <f t="shared" si="11"/>
        <v>平面位置/可视性</v>
      </c>
      <c r="R26" s="1651" t="s">
        <v>25</v>
      </c>
      <c r="S26" s="1652">
        <f>F26</f>
        <v>100</v>
      </c>
      <c r="T26" s="1651" t="s">
        <v>25</v>
      </c>
      <c r="U26" s="1652">
        <f>H26</f>
        <v>100</v>
      </c>
      <c r="V26" s="1651" t="s">
        <v>25</v>
      </c>
      <c r="W26" s="1652">
        <f>J26</f>
        <v>100</v>
      </c>
      <c r="X26" s="2000"/>
      <c r="Y26" s="3623"/>
      <c r="Z26" s="2004" t="str">
        <f>Q26</f>
        <v>平面位置/可视性</v>
      </c>
      <c r="AA26" s="1995">
        <f t="shared" si="3"/>
        <v>1</v>
      </c>
      <c r="AB26" s="1995">
        <f t="shared" si="4"/>
        <v>1</v>
      </c>
      <c r="AC26" s="1995">
        <f t="shared" si="5"/>
        <v>1</v>
      </c>
    </row>
    <row r="27" spans="1:29" s="1610" customFormat="1" ht="15">
      <c r="A27" s="1631"/>
      <c r="B27" s="1663" t="s">
        <v>2120</v>
      </c>
      <c r="C27" s="2392"/>
      <c r="D27" s="1682">
        <v>100</v>
      </c>
      <c r="E27" s="2392"/>
      <c r="F27" s="1684">
        <f>SUMIF(90:90,E27,91:91)-SUMIF(90:90,C27,91:91)+100</f>
        <v>100</v>
      </c>
      <c r="G27" s="2392"/>
      <c r="H27" s="1682">
        <f>SUMIF(90:90,G27,91:91)-SUMIF(90:90,C27,91:91)+100</f>
        <v>100</v>
      </c>
      <c r="I27" s="2392"/>
      <c r="J27" s="1682">
        <f>SUMIF(90:90,I27,91:91)-SUMIF(90:90,C27,91:91)+100</f>
        <v>100</v>
      </c>
      <c r="K27" s="1918"/>
      <c r="L27" s="2911"/>
      <c r="M27" s="2884"/>
      <c r="N27" s="2884"/>
      <c r="O27" s="2884"/>
      <c r="P27" s="3636"/>
      <c r="Q27" s="1991" t="str">
        <f t="shared" si="11"/>
        <v>人流量</v>
      </c>
      <c r="R27" s="1606" t="s">
        <v>25</v>
      </c>
      <c r="S27" s="1607">
        <f>F27</f>
        <v>100</v>
      </c>
      <c r="T27" s="1606" t="s">
        <v>25</v>
      </c>
      <c r="U27" s="1607">
        <f>H27</f>
        <v>100</v>
      </c>
      <c r="V27" s="1606" t="s">
        <v>25</v>
      </c>
      <c r="W27" s="1607">
        <f>J27</f>
        <v>100</v>
      </c>
      <c r="X27" s="1608"/>
      <c r="Y27" s="3623"/>
      <c r="Z27" s="1619" t="str">
        <f>Q27</f>
        <v>人流量</v>
      </c>
      <c r="AA27" s="1995">
        <f>D27/F27</f>
        <v>1</v>
      </c>
      <c r="AB27" s="1995">
        <f>D27/H27</f>
        <v>1</v>
      </c>
      <c r="AC27" s="1995">
        <f>D27/J27</f>
        <v>1</v>
      </c>
    </row>
    <row r="28" spans="1:29" ht="15">
      <c r="A28" s="1628"/>
      <c r="B28" s="1621" t="s">
        <v>2121</v>
      </c>
      <c r="C28" s="1917" t="s">
        <v>3062</v>
      </c>
      <c r="D28" s="1637">
        <v>100</v>
      </c>
      <c r="E28" s="1917" t="s">
        <v>3063</v>
      </c>
      <c r="F28" s="1680">
        <f>SUMIF(92:92,E28,93:93)-SUMIF(92:92,C28,93:93)+100</f>
        <v>120</v>
      </c>
      <c r="G28" s="1917" t="s">
        <v>3063</v>
      </c>
      <c r="H28" s="1637">
        <f>SUMIF(92:92,G28,93:93)-SUMIF(92:92,C28,93:93)+100</f>
        <v>120</v>
      </c>
      <c r="I28" s="1917" t="s">
        <v>3063</v>
      </c>
      <c r="J28" s="1637">
        <f>SUMIF(92:92,I28,93:93)-SUMIF(92:92,C28,93:93)+100</f>
        <v>120</v>
      </c>
      <c r="K28" s="1915"/>
      <c r="L28" s="2916"/>
      <c r="M28" s="2912"/>
      <c r="N28" s="2912"/>
      <c r="O28" s="2912"/>
      <c r="P28" s="3636"/>
      <c r="Q28" s="1997" t="str">
        <f t="shared" si="11"/>
        <v>楼层</v>
      </c>
      <c r="R28" s="1651" t="s">
        <v>25</v>
      </c>
      <c r="S28" s="1652">
        <f t="shared" ref="S28:S46" si="12">F28</f>
        <v>120</v>
      </c>
      <c r="T28" s="1651" t="s">
        <v>25</v>
      </c>
      <c r="U28" s="1652">
        <f t="shared" ref="U28:U46" si="13">H28</f>
        <v>120</v>
      </c>
      <c r="V28" s="1651" t="s">
        <v>25</v>
      </c>
      <c r="W28" s="1652">
        <f t="shared" ref="W28:W46" si="14">J28</f>
        <v>120</v>
      </c>
      <c r="X28" s="2000"/>
      <c r="Y28" s="3623"/>
      <c r="Z28" s="2004" t="str">
        <f t="shared" ref="Z28:Z46" si="15">Q28</f>
        <v>楼层</v>
      </c>
      <c r="AA28" s="1995">
        <f t="shared" si="3"/>
        <v>0.83333333333333337</v>
      </c>
      <c r="AB28" s="1995">
        <f t="shared" si="4"/>
        <v>0.83333333333333337</v>
      </c>
      <c r="AC28" s="1995">
        <f t="shared" si="5"/>
        <v>0.83333333333333337</v>
      </c>
    </row>
    <row r="29" spans="1:29" ht="15">
      <c r="A29" s="1628"/>
      <c r="B29" s="1686">
        <v>111</v>
      </c>
      <c r="C29" s="1636"/>
      <c r="D29" s="1637">
        <v>100</v>
      </c>
      <c r="E29" s="1636"/>
      <c r="F29" s="1680">
        <f>SUMIF(94:94,E29,95:95)-SUMIF(94:94,C29,95:95)+100</f>
        <v>100</v>
      </c>
      <c r="G29" s="1636"/>
      <c r="H29" s="1637">
        <f>SUMIF(94:94,G29,95:95)-SUMIF(94:94,C29,95:95)+100</f>
        <v>100</v>
      </c>
      <c r="I29" s="1636"/>
      <c r="J29" s="1637">
        <f>SUMIF(94:94,I29,95:95)-SUMIF(94:94,C29,95:95)+100</f>
        <v>100</v>
      </c>
      <c r="K29" s="1915"/>
      <c r="L29" s="2916"/>
      <c r="M29" s="2912"/>
      <c r="N29" s="2912"/>
      <c r="O29" s="2912"/>
      <c r="P29" s="3636"/>
      <c r="Q29" s="1997">
        <f t="shared" si="11"/>
        <v>111</v>
      </c>
      <c r="R29" s="1651" t="s">
        <v>25</v>
      </c>
      <c r="S29" s="1652">
        <f t="shared" si="12"/>
        <v>100</v>
      </c>
      <c r="T29" s="1651" t="s">
        <v>25</v>
      </c>
      <c r="U29" s="1652">
        <f t="shared" si="13"/>
        <v>100</v>
      </c>
      <c r="V29" s="1651" t="s">
        <v>25</v>
      </c>
      <c r="W29" s="1652">
        <f t="shared" si="14"/>
        <v>100</v>
      </c>
      <c r="X29" s="2000"/>
      <c r="Y29" s="3623"/>
      <c r="Z29" s="2004">
        <f t="shared" si="15"/>
        <v>111</v>
      </c>
      <c r="AA29" s="1995">
        <f t="shared" si="3"/>
        <v>1</v>
      </c>
      <c r="AB29" s="1995">
        <f t="shared" si="4"/>
        <v>1</v>
      </c>
      <c r="AC29" s="1995">
        <f t="shared" si="5"/>
        <v>1</v>
      </c>
    </row>
    <row r="30" spans="1:29" ht="15">
      <c r="A30" s="1628"/>
      <c r="B30" s="1686">
        <v>111</v>
      </c>
      <c r="C30" s="1636"/>
      <c r="D30" s="1637">
        <v>100</v>
      </c>
      <c r="E30" s="1636"/>
      <c r="F30" s="1680">
        <f>SUMIF(96:96,E30,97:97)-SUMIF(96:96,C30,97:97)+100</f>
        <v>100</v>
      </c>
      <c r="G30" s="1636"/>
      <c r="H30" s="1637">
        <f>SUMIF(96:96,G30,97:97)-SUMIF(96:96,C30,97:97)+100</f>
        <v>100</v>
      </c>
      <c r="I30" s="1636"/>
      <c r="J30" s="1637">
        <f>SUMIF(96:96,I30,97:97)-SUMIF(96:96,C30,97:97)+100</f>
        <v>100</v>
      </c>
      <c r="K30" s="1915"/>
      <c r="L30" s="2916"/>
      <c r="M30" s="2912"/>
      <c r="N30" s="2912"/>
      <c r="O30" s="2912"/>
      <c r="P30" s="3636"/>
      <c r="Q30" s="1997">
        <f t="shared" si="11"/>
        <v>111</v>
      </c>
      <c r="R30" s="1651" t="s">
        <v>25</v>
      </c>
      <c r="S30" s="1652">
        <f t="shared" si="12"/>
        <v>100</v>
      </c>
      <c r="T30" s="1651" t="s">
        <v>25</v>
      </c>
      <c r="U30" s="1652">
        <f t="shared" si="13"/>
        <v>100</v>
      </c>
      <c r="V30" s="1651" t="s">
        <v>25</v>
      </c>
      <c r="W30" s="1652">
        <f t="shared" si="14"/>
        <v>100</v>
      </c>
      <c r="X30" s="2000"/>
      <c r="Y30" s="3623"/>
      <c r="Z30" s="2004">
        <f t="shared" si="15"/>
        <v>111</v>
      </c>
      <c r="AA30" s="1995">
        <f t="shared" si="3"/>
        <v>1</v>
      </c>
      <c r="AB30" s="1995">
        <f t="shared" si="4"/>
        <v>1</v>
      </c>
      <c r="AC30" s="1995">
        <f t="shared" si="5"/>
        <v>1</v>
      </c>
    </row>
    <row r="31" spans="1:29" ht="15.6" thickBot="1">
      <c r="A31" s="1638"/>
      <c r="B31" s="1686">
        <v>111</v>
      </c>
      <c r="C31" s="1640"/>
      <c r="D31" s="1641">
        <v>100</v>
      </c>
      <c r="E31" s="1636"/>
      <c r="F31" s="1642">
        <f>SUMIF(98:98,E31,99:99)-SUMIF(98:98,C31,99:99)+100</f>
        <v>100</v>
      </c>
      <c r="G31" s="1636"/>
      <c r="H31" s="1641">
        <f>SUMIF(98:98,G31,99:99)-SUMIF(98:98,C31,99:99)+100</f>
        <v>100</v>
      </c>
      <c r="I31" s="1636"/>
      <c r="J31" s="1641">
        <f>SUMIF(98:98,I31,99:99)-SUMIF(98:98,C31,99:99)+100</f>
        <v>100</v>
      </c>
      <c r="K31" s="1915"/>
      <c r="L31" s="2916"/>
      <c r="M31" s="2912"/>
      <c r="N31" s="2912"/>
      <c r="O31" s="2912"/>
      <c r="P31" s="3636"/>
      <c r="Q31" s="1997">
        <f t="shared" si="11"/>
        <v>111</v>
      </c>
      <c r="R31" s="1651" t="s">
        <v>25</v>
      </c>
      <c r="S31" s="1652">
        <f t="shared" si="12"/>
        <v>100</v>
      </c>
      <c r="T31" s="1651" t="s">
        <v>25</v>
      </c>
      <c r="U31" s="1652">
        <f t="shared" si="13"/>
        <v>100</v>
      </c>
      <c r="V31" s="1651" t="s">
        <v>25</v>
      </c>
      <c r="W31" s="1652">
        <f t="shared" si="14"/>
        <v>100</v>
      </c>
      <c r="X31" s="2000"/>
      <c r="Y31" s="3623"/>
      <c r="Z31" s="2004">
        <f t="shared" si="15"/>
        <v>111</v>
      </c>
      <c r="AA31" s="1995">
        <f t="shared" si="3"/>
        <v>1</v>
      </c>
      <c r="AB31" s="1995">
        <f t="shared" si="4"/>
        <v>1</v>
      </c>
      <c r="AC31" s="1995">
        <f t="shared" si="5"/>
        <v>1</v>
      </c>
    </row>
    <row r="32" spans="1:29" ht="15">
      <c r="A32" s="1643" t="s">
        <v>2034</v>
      </c>
      <c r="B32" s="1613" t="s">
        <v>2122</v>
      </c>
      <c r="C32" s="1687" t="s">
        <v>3046</v>
      </c>
      <c r="D32" s="1688">
        <v>100</v>
      </c>
      <c r="E32" s="1687" t="s">
        <v>3046</v>
      </c>
      <c r="F32" s="1680">
        <f>SUMIF(100:100,E32,101:101)-SUMIF(100:100,C32,101:101)+100</f>
        <v>100</v>
      </c>
      <c r="G32" s="1687" t="s">
        <v>3046</v>
      </c>
      <c r="H32" s="1637">
        <f>SUMIF(100:100,G32,101:101)-SUMIF(100:100,C32,101:101)+100</f>
        <v>100</v>
      </c>
      <c r="I32" s="1687" t="s">
        <v>3046</v>
      </c>
      <c r="J32" s="1688">
        <f>SUMIF(100:100,I32,101:101)-SUMIF(100:100,C32,101:101)+100</f>
        <v>100</v>
      </c>
      <c r="K32" s="1918">
        <v>2</v>
      </c>
      <c r="L32" s="2916"/>
      <c r="M32" s="2912"/>
      <c r="N32" s="2912"/>
      <c r="O32" s="2912"/>
      <c r="P32" s="3624" t="s">
        <v>2036</v>
      </c>
      <c r="Q32" s="1997" t="str">
        <f t="shared" si="11"/>
        <v>商业类型</v>
      </c>
      <c r="R32" s="1651" t="s">
        <v>25</v>
      </c>
      <c r="S32" s="1652">
        <f t="shared" si="12"/>
        <v>100</v>
      </c>
      <c r="T32" s="1651" t="s">
        <v>25</v>
      </c>
      <c r="U32" s="1652">
        <f t="shared" si="13"/>
        <v>100</v>
      </c>
      <c r="V32" s="1651" t="s">
        <v>25</v>
      </c>
      <c r="W32" s="1652">
        <f t="shared" si="14"/>
        <v>100</v>
      </c>
      <c r="X32" s="2000"/>
      <c r="Y32" s="3627" t="s">
        <v>2036</v>
      </c>
      <c r="Z32" s="2004" t="str">
        <f t="shared" si="15"/>
        <v>商业类型</v>
      </c>
      <c r="AA32" s="1995">
        <f t="shared" si="3"/>
        <v>1</v>
      </c>
      <c r="AB32" s="1995">
        <f t="shared" si="4"/>
        <v>1</v>
      </c>
      <c r="AC32" s="1995">
        <f t="shared" si="5"/>
        <v>1</v>
      </c>
    </row>
    <row r="33" spans="1:29" s="1697" customFormat="1" ht="15">
      <c r="A33" s="1690"/>
      <c r="B33" s="1621" t="s">
        <v>2037</v>
      </c>
      <c r="C33" s="1691">
        <f>项目基本情况!C12</f>
        <v>262.86</v>
      </c>
      <c r="D33" s="1623">
        <v>100</v>
      </c>
      <c r="E33" s="1630">
        <v>65</v>
      </c>
      <c r="F33" s="1625">
        <f>LOOKUP(E33,103:103,104:104)-LOOKUP(C33,103:103,104:104)+100</f>
        <v>102</v>
      </c>
      <c r="G33" s="1629">
        <v>504</v>
      </c>
      <c r="H33" s="1623">
        <f>LOOKUP(G33,103:103,104:104)-LOOKUP(C33,103:103,104:104)+100</f>
        <v>97</v>
      </c>
      <c r="I33" s="1629">
        <v>166.6</v>
      </c>
      <c r="J33" s="1623">
        <f>LOOKUP(I33,103:103,104:104)-LOOKUP(C33,103:103,104:104)+100</f>
        <v>101</v>
      </c>
      <c r="K33" s="1915"/>
      <c r="L33" s="2915"/>
      <c r="M33" s="1985"/>
      <c r="N33" s="1985"/>
      <c r="O33" s="1985"/>
      <c r="P33" s="3625"/>
      <c r="Q33" s="1692" t="str">
        <f t="shared" si="11"/>
        <v>项目建筑规模</v>
      </c>
      <c r="R33" s="1693" t="s">
        <v>25</v>
      </c>
      <c r="S33" s="1694">
        <f t="shared" si="12"/>
        <v>102</v>
      </c>
      <c r="T33" s="1693" t="s">
        <v>25</v>
      </c>
      <c r="U33" s="1694">
        <f t="shared" si="13"/>
        <v>97</v>
      </c>
      <c r="V33" s="1693" t="s">
        <v>25</v>
      </c>
      <c r="W33" s="1694">
        <f t="shared" si="14"/>
        <v>101</v>
      </c>
      <c r="X33" s="1695"/>
      <c r="Y33" s="3627"/>
      <c r="Z33" s="1696" t="str">
        <f t="shared" si="15"/>
        <v>项目建筑规模</v>
      </c>
      <c r="AA33" s="1995">
        <f t="shared" si="3"/>
        <v>0.98039215686274506</v>
      </c>
      <c r="AB33" s="1995">
        <f t="shared" si="4"/>
        <v>1.0309278350515463</v>
      </c>
      <c r="AC33" s="1995">
        <f t="shared" si="5"/>
        <v>0.99009900990099009</v>
      </c>
    </row>
    <row r="34" spans="1:29" ht="15">
      <c r="A34" s="1698"/>
      <c r="B34" s="1621" t="s">
        <v>2038</v>
      </c>
      <c r="C34" s="1699" t="s">
        <v>3039</v>
      </c>
      <c r="D34" s="1637">
        <v>100</v>
      </c>
      <c r="E34" s="1699" t="s">
        <v>3039</v>
      </c>
      <c r="F34" s="1680">
        <f>SUMIF(105:105,E34,106:106)-SUMIF(105:105,C34,106:106)+100</f>
        <v>100</v>
      </c>
      <c r="G34" s="1699" t="s">
        <v>3039</v>
      </c>
      <c r="H34" s="1637">
        <f>SUMIF(105:105,G34,106:106)-SUMIF(105:105,C34,106:106)+100</f>
        <v>100</v>
      </c>
      <c r="I34" s="1699" t="s">
        <v>3039</v>
      </c>
      <c r="J34" s="1637">
        <f>SUMIF(105:105,I34,106:106)-SUMIF(105:105,C34,106:106)+100</f>
        <v>100</v>
      </c>
      <c r="K34" s="1918">
        <v>1</v>
      </c>
      <c r="L34" s="2916"/>
      <c r="M34" s="2912"/>
      <c r="N34" s="2912"/>
      <c r="O34" s="2912"/>
      <c r="P34" s="3625"/>
      <c r="Q34" s="1997" t="str">
        <f t="shared" si="11"/>
        <v>建筑结构</v>
      </c>
      <c r="R34" s="1651" t="s">
        <v>25</v>
      </c>
      <c r="S34" s="1652">
        <f t="shared" si="12"/>
        <v>100</v>
      </c>
      <c r="T34" s="1651" t="s">
        <v>25</v>
      </c>
      <c r="U34" s="1652">
        <f t="shared" si="13"/>
        <v>100</v>
      </c>
      <c r="V34" s="1651" t="s">
        <v>25</v>
      </c>
      <c r="W34" s="1652">
        <f t="shared" si="14"/>
        <v>100</v>
      </c>
      <c r="X34" s="2000"/>
      <c r="Y34" s="3627"/>
      <c r="Z34" s="2004" t="str">
        <f t="shared" si="15"/>
        <v>建筑结构</v>
      </c>
      <c r="AA34" s="1995">
        <f t="shared" si="3"/>
        <v>1</v>
      </c>
      <c r="AB34" s="1995">
        <f t="shared" si="4"/>
        <v>1</v>
      </c>
      <c r="AC34" s="1995">
        <f t="shared" si="5"/>
        <v>1</v>
      </c>
    </row>
    <row r="35" spans="1:29" ht="15">
      <c r="A35" s="1698"/>
      <c r="B35" s="1621" t="s">
        <v>2123</v>
      </c>
      <c r="C35" s="1681" t="s">
        <v>3049</v>
      </c>
      <c r="D35" s="1637">
        <v>100</v>
      </c>
      <c r="E35" s="1681" t="s">
        <v>3049</v>
      </c>
      <c r="F35" s="1680">
        <f>SUMIF(107:107,E35,108:108)-SUMIF(107:107,C35,108:108)+100</f>
        <v>100</v>
      </c>
      <c r="G35" s="1681" t="s">
        <v>3049</v>
      </c>
      <c r="H35" s="1637">
        <f>SUMIF(107:107,G35,108:108)-SUMIF(107:107,C35,108:108)+100</f>
        <v>100</v>
      </c>
      <c r="I35" s="1681" t="s">
        <v>3049</v>
      </c>
      <c r="J35" s="1637">
        <f>SUMIF(107:107,I35,108:108)-SUMIF(107:107,C35,108:108)+100</f>
        <v>100</v>
      </c>
      <c r="K35" s="1918">
        <v>1</v>
      </c>
      <c r="L35" s="2916"/>
      <c r="M35" s="2912"/>
      <c r="N35" s="2912"/>
      <c r="O35" s="2912"/>
      <c r="P35" s="3625"/>
      <c r="Q35" s="1997" t="str">
        <f t="shared" si="11"/>
        <v>公共部分装修</v>
      </c>
      <c r="R35" s="1651" t="s">
        <v>25</v>
      </c>
      <c r="S35" s="1652">
        <f t="shared" si="12"/>
        <v>100</v>
      </c>
      <c r="T35" s="1651" t="s">
        <v>25</v>
      </c>
      <c r="U35" s="1652">
        <f t="shared" si="13"/>
        <v>100</v>
      </c>
      <c r="V35" s="1651" t="s">
        <v>25</v>
      </c>
      <c r="W35" s="1652">
        <f t="shared" si="14"/>
        <v>100</v>
      </c>
      <c r="X35" s="2000"/>
      <c r="Y35" s="3627"/>
      <c r="Z35" s="2004" t="str">
        <f t="shared" si="15"/>
        <v>公共部分装修</v>
      </c>
      <c r="AA35" s="1995">
        <f t="shared" si="3"/>
        <v>1</v>
      </c>
      <c r="AB35" s="1995">
        <f t="shared" si="4"/>
        <v>1</v>
      </c>
      <c r="AC35" s="1995">
        <f t="shared" si="5"/>
        <v>1</v>
      </c>
    </row>
    <row r="36" spans="1:29" ht="15">
      <c r="A36" s="1698"/>
      <c r="B36" s="1621" t="s">
        <v>2124</v>
      </c>
      <c r="C36" s="1702">
        <f>'数据-取费表'!E20</f>
        <v>0.85</v>
      </c>
      <c r="D36" s="1637">
        <v>100</v>
      </c>
      <c r="E36" s="1702">
        <f>ROUND(1-(2022-2010)/60,2)</f>
        <v>0.8</v>
      </c>
      <c r="F36" s="1680">
        <f>LOOKUP(E36,110:110,111:111)-LOOKUP(C36,110:110,111:111)+100</f>
        <v>100</v>
      </c>
      <c r="G36" s="1702">
        <f>E36</f>
        <v>0.8</v>
      </c>
      <c r="H36" s="1680">
        <f>LOOKUP(G36,110:110,111:111)-LOOKUP(C36,110:110,111:111)+100</f>
        <v>100</v>
      </c>
      <c r="I36" s="1702">
        <f>G36</f>
        <v>0.8</v>
      </c>
      <c r="J36" s="1637">
        <f>LOOKUP(I36,110:110,111:111)-LOOKUP(C36,110:110,111:111)+100</f>
        <v>100</v>
      </c>
      <c r="K36" s="1918">
        <v>1</v>
      </c>
      <c r="L36" s="2916"/>
      <c r="M36" s="2912"/>
      <c r="N36" s="2912"/>
      <c r="O36" s="2912"/>
      <c r="P36" s="3625"/>
      <c r="Q36" s="1997" t="str">
        <f t="shared" si="11"/>
        <v>成新度</v>
      </c>
      <c r="R36" s="1651" t="s">
        <v>25</v>
      </c>
      <c r="S36" s="1652">
        <f t="shared" si="12"/>
        <v>100</v>
      </c>
      <c r="T36" s="1651" t="s">
        <v>25</v>
      </c>
      <c r="U36" s="1652">
        <f t="shared" si="13"/>
        <v>100</v>
      </c>
      <c r="V36" s="1651" t="s">
        <v>25</v>
      </c>
      <c r="W36" s="1652">
        <f t="shared" si="14"/>
        <v>100</v>
      </c>
      <c r="X36" s="2000"/>
      <c r="Y36" s="3627"/>
      <c r="Z36" s="2004" t="str">
        <f t="shared" si="15"/>
        <v>成新度</v>
      </c>
      <c r="AA36" s="1995">
        <f t="shared" si="3"/>
        <v>1</v>
      </c>
      <c r="AB36" s="1995">
        <f t="shared" si="4"/>
        <v>1</v>
      </c>
      <c r="AC36" s="1995">
        <f t="shared" si="5"/>
        <v>1</v>
      </c>
    </row>
    <row r="37" spans="1:29" s="1610" customFormat="1" ht="15">
      <c r="A37" s="1701"/>
      <c r="B37" s="1621" t="s">
        <v>2125</v>
      </c>
      <c r="C37" s="1681" t="s">
        <v>3052</v>
      </c>
      <c r="D37" s="1623">
        <v>100</v>
      </c>
      <c r="E37" s="1681" t="s">
        <v>3051</v>
      </c>
      <c r="F37" s="1680">
        <f>SUMIF(112:112,E37,113:113)-SUMIF(112:112,C37,113:113)+100</f>
        <v>101</v>
      </c>
      <c r="G37" s="1681" t="s">
        <v>3051</v>
      </c>
      <c r="H37" s="1637">
        <f>SUMIF(112:112,G37,113:113)-SUMIF(112:112,C37,113:113)+100</f>
        <v>101</v>
      </c>
      <c r="I37" s="1681" t="s">
        <v>3051</v>
      </c>
      <c r="J37" s="1637">
        <f>SUMIF(112:112,I37,113:113)-SUMIF(112:112,C37,113:113)+100</f>
        <v>101</v>
      </c>
      <c r="K37" s="1918">
        <v>1</v>
      </c>
      <c r="L37" s="2911"/>
      <c r="M37" s="2884"/>
      <c r="N37" s="2884"/>
      <c r="O37" s="2884"/>
      <c r="P37" s="3625"/>
      <c r="Q37" s="1991" t="str">
        <f t="shared" si="11"/>
        <v>市政基础设施</v>
      </c>
      <c r="R37" s="1606" t="s">
        <v>25</v>
      </c>
      <c r="S37" s="1607">
        <f t="shared" si="12"/>
        <v>101</v>
      </c>
      <c r="T37" s="1606" t="s">
        <v>25</v>
      </c>
      <c r="U37" s="1607">
        <f t="shared" si="13"/>
        <v>101</v>
      </c>
      <c r="V37" s="1606" t="s">
        <v>25</v>
      </c>
      <c r="W37" s="1607">
        <f t="shared" si="14"/>
        <v>101</v>
      </c>
      <c r="X37" s="1608"/>
      <c r="Y37" s="3627"/>
      <c r="Z37" s="1619" t="str">
        <f t="shared" si="15"/>
        <v>市政基础设施</v>
      </c>
      <c r="AA37" s="1609">
        <f t="shared" si="3"/>
        <v>0.99009900990099009</v>
      </c>
      <c r="AB37" s="1609">
        <f t="shared" si="4"/>
        <v>0.99009900990099009</v>
      </c>
      <c r="AC37" s="1609">
        <f t="shared" si="5"/>
        <v>0.99009900990099009</v>
      </c>
    </row>
    <row r="38" spans="1:29" ht="15">
      <c r="A38" s="1698"/>
      <c r="B38" s="1621" t="s">
        <v>2126</v>
      </c>
      <c r="C38" s="1681" t="s">
        <v>3071</v>
      </c>
      <c r="D38" s="1637">
        <v>100</v>
      </c>
      <c r="E38" s="1681" t="s">
        <v>3071</v>
      </c>
      <c r="F38" s="1680">
        <f>SUMIF(114:114,E38,115:115)-SUMIF(114:114,C38,115:115)+100</f>
        <v>100</v>
      </c>
      <c r="G38" s="1681" t="s">
        <v>3071</v>
      </c>
      <c r="H38" s="1637">
        <f>SUMIF(114:114,G38,115:115)-SUMIF(114:114,C38,115:115)+100</f>
        <v>100</v>
      </c>
      <c r="I38" s="1681" t="s">
        <v>3071</v>
      </c>
      <c r="J38" s="1637">
        <f>SUMIF(114:114,I38,115:115)-SUMIF(114:114,C38,115:115)+100</f>
        <v>100</v>
      </c>
      <c r="K38" s="1918">
        <v>3</v>
      </c>
      <c r="L38" s="2916"/>
      <c r="M38" s="2912"/>
      <c r="N38" s="2912"/>
      <c r="O38" s="2912"/>
      <c r="P38" s="3625" t="s">
        <v>2036</v>
      </c>
      <c r="Q38" s="1997" t="str">
        <f t="shared" si="11"/>
        <v>业态</v>
      </c>
      <c r="R38" s="1651" t="s">
        <v>25</v>
      </c>
      <c r="S38" s="1652">
        <f t="shared" si="12"/>
        <v>100</v>
      </c>
      <c r="T38" s="1651" t="s">
        <v>25</v>
      </c>
      <c r="U38" s="1652">
        <f t="shared" si="13"/>
        <v>100</v>
      </c>
      <c r="V38" s="1651" t="s">
        <v>25</v>
      </c>
      <c r="W38" s="1652">
        <f t="shared" si="14"/>
        <v>100</v>
      </c>
      <c r="X38" s="2000"/>
      <c r="Y38" s="3627" t="s">
        <v>2036</v>
      </c>
      <c r="Z38" s="2004" t="str">
        <f t="shared" si="15"/>
        <v>业态</v>
      </c>
      <c r="AA38" s="1995">
        <f t="shared" si="3"/>
        <v>1</v>
      </c>
      <c r="AB38" s="1995">
        <f t="shared" si="4"/>
        <v>1</v>
      </c>
      <c r="AC38" s="1995">
        <f t="shared" si="5"/>
        <v>1</v>
      </c>
    </row>
    <row r="39" spans="1:29" ht="15">
      <c r="A39" s="1698"/>
      <c r="B39" s="1621" t="s">
        <v>2127</v>
      </c>
      <c r="C39" s="1681" t="s">
        <v>3092</v>
      </c>
      <c r="D39" s="1637">
        <v>100</v>
      </c>
      <c r="E39" s="1681" t="s">
        <v>3092</v>
      </c>
      <c r="F39" s="1680">
        <f>SUMIF(116:116,E39,117:117)-SUMIF(116:116,C39,117:117)+100</f>
        <v>100</v>
      </c>
      <c r="G39" s="3334" t="s">
        <v>3091</v>
      </c>
      <c r="H39" s="1637">
        <f>SUMIF(116:116,G39,117:117)-SUMIF(116:116,C39,117:117)+100</f>
        <v>105</v>
      </c>
      <c r="I39" s="1681" t="s">
        <v>3092</v>
      </c>
      <c r="J39" s="1637">
        <f>SUMIF(116:116,I39,117:117)-SUMIF(116:116,C39,117:117)+100</f>
        <v>100</v>
      </c>
      <c r="K39" s="1918">
        <v>5</v>
      </c>
      <c r="L39" s="2916"/>
      <c r="M39" s="2912"/>
      <c r="N39" s="2912"/>
      <c r="O39" s="2912"/>
      <c r="P39" s="3625"/>
      <c r="Q39" s="1997" t="str">
        <f t="shared" si="11"/>
        <v>层高</v>
      </c>
      <c r="R39" s="1651" t="s">
        <v>25</v>
      </c>
      <c r="S39" s="1652">
        <f t="shared" si="12"/>
        <v>100</v>
      </c>
      <c r="T39" s="1651" t="s">
        <v>25</v>
      </c>
      <c r="U39" s="1652">
        <f t="shared" si="13"/>
        <v>105</v>
      </c>
      <c r="V39" s="1651" t="s">
        <v>25</v>
      </c>
      <c r="W39" s="1652">
        <f t="shared" si="14"/>
        <v>100</v>
      </c>
      <c r="X39" s="2000"/>
      <c r="Y39" s="3627"/>
      <c r="Z39" s="2004" t="str">
        <f t="shared" si="15"/>
        <v>层高</v>
      </c>
      <c r="AA39" s="1995">
        <f t="shared" si="3"/>
        <v>1</v>
      </c>
      <c r="AB39" s="1995">
        <f t="shared" si="4"/>
        <v>0.95238095238095233</v>
      </c>
      <c r="AC39" s="1995">
        <f t="shared" si="5"/>
        <v>1</v>
      </c>
    </row>
    <row r="40" spans="1:29" ht="15">
      <c r="A40" s="1698"/>
      <c r="B40" s="1621" t="s">
        <v>2128</v>
      </c>
      <c r="C40" s="2393"/>
      <c r="D40" s="1637">
        <v>100</v>
      </c>
      <c r="E40" s="2394"/>
      <c r="F40" s="1680">
        <f>SUMIF(118:118,E40,119:119)-SUMIF(118:118,C40,119:119)+100</f>
        <v>100</v>
      </c>
      <c r="G40" s="2394"/>
      <c r="H40" s="1637">
        <f>SUMIF(118:118,G40,119:119)-SUMIF(118:118,C40,119:119)+100</f>
        <v>100</v>
      </c>
      <c r="I40" s="2394"/>
      <c r="J40" s="1637">
        <f>SUMIF(118:118,I40,119:119)-SUMIF(118:118,C40,119:119)+100</f>
        <v>100</v>
      </c>
      <c r="K40" s="1915"/>
      <c r="L40" s="2916"/>
      <c r="M40" s="2912"/>
      <c r="N40" s="2912"/>
      <c r="O40" s="2912"/>
      <c r="P40" s="3625"/>
      <c r="Q40" s="1997" t="str">
        <f t="shared" si="11"/>
        <v>单套建筑面积</v>
      </c>
      <c r="R40" s="1651" t="s">
        <v>25</v>
      </c>
      <c r="S40" s="1652">
        <f t="shared" si="12"/>
        <v>100</v>
      </c>
      <c r="T40" s="1651" t="s">
        <v>25</v>
      </c>
      <c r="U40" s="1652">
        <f t="shared" si="13"/>
        <v>100</v>
      </c>
      <c r="V40" s="1651" t="s">
        <v>25</v>
      </c>
      <c r="W40" s="1652">
        <f t="shared" si="14"/>
        <v>100</v>
      </c>
      <c r="X40" s="2000"/>
      <c r="Y40" s="3627"/>
      <c r="Z40" s="2004" t="str">
        <f t="shared" si="15"/>
        <v>单套建筑面积</v>
      </c>
      <c r="AA40" s="1995">
        <f t="shared" si="3"/>
        <v>1</v>
      </c>
      <c r="AB40" s="1995">
        <f t="shared" si="4"/>
        <v>1</v>
      </c>
      <c r="AC40" s="1995">
        <f t="shared" si="5"/>
        <v>1</v>
      </c>
    </row>
    <row r="41" spans="1:29" s="1697" customFormat="1" ht="15">
      <c r="A41" s="1690"/>
      <c r="B41" s="1996" t="s">
        <v>2129</v>
      </c>
      <c r="C41" s="1917"/>
      <c r="D41" s="1637">
        <v>100</v>
      </c>
      <c r="E41" s="1917"/>
      <c r="F41" s="1680">
        <f>SUMIF(120:120,E41,121:121)-SUMIF(120:120,C41,121:121)+100</f>
        <v>100</v>
      </c>
      <c r="G41" s="1917"/>
      <c r="H41" s="1637">
        <f>SUMIF(120:120,G41,121:121)-SUMIF(120:120,C41,121:121)+100</f>
        <v>100</v>
      </c>
      <c r="I41" s="1917"/>
      <c r="J41" s="1637">
        <f>SUMIF(120:120,I41,121:121)-SUMIF(120:120,C41,121:121)+100</f>
        <v>100</v>
      </c>
      <c r="K41" s="1918"/>
      <c r="L41" s="2915"/>
      <c r="M41" s="1985"/>
      <c r="N41" s="1985"/>
      <c r="O41" s="1985"/>
      <c r="P41" s="3625"/>
      <c r="Q41" s="1692" t="str">
        <f t="shared" si="11"/>
        <v>进深比</v>
      </c>
      <c r="R41" s="1693" t="s">
        <v>25</v>
      </c>
      <c r="S41" s="1694">
        <f t="shared" si="12"/>
        <v>100</v>
      </c>
      <c r="T41" s="1693" t="s">
        <v>25</v>
      </c>
      <c r="U41" s="1694">
        <f t="shared" si="13"/>
        <v>100</v>
      </c>
      <c r="V41" s="1693" t="s">
        <v>25</v>
      </c>
      <c r="W41" s="1694">
        <f t="shared" si="14"/>
        <v>100</v>
      </c>
      <c r="X41" s="1695"/>
      <c r="Y41" s="3627"/>
      <c r="Z41" s="1696" t="str">
        <f t="shared" si="15"/>
        <v>进深比</v>
      </c>
      <c r="AA41" s="1995">
        <f t="shared" si="3"/>
        <v>1</v>
      </c>
      <c r="AB41" s="1995">
        <f t="shared" si="4"/>
        <v>1</v>
      </c>
      <c r="AC41" s="1995">
        <f t="shared" si="5"/>
        <v>1</v>
      </c>
    </row>
    <row r="42" spans="1:29" ht="15">
      <c r="A42" s="1698"/>
      <c r="B42" s="1621" t="s">
        <v>2130</v>
      </c>
      <c r="C42" s="1681" t="s">
        <v>3049</v>
      </c>
      <c r="D42" s="1637">
        <v>100</v>
      </c>
      <c r="E42" s="1681" t="s">
        <v>3049</v>
      </c>
      <c r="F42" s="1680">
        <f>SUMIF(122:122,E42,123:123)-SUMIF(122:122,C42,123:123)+100</f>
        <v>100</v>
      </c>
      <c r="G42" s="1681" t="s">
        <v>3049</v>
      </c>
      <c r="H42" s="1637">
        <f>SUMIF(122:122,G42,123:123)-SUMIF(122:122,C42,123:123)+100</f>
        <v>100</v>
      </c>
      <c r="I42" s="1681" t="s">
        <v>3049</v>
      </c>
      <c r="J42" s="1637">
        <f>SUMIF(122:122,I42,123:123)-SUMIF(122:122,C42,123:123)+100</f>
        <v>100</v>
      </c>
      <c r="K42" s="1918">
        <v>1</v>
      </c>
      <c r="L42" s="2916"/>
      <c r="M42" s="2912"/>
      <c r="N42" s="2912"/>
      <c r="O42" s="2912"/>
      <c r="P42" s="3625"/>
      <c r="Q42" s="1997" t="str">
        <f t="shared" si="11"/>
        <v>内部装修</v>
      </c>
      <c r="R42" s="1651" t="s">
        <v>25</v>
      </c>
      <c r="S42" s="1652">
        <f t="shared" si="12"/>
        <v>100</v>
      </c>
      <c r="T42" s="1651" t="s">
        <v>25</v>
      </c>
      <c r="U42" s="1652">
        <f t="shared" si="13"/>
        <v>100</v>
      </c>
      <c r="V42" s="1651" t="s">
        <v>25</v>
      </c>
      <c r="W42" s="1652">
        <f t="shared" si="14"/>
        <v>100</v>
      </c>
      <c r="X42" s="2000"/>
      <c r="Y42" s="3627"/>
      <c r="Z42" s="2004" t="str">
        <f t="shared" si="15"/>
        <v>内部装修</v>
      </c>
      <c r="AA42" s="1995">
        <f t="shared" si="3"/>
        <v>1</v>
      </c>
      <c r="AB42" s="1995">
        <f t="shared" si="4"/>
        <v>1</v>
      </c>
      <c r="AC42" s="1995">
        <f t="shared" si="5"/>
        <v>1</v>
      </c>
    </row>
    <row r="43" spans="1:29" ht="28.8">
      <c r="A43" s="1698"/>
      <c r="B43" s="1621" t="s">
        <v>2047</v>
      </c>
      <c r="C43" s="1681" t="s">
        <v>30</v>
      </c>
      <c r="D43" s="1637">
        <v>100</v>
      </c>
      <c r="E43" s="1681" t="s">
        <v>30</v>
      </c>
      <c r="F43" s="1680">
        <f>SUMIF(124:124,E43,125:125)-SUMIF(124:124,C43,125:125)+100</f>
        <v>100</v>
      </c>
      <c r="G43" s="1681" t="s">
        <v>30</v>
      </c>
      <c r="H43" s="1637">
        <f>SUMIF(124:124,G43,125:125)-SUMIF(124:124,C43,125:125)+100</f>
        <v>100</v>
      </c>
      <c r="I43" s="1681" t="s">
        <v>30</v>
      </c>
      <c r="J43" s="1637">
        <f>SUMIF(124:124,I43,125:125)-SUMIF(124:124,C43,125:125)+100</f>
        <v>100</v>
      </c>
      <c r="K43" s="1918">
        <v>1</v>
      </c>
      <c r="L43" s="2916"/>
      <c r="M43" s="2912"/>
      <c r="N43" s="2912"/>
      <c r="O43" s="2912"/>
      <c r="P43" s="3625"/>
      <c r="Q43" s="1997" t="str">
        <f t="shared" si="11"/>
        <v>内部装修维护情况</v>
      </c>
      <c r="R43" s="1651" t="s">
        <v>25</v>
      </c>
      <c r="S43" s="1652">
        <f t="shared" si="12"/>
        <v>100</v>
      </c>
      <c r="T43" s="1651" t="s">
        <v>25</v>
      </c>
      <c r="U43" s="1652">
        <f t="shared" si="13"/>
        <v>100</v>
      </c>
      <c r="V43" s="1651" t="s">
        <v>25</v>
      </c>
      <c r="W43" s="1652">
        <f t="shared" si="14"/>
        <v>100</v>
      </c>
      <c r="X43" s="2000"/>
      <c r="Y43" s="3627"/>
      <c r="Z43" s="2004" t="str">
        <f t="shared" si="15"/>
        <v>内部装修维护情况</v>
      </c>
      <c r="AA43" s="1995">
        <f t="shared" si="3"/>
        <v>1</v>
      </c>
      <c r="AB43" s="1995">
        <f t="shared" si="4"/>
        <v>1</v>
      </c>
      <c r="AC43" s="1995">
        <f t="shared" si="5"/>
        <v>1</v>
      </c>
    </row>
    <row r="44" spans="1:29" s="1610" customFormat="1" ht="15">
      <c r="A44" s="1701"/>
      <c r="B44" s="1686">
        <v>111</v>
      </c>
      <c r="C44" s="1691"/>
      <c r="D44" s="1623">
        <v>100</v>
      </c>
      <c r="E44" s="1636"/>
      <c r="F44" s="1625">
        <f>SUMIF(126:126,E44,127:127)-SUMIF(126:126,C44,127:127)+100</f>
        <v>100</v>
      </c>
      <c r="G44" s="1636"/>
      <c r="H44" s="1623">
        <f>SUMIF(126:126,G44,127:127)-SUMIF(126:126,C44,127:127)+100</f>
        <v>100</v>
      </c>
      <c r="I44" s="1636"/>
      <c r="J44" s="1623">
        <f>SUMIF(126:126,I44,127:127)-SUMIF(126:126,C44,127:127)+100</f>
        <v>100</v>
      </c>
      <c r="K44" s="1915"/>
      <c r="L44" s="2911"/>
      <c r="M44" s="2884"/>
      <c r="N44" s="2884"/>
      <c r="O44" s="2884"/>
      <c r="P44" s="3625"/>
      <c r="Q44" s="1991">
        <f t="shared" si="11"/>
        <v>111</v>
      </c>
      <c r="R44" s="1606" t="s">
        <v>25</v>
      </c>
      <c r="S44" s="1607">
        <f t="shared" si="12"/>
        <v>100</v>
      </c>
      <c r="T44" s="1606" t="s">
        <v>25</v>
      </c>
      <c r="U44" s="1607">
        <f t="shared" si="13"/>
        <v>100</v>
      </c>
      <c r="V44" s="1606" t="s">
        <v>25</v>
      </c>
      <c r="W44" s="1607">
        <f t="shared" si="14"/>
        <v>100</v>
      </c>
      <c r="X44" s="1608"/>
      <c r="Y44" s="3627"/>
      <c r="Z44" s="1619">
        <f t="shared" si="15"/>
        <v>111</v>
      </c>
      <c r="AA44" s="1609">
        <f t="shared" si="3"/>
        <v>1</v>
      </c>
      <c r="AB44" s="1609">
        <f t="shared" si="4"/>
        <v>1</v>
      </c>
      <c r="AC44" s="1609">
        <f t="shared" si="5"/>
        <v>1</v>
      </c>
    </row>
    <row r="45" spans="1:29" ht="15">
      <c r="A45" s="1698"/>
      <c r="B45" s="1686">
        <v>111</v>
      </c>
      <c r="C45" s="1636"/>
      <c r="D45" s="1637">
        <v>100</v>
      </c>
      <c r="E45" s="1636"/>
      <c r="F45" s="1680">
        <f>SUMIF(128:128,E45,129:129)-SUMIF(128:128,C45,129:129)+100</f>
        <v>100</v>
      </c>
      <c r="G45" s="1636"/>
      <c r="H45" s="1637">
        <f>SUMIF(128:128,G45,129:129)-SUMIF(128:128,C45,129:129)+100</f>
        <v>100</v>
      </c>
      <c r="I45" s="1636"/>
      <c r="J45" s="1637">
        <f>SUMIF(128:128,I45,129:129)-SUMIF(128:128,C45,129:129)+100</f>
        <v>100</v>
      </c>
      <c r="K45" s="1915"/>
      <c r="L45" s="2916"/>
      <c r="M45" s="2912"/>
      <c r="N45" s="2912"/>
      <c r="O45" s="2912"/>
      <c r="P45" s="3625"/>
      <c r="Q45" s="1997">
        <f t="shared" si="11"/>
        <v>111</v>
      </c>
      <c r="R45" s="1651" t="s">
        <v>25</v>
      </c>
      <c r="S45" s="1652">
        <f t="shared" si="12"/>
        <v>100</v>
      </c>
      <c r="T45" s="1651" t="s">
        <v>25</v>
      </c>
      <c r="U45" s="1652">
        <f t="shared" si="13"/>
        <v>100</v>
      </c>
      <c r="V45" s="1651" t="s">
        <v>25</v>
      </c>
      <c r="W45" s="1652">
        <f t="shared" si="14"/>
        <v>100</v>
      </c>
      <c r="X45" s="2000"/>
      <c r="Y45" s="3627"/>
      <c r="Z45" s="2004">
        <f t="shared" si="15"/>
        <v>111</v>
      </c>
      <c r="AA45" s="1995">
        <f t="shared" si="3"/>
        <v>1</v>
      </c>
      <c r="AB45" s="1995">
        <f t="shared" si="4"/>
        <v>1</v>
      </c>
      <c r="AC45" s="1995">
        <f t="shared" si="5"/>
        <v>1</v>
      </c>
    </row>
    <row r="46" spans="1:29" ht="15.6" thickBot="1">
      <c r="A46" s="1706"/>
      <c r="B46" s="1639">
        <v>111</v>
      </c>
      <c r="C46" s="1640"/>
      <c r="D46" s="1641">
        <v>100</v>
      </c>
      <c r="E46" s="1636"/>
      <c r="F46" s="1642">
        <f>SUMIF(130:130,E46,131:131)-SUMIF(130:130,C46,131:131)+100</f>
        <v>100</v>
      </c>
      <c r="G46" s="1636"/>
      <c r="H46" s="1641">
        <f>SUMIF(130:130,G46,131:131)-SUMIF(130:130,C46,131:131)+100</f>
        <v>100</v>
      </c>
      <c r="I46" s="1636"/>
      <c r="J46" s="1641">
        <f>SUMIF(130:130,I46,131:131)-SUMIF(130:130,C46,131:131)+100</f>
        <v>100</v>
      </c>
      <c r="K46" s="1915"/>
      <c r="L46" s="2916"/>
      <c r="M46" s="2912"/>
      <c r="N46" s="2912"/>
      <c r="O46" s="2912"/>
      <c r="P46" s="3626"/>
      <c r="Q46" s="1997">
        <f t="shared" si="11"/>
        <v>111</v>
      </c>
      <c r="R46" s="1651" t="s">
        <v>25</v>
      </c>
      <c r="S46" s="1652">
        <f t="shared" si="12"/>
        <v>100</v>
      </c>
      <c r="T46" s="1651" t="s">
        <v>25</v>
      </c>
      <c r="U46" s="1652">
        <f t="shared" si="13"/>
        <v>100</v>
      </c>
      <c r="V46" s="1651" t="s">
        <v>25</v>
      </c>
      <c r="W46" s="1652">
        <f t="shared" si="14"/>
        <v>100</v>
      </c>
      <c r="X46" s="2000"/>
      <c r="Y46" s="3628"/>
      <c r="Z46" s="2004">
        <f t="shared" si="15"/>
        <v>111</v>
      </c>
      <c r="AA46" s="1995">
        <f t="shared" si="3"/>
        <v>1</v>
      </c>
      <c r="AB46" s="1995">
        <f t="shared" si="4"/>
        <v>1</v>
      </c>
      <c r="AC46" s="1995">
        <f t="shared" si="5"/>
        <v>1</v>
      </c>
    </row>
    <row r="47" spans="1:29" ht="14.4">
      <c r="A47" s="1707" t="s">
        <v>2048</v>
      </c>
      <c r="B47" s="1708"/>
      <c r="C47" s="1709" t="s">
        <v>1</v>
      </c>
      <c r="D47" s="1710"/>
      <c r="E47" s="1711">
        <f>ROUND(55385*C50,0)</f>
        <v>54831</v>
      </c>
      <c r="F47" s="1712"/>
      <c r="G47" s="1711">
        <v>59524</v>
      </c>
      <c r="H47" s="1714"/>
      <c r="I47" s="1711">
        <f>ROUND(54022*C50,0)</f>
        <v>53482</v>
      </c>
      <c r="J47" s="1714"/>
      <c r="K47" s="1939"/>
      <c r="L47" s="2917"/>
      <c r="N47" s="2912"/>
      <c r="P47" s="3633" t="str">
        <f>A47</f>
        <v>成交单价（元/平方米）</v>
      </c>
      <c r="Q47" s="3633"/>
      <c r="R47" s="3634">
        <f>E47</f>
        <v>54831</v>
      </c>
      <c r="S47" s="3634"/>
      <c r="T47" s="3634">
        <f>G47</f>
        <v>59524</v>
      </c>
      <c r="U47" s="3634"/>
      <c r="V47" s="3634">
        <f>I47</f>
        <v>53482</v>
      </c>
      <c r="W47" s="3634"/>
      <c r="X47" s="1717"/>
      <c r="Y47" s="1999"/>
      <c r="Z47" s="1717"/>
      <c r="AA47" s="1717"/>
      <c r="AB47" s="1717"/>
      <c r="AC47" s="1717"/>
    </row>
    <row r="48" spans="1:29" ht="15" thickBot="1">
      <c r="A48" s="1719" t="s">
        <v>2131</v>
      </c>
      <c r="B48" s="1720"/>
      <c r="C48" s="1721">
        <f>R49</f>
        <v>45421</v>
      </c>
      <c r="D48" s="1722" t="s">
        <v>2499</v>
      </c>
      <c r="E48" s="1723">
        <f>R48</f>
        <v>44353</v>
      </c>
      <c r="F48" s="1724"/>
      <c r="G48" s="1721">
        <f>T48</f>
        <v>48220</v>
      </c>
      <c r="H48" s="1724"/>
      <c r="I48" s="1723">
        <f>V48</f>
        <v>43690</v>
      </c>
      <c r="J48" s="1724"/>
      <c r="K48" s="2426">
        <f>F48+H48+J48</f>
        <v>0</v>
      </c>
      <c r="L48" s="2917"/>
      <c r="N48" s="2912"/>
      <c r="P48" s="3633" t="str">
        <f>A48</f>
        <v>比较价值（元/平方米）</v>
      </c>
      <c r="Q48" s="3633"/>
      <c r="R48" s="3634">
        <f>IF(E1="售价",ROUND(PRODUCT(R47,AA7:AA46),0),ROUND(PRODUCT(R47,AA7:AA46),1))</f>
        <v>44353</v>
      </c>
      <c r="S48" s="3634"/>
      <c r="T48" s="3634">
        <f>IF(E1="售价",ROUND(PRODUCT(T47,AB7:AB46),0),ROUND(PRODUCT(T47,AB7:AB46),1))</f>
        <v>48220</v>
      </c>
      <c r="U48" s="3634"/>
      <c r="V48" s="3634">
        <f>IF(E1="售价",ROUND(PRODUCT(V47,AC7:AC46),0),ROUND(PRODUCT(V47,AC7:AC46),1))</f>
        <v>43690</v>
      </c>
      <c r="W48" s="3634"/>
      <c r="X48" s="1717"/>
      <c r="Y48" s="1717"/>
      <c r="Z48" s="1717"/>
      <c r="AA48" s="1717"/>
      <c r="AB48" s="1717"/>
      <c r="AC48" s="1717"/>
    </row>
    <row r="49" spans="1:29" ht="15" thickBot="1">
      <c r="A49" s="1725" t="s">
        <v>2132</v>
      </c>
      <c r="B49" s="1726"/>
      <c r="C49" s="1728">
        <f>R49</f>
        <v>45421</v>
      </c>
      <c r="D49" s="1728"/>
      <c r="E49" s="1728"/>
      <c r="F49" s="1728"/>
      <c r="G49" s="1728"/>
      <c r="H49" s="1728"/>
      <c r="I49" s="1728"/>
      <c r="J49" s="1728"/>
      <c r="K49" s="1944"/>
      <c r="L49" s="2917"/>
      <c r="N49" s="2912"/>
      <c r="P49" s="3639" t="str">
        <f>A49</f>
        <v>估价对象XX用房的比较价值（楼面单价，元/平方米）</v>
      </c>
      <c r="Q49" s="3640"/>
      <c r="R49" s="3641">
        <f>IF(E1="售价",ROUND(IF(D48="简单平均",AVERAGE(R48:V48),R48*F48+T48*H48+V48*J48),0),ROUND(IF(D48="简单平均",AVERAGE(R48:V48),R48*F48+T48*H48+V48*J48),1))</f>
        <v>45421</v>
      </c>
      <c r="S49" s="3641"/>
      <c r="T49" s="3641"/>
      <c r="U49" s="3641"/>
      <c r="V49" s="3641"/>
      <c r="W49" s="3641"/>
      <c r="X49" s="1717"/>
      <c r="Y49" s="1717"/>
      <c r="Z49" s="1717"/>
      <c r="AA49" s="1717"/>
      <c r="AB49" s="1717"/>
      <c r="AC49" s="1717"/>
    </row>
    <row r="50" spans="1:29">
      <c r="C50" s="1592">
        <v>0.99</v>
      </c>
      <c r="G50" s="2921"/>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2133</v>
      </c>
      <c r="D52" s="1733"/>
      <c r="E52" s="1734">
        <f>IF(E47&lt;E48,E48/E47-1,E47/E48-1)</f>
        <v>0.23624106599328121</v>
      </c>
      <c r="F52" s="1735" t="str">
        <f>IF(OR(E52&gt;=0.3,E52&lt;=-0.3),"超过30%","")</f>
        <v/>
      </c>
      <c r="G52" s="1734">
        <f>IF(G47&lt;G48,G48/G47-1,G47/G48-1)</f>
        <v>0.23442554956449602</v>
      </c>
      <c r="H52" s="1735" t="str">
        <f>IF(OR(G52&gt;=0.3,G52&lt;=-0.3),"超过30%","")</f>
        <v/>
      </c>
      <c r="I52" s="1734">
        <f>IF(I47&lt;I48,I48/I47-1,I47/I48-1)</f>
        <v>0.22412451361867713</v>
      </c>
      <c r="J52" s="1735" t="str">
        <f>IF(OR(I52&gt;=0.3,I52&lt;=-0.3),"超过30%","")</f>
        <v/>
      </c>
      <c r="P52" s="2395"/>
      <c r="Q52" s="1716"/>
      <c r="R52" s="1716"/>
      <c r="S52" s="1716"/>
      <c r="T52" s="1716"/>
      <c r="U52" s="1716"/>
      <c r="V52" s="1716"/>
      <c r="W52" s="1716"/>
      <c r="X52" s="1716"/>
      <c r="Y52" s="1716"/>
      <c r="Z52" s="1716"/>
      <c r="AA52" s="1716"/>
      <c r="AB52" s="1716"/>
      <c r="AC52" s="1716"/>
    </row>
    <row r="53" spans="1:29" ht="13.5" customHeight="1">
      <c r="C53" s="383" t="s">
        <v>2134</v>
      </c>
      <c r="D53" s="1736"/>
      <c r="E53" s="1734">
        <f>IF(E48&lt;G48,G48/E48-1,E48/G48-1)</f>
        <v>8.7186887020043846E-2</v>
      </c>
      <c r="F53" s="1735" t="str">
        <f>IF(OR(E53&gt;=0.2,E53&lt;=-0.2),"超过20%","")</f>
        <v/>
      </c>
      <c r="G53" s="1734">
        <f>IF(G48&lt;I48,I48/G48-1,G48/I48-1)</f>
        <v>0.10368505378805226</v>
      </c>
      <c r="H53" s="1735" t="str">
        <f>IF(OR(G53&gt;=0.2,G53&lt;=-0.2),"超过20%","")</f>
        <v/>
      </c>
      <c r="I53" s="1734">
        <f>IF(I48&lt;E48,E48/I48-1,I48/E48-1)</f>
        <v>1.5175097276264538E-2</v>
      </c>
      <c r="J53" s="1735" t="str">
        <f>IF(OR(I53&gt;=0.2,I53&lt;=-0.2),"超过20%","")</f>
        <v/>
      </c>
      <c r="P53" s="2395"/>
      <c r="Q53" s="1716"/>
      <c r="R53" s="1716"/>
      <c r="S53" s="1716"/>
      <c r="T53" s="1716"/>
      <c r="U53" s="1716"/>
      <c r="V53" s="1716"/>
      <c r="W53" s="1716"/>
      <c r="X53" s="1716"/>
      <c r="Y53" s="1716"/>
      <c r="Z53" s="1716"/>
      <c r="AA53" s="1716"/>
      <c r="AB53" s="1716"/>
      <c r="AC53" s="1716"/>
    </row>
    <row r="54" spans="1:29" s="1739" customFormat="1" ht="13.5" customHeight="1">
      <c r="C54" s="383" t="s">
        <v>2135</v>
      </c>
      <c r="D54" s="1736"/>
      <c r="E54" s="1734">
        <f>IF(E47&lt;G47,G47/E47-1,E47/G47-1)</f>
        <v>8.5590268278893378E-2</v>
      </c>
      <c r="F54" s="1735" t="str">
        <f>IF(OR(E54&gt;=0.3,E54&lt;=-0.3),"超过30%","")</f>
        <v/>
      </c>
      <c r="G54" s="1734">
        <f>IF(G47&lt;I47,I47/G47-1,G47/I47-1)</f>
        <v>0.11297258890841788</v>
      </c>
      <c r="H54" s="1735" t="str">
        <f>IF(OR(G54&gt;=0.3,G54&lt;=-0.3),"超过30%","")</f>
        <v/>
      </c>
      <c r="I54" s="1734">
        <f>IF(I47&lt;E47,E47/I47-1,I47/E47-1)</f>
        <v>2.5223439661942404E-2</v>
      </c>
      <c r="J54" s="1735" t="str">
        <f>IF(OR(I54&gt;=0.3,I54&lt;=-0.3),"超过30%","")</f>
        <v/>
      </c>
      <c r="K54" s="2924"/>
      <c r="L54" s="2918"/>
      <c r="P54" s="2396"/>
      <c r="Q54" s="1737"/>
      <c r="R54" s="1737"/>
      <c r="S54" s="1737"/>
      <c r="T54" s="1737"/>
      <c r="U54" s="1737"/>
      <c r="V54" s="1737"/>
      <c r="W54" s="1737"/>
      <c r="X54" s="1737"/>
      <c r="Y54" s="1737"/>
      <c r="Z54" s="1737"/>
      <c r="AA54" s="1737"/>
      <c r="AB54" s="1737"/>
      <c r="AC54" s="1737"/>
    </row>
    <row r="55" spans="1:29" s="1739" customFormat="1">
      <c r="B55" s="2922"/>
      <c r="C55" s="2923"/>
      <c r="K55" s="2924"/>
      <c r="L55" s="2918"/>
      <c r="P55" s="2396"/>
      <c r="Q55" s="1737"/>
      <c r="R55" s="1737"/>
      <c r="S55" s="1737"/>
      <c r="T55" s="1737"/>
      <c r="U55" s="1737"/>
      <c r="V55" s="1737"/>
      <c r="W55" s="1737"/>
      <c r="X55" s="1737"/>
      <c r="Y55" s="1737"/>
      <c r="Z55" s="1737"/>
      <c r="AA55" s="1737"/>
      <c r="AB55" s="1737"/>
      <c r="AC55" s="1737"/>
    </row>
    <row r="56" spans="1:29">
      <c r="B56" s="2922"/>
      <c r="C56" s="2923"/>
      <c r="P56" s="2395"/>
      <c r="Q56" s="1716"/>
      <c r="R56" s="1716"/>
      <c r="S56" s="1716"/>
      <c r="T56" s="1716"/>
      <c r="U56" s="1716"/>
      <c r="V56" s="1716"/>
      <c r="W56" s="1716"/>
      <c r="X56" s="1716"/>
      <c r="Y56" s="1716"/>
      <c r="Z56" s="1716"/>
      <c r="AA56" s="1716"/>
      <c r="AB56" s="1716"/>
      <c r="AC56" s="1716"/>
    </row>
    <row r="57" spans="1:29" ht="22.2" thickBot="1">
      <c r="A57" s="1742" t="s">
        <v>2136</v>
      </c>
      <c r="B57" s="1717"/>
      <c r="C57" s="1743"/>
      <c r="D57" s="1743"/>
      <c r="E57" s="1743"/>
      <c r="F57" s="1743"/>
      <c r="G57" s="1743"/>
      <c r="H57" s="1743"/>
      <c r="I57" s="1743"/>
      <c r="J57" s="1743"/>
      <c r="K57" s="1744"/>
      <c r="L57" s="1970"/>
      <c r="M57" s="1968"/>
      <c r="N57" s="2920"/>
      <c r="O57" s="2920"/>
      <c r="P57" s="2397"/>
      <c r="Q57" s="2398"/>
      <c r="R57" s="1716"/>
      <c r="S57" s="1716"/>
      <c r="T57" s="1716"/>
      <c r="U57" s="1716"/>
      <c r="V57" s="1716"/>
      <c r="W57" s="1716"/>
      <c r="X57" s="1716"/>
      <c r="Y57" s="1716"/>
      <c r="Z57" s="1716"/>
      <c r="AA57" s="1716"/>
      <c r="AB57" s="1716"/>
      <c r="AC57" s="1716"/>
    </row>
    <row r="58" spans="1:29" s="1753" customFormat="1" ht="14.4">
      <c r="A58" s="1748" t="s">
        <v>2018</v>
      </c>
      <c r="B58" s="1749"/>
      <c r="C58" s="1750" t="str">
        <f>YEAR(C7)&amp;"-"&amp;MONTH(C7)</f>
        <v>2022-5</v>
      </c>
      <c r="D58" s="1751">
        <f>EDATE(C58,-1)</f>
        <v>44652</v>
      </c>
      <c r="E58" s="1751">
        <f t="shared" ref="E58:O58" si="16">EDATE(D58,-1)</f>
        <v>44621</v>
      </c>
      <c r="F58" s="1751">
        <f t="shared" si="16"/>
        <v>44593</v>
      </c>
      <c r="G58" s="1751">
        <f t="shared" si="16"/>
        <v>44562</v>
      </c>
      <c r="H58" s="1751">
        <f t="shared" si="16"/>
        <v>44531</v>
      </c>
      <c r="I58" s="1751">
        <f t="shared" si="16"/>
        <v>44501</v>
      </c>
      <c r="J58" s="1751">
        <f t="shared" si="16"/>
        <v>44470</v>
      </c>
      <c r="K58" s="1751">
        <f t="shared" si="16"/>
        <v>44440</v>
      </c>
      <c r="L58" s="1751">
        <f t="shared" si="16"/>
        <v>44409</v>
      </c>
      <c r="M58" s="1751">
        <f t="shared" si="16"/>
        <v>44378</v>
      </c>
      <c r="N58" s="1751">
        <f t="shared" si="16"/>
        <v>44348</v>
      </c>
      <c r="O58" s="1751">
        <f t="shared" si="16"/>
        <v>44317</v>
      </c>
      <c r="P58" s="1752"/>
    </row>
    <row r="59" spans="1:29" s="1610" customFormat="1">
      <c r="A59" s="1754"/>
      <c r="B59" s="1755"/>
      <c r="C59" s="1756">
        <v>100</v>
      </c>
      <c r="D59" s="1757">
        <v>100</v>
      </c>
      <c r="E59" s="1757"/>
      <c r="F59" s="1757"/>
      <c r="G59" s="1757"/>
      <c r="H59" s="1757"/>
      <c r="I59" s="1757"/>
      <c r="J59" s="1757"/>
      <c r="K59" s="1757"/>
      <c r="L59" s="1757"/>
      <c r="M59" s="1758"/>
      <c r="N59" s="1757"/>
      <c r="O59" s="1758"/>
      <c r="P59" s="1759"/>
    </row>
    <row r="60" spans="1:29" s="1610" customFormat="1" ht="15" thickBot="1">
      <c r="A60" s="1760" t="s">
        <v>2056</v>
      </c>
      <c r="B60" s="1761"/>
      <c r="C60" s="1762"/>
      <c r="D60" s="1763"/>
      <c r="E60" s="1763"/>
      <c r="F60" s="1763"/>
      <c r="G60" s="1763"/>
      <c r="H60" s="1763"/>
      <c r="I60" s="1763"/>
      <c r="J60" s="1763"/>
      <c r="K60" s="1763"/>
      <c r="L60" s="1763"/>
      <c r="M60" s="1764"/>
      <c r="N60" s="1763"/>
      <c r="O60" s="1764"/>
      <c r="P60" s="1759"/>
      <c r="Q60" s="1747"/>
    </row>
    <row r="61" spans="1:29" s="1610" customFormat="1" ht="14.4">
      <c r="A61" s="1765" t="s">
        <v>2020</v>
      </c>
      <c r="B61" s="1755"/>
      <c r="C61" s="1766" t="s">
        <v>2021</v>
      </c>
      <c r="D61" s="409"/>
      <c r="E61" s="409"/>
      <c r="F61" s="409"/>
      <c r="G61" s="409"/>
      <c r="H61" s="409"/>
      <c r="I61" s="409"/>
      <c r="J61" s="409"/>
      <c r="K61" s="409"/>
      <c r="L61" s="409"/>
      <c r="M61" s="1767"/>
      <c r="N61" s="2929"/>
      <c r="O61" s="2929"/>
      <c r="P61" s="1769"/>
      <c r="Q61" s="1747"/>
    </row>
    <row r="62" spans="1:29" s="1610" customFormat="1" ht="14.4" thickBot="1">
      <c r="A62" s="1765"/>
      <c r="B62" s="1755"/>
      <c r="C62" s="1770">
        <v>100</v>
      </c>
      <c r="D62" s="1757"/>
      <c r="E62" s="1757"/>
      <c r="F62" s="1757"/>
      <c r="G62" s="1757"/>
      <c r="H62" s="1757"/>
      <c r="I62" s="1757"/>
      <c r="J62" s="1757"/>
      <c r="K62" s="1757"/>
      <c r="L62" s="1757"/>
      <c r="M62" s="1771"/>
      <c r="N62" s="2929"/>
      <c r="O62" s="2929"/>
      <c r="P62" s="1759"/>
      <c r="Q62" s="1747"/>
    </row>
    <row r="63" spans="1:29" ht="14.4">
      <c r="A63" s="1772" t="s">
        <v>2059</v>
      </c>
      <c r="B63" s="1773" t="s">
        <v>2024</v>
      </c>
      <c r="C63" s="1774" t="str">
        <f>C9</f>
        <v>商业</v>
      </c>
      <c r="D63" s="1775"/>
      <c r="E63" s="1775"/>
      <c r="F63" s="1775"/>
      <c r="G63" s="1775"/>
      <c r="H63" s="1775"/>
      <c r="I63" s="1775"/>
      <c r="J63" s="1775"/>
      <c r="K63" s="417"/>
      <c r="L63" s="417"/>
      <c r="M63" s="1776"/>
      <c r="N63" s="2930"/>
      <c r="O63" s="2930"/>
      <c r="P63" s="1778"/>
      <c r="Q63" s="1747"/>
    </row>
    <row r="64" spans="1:29" ht="14.4" thickBot="1">
      <c r="A64" s="1779"/>
      <c r="B64" s="1780"/>
      <c r="C64" s="1781">
        <v>100</v>
      </c>
      <c r="D64" s="1781"/>
      <c r="E64" s="1781"/>
      <c r="F64" s="1781"/>
      <c r="G64" s="1781"/>
      <c r="H64" s="1781"/>
      <c r="I64" s="1781"/>
      <c r="J64" s="1781"/>
      <c r="K64" s="1781"/>
      <c r="L64" s="1781"/>
      <c r="M64" s="1782"/>
      <c r="N64" s="2931"/>
      <c r="O64" s="2931"/>
      <c r="P64" s="1778"/>
      <c r="Q64" s="1747"/>
    </row>
    <row r="65" spans="1:17" ht="29.4" thickTop="1">
      <c r="A65" s="1779"/>
      <c r="B65" s="1784" t="s">
        <v>2027</v>
      </c>
      <c r="C65" s="1785" t="s">
        <v>2060</v>
      </c>
      <c r="D65" s="1785" t="s">
        <v>2061</v>
      </c>
      <c r="E65" s="1785" t="s">
        <v>2062</v>
      </c>
      <c r="F65" s="1785" t="s">
        <v>2063</v>
      </c>
      <c r="G65" s="1785" t="s">
        <v>2064</v>
      </c>
      <c r="H65" s="1785" t="s">
        <v>2065</v>
      </c>
      <c r="I65" s="1785" t="s">
        <v>2066</v>
      </c>
      <c r="J65" s="1785"/>
      <c r="K65" s="428"/>
      <c r="L65" s="428"/>
      <c r="M65" s="1786"/>
      <c r="N65" s="2930"/>
      <c r="O65" s="2930"/>
      <c r="P65" s="1778"/>
      <c r="Q65" s="1747"/>
    </row>
    <row r="66" spans="1:17" ht="14.4" thickBot="1">
      <c r="A66" s="1779"/>
      <c r="B66" s="1787"/>
      <c r="C66" s="1788" t="s">
        <v>36</v>
      </c>
      <c r="D66" s="1788" t="s">
        <v>37</v>
      </c>
      <c r="E66" s="1788" t="s">
        <v>38</v>
      </c>
      <c r="F66" s="1788">
        <v>100</v>
      </c>
      <c r="G66" s="1788">
        <f>F66-$K10</f>
        <v>99</v>
      </c>
      <c r="H66" s="1788">
        <f>G66-$K10</f>
        <v>98</v>
      </c>
      <c r="I66" s="1788">
        <f>H66-$K10</f>
        <v>97</v>
      </c>
      <c r="J66" s="1788"/>
      <c r="K66" s="1788"/>
      <c r="L66" s="1788"/>
      <c r="M66" s="1789"/>
      <c r="N66" s="2931"/>
      <c r="O66" s="2931"/>
      <c r="P66" s="1778"/>
      <c r="Q66" s="1747"/>
    </row>
    <row r="67" spans="1:17" ht="15" thickTop="1">
      <c r="A67" s="1779"/>
      <c r="B67" s="1790" t="s">
        <v>2028</v>
      </c>
      <c r="C67" s="1791" t="str">
        <f>C68&amp;"（含）"&amp;"-"&amp;D68</f>
        <v>0（含）-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57" t="str">
        <f>M68&amp;"（含）"&amp;"-"&amp;P68</f>
        <v>（含）-</v>
      </c>
      <c r="N67" s="2931"/>
      <c r="O67" s="2931"/>
      <c r="P67" s="1778"/>
      <c r="Q67" s="1747"/>
    </row>
    <row r="68" spans="1:17">
      <c r="A68" s="1779"/>
      <c r="B68" s="1792"/>
      <c r="C68" s="1793">
        <v>0</v>
      </c>
      <c r="D68" s="1793"/>
      <c r="E68" s="1793"/>
      <c r="F68" s="1793"/>
      <c r="G68" s="1793"/>
      <c r="H68" s="1793"/>
      <c r="I68" s="1793"/>
      <c r="J68" s="1793"/>
      <c r="K68" s="438"/>
      <c r="L68" s="438"/>
      <c r="M68" s="1794"/>
      <c r="N68" s="2930"/>
      <c r="O68" s="2930"/>
      <c r="P68" s="1778"/>
      <c r="Q68" s="1747"/>
    </row>
    <row r="69" spans="1:17" ht="14.4"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1"/>
      <c r="O69" s="2931"/>
      <c r="P69" s="1778"/>
      <c r="Q69" s="1747"/>
    </row>
    <row r="70" spans="1:17" s="1697" customFormat="1" ht="14.4" thickTop="1">
      <c r="A70" s="1795"/>
      <c r="B70" s="1784">
        <f>B12</f>
        <v>111</v>
      </c>
      <c r="C70" s="468"/>
      <c r="D70" s="468"/>
      <c r="E70" s="468"/>
      <c r="F70" s="468"/>
      <c r="G70" s="468"/>
      <c r="H70" s="443"/>
      <c r="I70" s="443"/>
      <c r="J70" s="443"/>
      <c r="K70" s="443"/>
      <c r="L70" s="443"/>
      <c r="M70" s="1796"/>
      <c r="N70" s="2932"/>
      <c r="O70" s="2932"/>
      <c r="P70" s="1798"/>
      <c r="Q70" s="1799"/>
    </row>
    <row r="71" spans="1:17" s="1697" customFormat="1" ht="14.4" thickBot="1">
      <c r="A71" s="1795"/>
      <c r="B71" s="1787"/>
      <c r="C71" s="1800"/>
      <c r="D71" s="1781"/>
      <c r="E71" s="1781"/>
      <c r="F71" s="1781"/>
      <c r="G71" s="1781"/>
      <c r="H71" s="1781"/>
      <c r="I71" s="1781"/>
      <c r="J71" s="1781"/>
      <c r="K71" s="1781"/>
      <c r="L71" s="1781"/>
      <c r="M71" s="1782"/>
      <c r="N71" s="2931"/>
      <c r="O71" s="2931"/>
      <c r="P71" s="1798"/>
      <c r="Q71" s="1799"/>
    </row>
    <row r="72" spans="1:17" s="1697" customFormat="1" ht="14.4" thickTop="1">
      <c r="A72" s="1795"/>
      <c r="B72" s="1784">
        <f>B13</f>
        <v>111</v>
      </c>
      <c r="C72" s="468"/>
      <c r="D72" s="468"/>
      <c r="E72" s="468"/>
      <c r="F72" s="468"/>
      <c r="G72" s="468"/>
      <c r="H72" s="443"/>
      <c r="I72" s="443"/>
      <c r="J72" s="443"/>
      <c r="K72" s="443"/>
      <c r="L72" s="443"/>
      <c r="M72" s="1796"/>
      <c r="N72" s="2932"/>
      <c r="O72" s="2932"/>
      <c r="P72" s="1801"/>
      <c r="Q72" s="1802"/>
    </row>
    <row r="73" spans="1:17" s="1697" customFormat="1" ht="14.4" thickBot="1">
      <c r="A73" s="1795"/>
      <c r="B73" s="1787"/>
      <c r="C73" s="1800"/>
      <c r="D73" s="1781"/>
      <c r="E73" s="1781"/>
      <c r="F73" s="1781"/>
      <c r="G73" s="1800"/>
      <c r="H73" s="1803"/>
      <c r="I73" s="1803"/>
      <c r="J73" s="1803"/>
      <c r="K73" s="1803"/>
      <c r="L73" s="1803"/>
      <c r="M73" s="1804"/>
      <c r="N73" s="2932"/>
      <c r="O73" s="2932"/>
      <c r="P73" s="1798"/>
      <c r="Q73" s="1799"/>
    </row>
    <row r="74" spans="1:17" s="1697" customFormat="1" ht="14.4" thickTop="1">
      <c r="A74" s="1795"/>
      <c r="B74" s="1790">
        <f>B14</f>
        <v>111</v>
      </c>
      <c r="C74" s="468"/>
      <c r="D74" s="468"/>
      <c r="E74" s="468"/>
      <c r="F74" s="468"/>
      <c r="G74" s="409"/>
      <c r="H74" s="453"/>
      <c r="I74" s="453"/>
      <c r="J74" s="453"/>
      <c r="K74" s="453"/>
      <c r="L74" s="453"/>
      <c r="M74" s="1805"/>
      <c r="N74" s="2932"/>
      <c r="O74" s="2932"/>
      <c r="P74" s="1798"/>
      <c r="Q74" s="1799"/>
    </row>
    <row r="75" spans="1:17" s="1697" customFormat="1" ht="14.4" thickBot="1">
      <c r="A75" s="1806"/>
      <c r="B75" s="1807"/>
      <c r="C75" s="1808"/>
      <c r="D75" s="1808"/>
      <c r="E75" s="1808"/>
      <c r="F75" s="1808"/>
      <c r="G75" s="1808"/>
      <c r="H75" s="1809"/>
      <c r="I75" s="1809"/>
      <c r="J75" s="1809"/>
      <c r="K75" s="1809"/>
      <c r="L75" s="1809"/>
      <c r="M75" s="1810"/>
      <c r="N75" s="2932"/>
      <c r="O75" s="2932"/>
      <c r="P75" s="1798"/>
      <c r="Q75" s="1799"/>
    </row>
    <row r="76" spans="1:17" ht="14.4">
      <c r="A76" s="1772" t="s">
        <v>2029</v>
      </c>
      <c r="B76" s="1773" t="s">
        <v>2067</v>
      </c>
      <c r="C76" s="1811" t="s">
        <v>2068</v>
      </c>
      <c r="D76" s="1811" t="s">
        <v>2069</v>
      </c>
      <c r="E76" s="1811" t="s">
        <v>2070</v>
      </c>
      <c r="F76" s="1811" t="s">
        <v>2071</v>
      </c>
      <c r="G76" s="1811" t="s">
        <v>2072</v>
      </c>
      <c r="H76" s="1774"/>
      <c r="I76" s="1774"/>
      <c r="J76" s="1774"/>
      <c r="K76" s="463"/>
      <c r="L76" s="463"/>
      <c r="M76" s="1812"/>
      <c r="N76" s="2930"/>
      <c r="O76" s="2930"/>
      <c r="P76" s="1778"/>
      <c r="Q76" s="1747"/>
    </row>
    <row r="77" spans="1:17" ht="14.4" thickBot="1">
      <c r="A77" s="1779"/>
      <c r="B77" s="1787"/>
      <c r="C77" s="1788">
        <v>100</v>
      </c>
      <c r="D77" s="1788">
        <f>C77-$K15</f>
        <v>98</v>
      </c>
      <c r="E77" s="1788">
        <f>D77-$K15</f>
        <v>96</v>
      </c>
      <c r="F77" s="1788">
        <f>E77-$K15</f>
        <v>94</v>
      </c>
      <c r="G77" s="1788">
        <f>F77-$K15</f>
        <v>92</v>
      </c>
      <c r="H77" s="1788"/>
      <c r="I77" s="1788"/>
      <c r="J77" s="1788"/>
      <c r="K77" s="1788"/>
      <c r="L77" s="1788"/>
      <c r="M77" s="1789"/>
      <c r="N77" s="2931"/>
      <c r="O77" s="2931"/>
      <c r="P77" s="1778"/>
      <c r="Q77" s="1747"/>
    </row>
    <row r="78" spans="1:17" ht="15" thickTop="1">
      <c r="A78" s="1779"/>
      <c r="B78" s="1784" t="s">
        <v>2073</v>
      </c>
      <c r="C78" s="579" t="s">
        <v>2068</v>
      </c>
      <c r="D78" s="579" t="s">
        <v>2069</v>
      </c>
      <c r="E78" s="579" t="s">
        <v>2070</v>
      </c>
      <c r="F78" s="579" t="s">
        <v>2071</v>
      </c>
      <c r="G78" s="579" t="s">
        <v>2072</v>
      </c>
      <c r="H78" s="1785"/>
      <c r="I78" s="1785"/>
      <c r="J78" s="1785"/>
      <c r="K78" s="428"/>
      <c r="L78" s="428"/>
      <c r="M78" s="1786"/>
      <c r="N78" s="2930"/>
      <c r="O78" s="2930"/>
      <c r="P78" s="1778"/>
      <c r="Q78" s="1747"/>
    </row>
    <row r="79" spans="1:17" ht="14.4" thickBot="1">
      <c r="A79" s="1779"/>
      <c r="B79" s="1787"/>
      <c r="C79" s="1788">
        <v>100</v>
      </c>
      <c r="D79" s="1788">
        <f>C79-$K17</f>
        <v>98</v>
      </c>
      <c r="E79" s="1788">
        <f>D79-$K17</f>
        <v>96</v>
      </c>
      <c r="F79" s="1788">
        <f>E79-$K17</f>
        <v>94</v>
      </c>
      <c r="G79" s="1788">
        <f>F79-$K17</f>
        <v>92</v>
      </c>
      <c r="H79" s="1788"/>
      <c r="I79" s="1788"/>
      <c r="J79" s="1788"/>
      <c r="K79" s="1788"/>
      <c r="L79" s="1788"/>
      <c r="M79" s="1789"/>
      <c r="N79" s="2931"/>
      <c r="O79" s="2931"/>
      <c r="P79" s="1778"/>
      <c r="Q79" s="1747"/>
    </row>
    <row r="80" spans="1:17" ht="15" thickTop="1">
      <c r="A80" s="1779"/>
      <c r="B80" s="1784" t="s">
        <v>2074</v>
      </c>
      <c r="C80" s="579" t="s">
        <v>2068</v>
      </c>
      <c r="D80" s="579" t="s">
        <v>2069</v>
      </c>
      <c r="E80" s="579" t="s">
        <v>2070</v>
      </c>
      <c r="F80" s="579" t="s">
        <v>2071</v>
      </c>
      <c r="G80" s="579" t="s">
        <v>2072</v>
      </c>
      <c r="H80" s="1785"/>
      <c r="I80" s="1785"/>
      <c r="J80" s="1785"/>
      <c r="K80" s="428"/>
      <c r="L80" s="428"/>
      <c r="M80" s="1786"/>
      <c r="N80" s="2930"/>
      <c r="O80" s="2930"/>
      <c r="P80" s="1778"/>
      <c r="Q80" s="1747"/>
    </row>
    <row r="81" spans="1:17" ht="14.4" thickBot="1">
      <c r="A81" s="1779"/>
      <c r="B81" s="1787"/>
      <c r="C81" s="1788">
        <v>100</v>
      </c>
      <c r="D81" s="1788">
        <f>C81-$K19</f>
        <v>98</v>
      </c>
      <c r="E81" s="1788">
        <f>D81-$K19</f>
        <v>96</v>
      </c>
      <c r="F81" s="1788">
        <f>E81-$K19</f>
        <v>94</v>
      </c>
      <c r="G81" s="1788">
        <f>F81-$K19</f>
        <v>92</v>
      </c>
      <c r="H81" s="1788"/>
      <c r="I81" s="1788"/>
      <c r="J81" s="1788"/>
      <c r="K81" s="1788"/>
      <c r="L81" s="1788"/>
      <c r="M81" s="1789"/>
      <c r="N81" s="2931"/>
      <c r="O81" s="2931"/>
      <c r="P81" s="1778"/>
      <c r="Q81" s="1747"/>
    </row>
    <row r="82" spans="1:17" ht="15" thickTop="1">
      <c r="A82" s="1779"/>
      <c r="B82" s="1790" t="s">
        <v>2117</v>
      </c>
      <c r="C82" s="1785" t="s">
        <v>2075</v>
      </c>
      <c r="D82" s="1785" t="s">
        <v>2076</v>
      </c>
      <c r="E82" s="1785" t="s">
        <v>2077</v>
      </c>
      <c r="F82" s="1785" t="s">
        <v>2078</v>
      </c>
      <c r="G82" s="1785" t="s">
        <v>2079</v>
      </c>
      <c r="H82" s="1785"/>
      <c r="I82" s="1785"/>
      <c r="J82" s="1785"/>
      <c r="K82" s="1785"/>
      <c r="L82" s="1785"/>
      <c r="M82" s="1813"/>
      <c r="N82" s="2931"/>
      <c r="O82" s="2931"/>
      <c r="P82" s="1778"/>
      <c r="Q82" s="1747"/>
    </row>
    <row r="83" spans="1:17" ht="14.4" thickBot="1">
      <c r="A83" s="1779"/>
      <c r="B83" s="1790"/>
      <c r="C83" s="1788">
        <v>100</v>
      </c>
      <c r="D83" s="1788">
        <f>C83-$K21</f>
        <v>98</v>
      </c>
      <c r="E83" s="1788">
        <f>D83-$K21</f>
        <v>96</v>
      </c>
      <c r="F83" s="1788">
        <f>E83-$K21</f>
        <v>94</v>
      </c>
      <c r="G83" s="1788">
        <f>F83-$K21</f>
        <v>92</v>
      </c>
      <c r="H83" s="1814"/>
      <c r="I83" s="1814"/>
      <c r="J83" s="1814"/>
      <c r="K83" s="1814"/>
      <c r="L83" s="1814"/>
      <c r="M83" s="1661"/>
      <c r="N83" s="2931"/>
      <c r="O83" s="2931"/>
      <c r="P83" s="1778"/>
      <c r="Q83" s="1747"/>
    </row>
    <row r="84" spans="1:17" ht="15" thickTop="1">
      <c r="A84" s="1779"/>
      <c r="B84" s="1784" t="s">
        <v>2080</v>
      </c>
      <c r="C84" s="579" t="s">
        <v>2068</v>
      </c>
      <c r="D84" s="579" t="s">
        <v>2069</v>
      </c>
      <c r="E84" s="579" t="s">
        <v>2070</v>
      </c>
      <c r="F84" s="579" t="s">
        <v>2071</v>
      </c>
      <c r="G84" s="579" t="s">
        <v>2072</v>
      </c>
      <c r="H84" s="1785"/>
      <c r="I84" s="1785"/>
      <c r="J84" s="1785"/>
      <c r="K84" s="428"/>
      <c r="L84" s="428"/>
      <c r="M84" s="1786"/>
      <c r="N84" s="2930"/>
      <c r="O84" s="2930"/>
      <c r="P84" s="1778"/>
      <c r="Q84" s="1747"/>
    </row>
    <row r="85" spans="1:17" ht="14.4" thickBot="1">
      <c r="A85" s="1779"/>
      <c r="B85" s="1787"/>
      <c r="C85" s="1788">
        <v>100</v>
      </c>
      <c r="D85" s="1788">
        <f>C85-$K23</f>
        <v>98</v>
      </c>
      <c r="E85" s="1788">
        <f>D85-$K23</f>
        <v>96</v>
      </c>
      <c r="F85" s="1788">
        <f>E85-$K23</f>
        <v>94</v>
      </c>
      <c r="G85" s="1788">
        <f>F85-$K23</f>
        <v>92</v>
      </c>
      <c r="H85" s="1788"/>
      <c r="I85" s="1788"/>
      <c r="J85" s="1788"/>
      <c r="K85" s="1788"/>
      <c r="L85" s="1788"/>
      <c r="M85" s="1789"/>
      <c r="N85" s="2931"/>
      <c r="O85" s="2931"/>
      <c r="P85" s="1778"/>
      <c r="Q85" s="1747"/>
    </row>
    <row r="86" spans="1:17" s="1610" customFormat="1" ht="15" thickTop="1">
      <c r="A86" s="1815"/>
      <c r="B86" s="1784" t="s">
        <v>2137</v>
      </c>
      <c r="C86" s="3323" t="s">
        <v>3060</v>
      </c>
      <c r="D86" s="3323" t="s">
        <v>3061</v>
      </c>
      <c r="E86" s="468"/>
      <c r="F86" s="468"/>
      <c r="G86" s="468"/>
      <c r="H86" s="468"/>
      <c r="I86" s="468"/>
      <c r="J86" s="468"/>
      <c r="K86" s="468"/>
      <c r="L86" s="468"/>
      <c r="M86" s="1816"/>
      <c r="N86" s="2929"/>
      <c r="O86" s="2929"/>
      <c r="P86" s="1778"/>
      <c r="Q86" s="1747"/>
    </row>
    <row r="87" spans="1:17" s="1610" customFormat="1" ht="14.4" thickBot="1">
      <c r="A87" s="1815"/>
      <c r="B87" s="1787"/>
      <c r="C87" s="1817">
        <v>100</v>
      </c>
      <c r="D87" s="1788">
        <f t="shared" ref="D87:M87" si="19">C87-$K25</f>
        <v>99</v>
      </c>
      <c r="E87" s="1788">
        <f t="shared" si="19"/>
        <v>98</v>
      </c>
      <c r="F87" s="1788">
        <f t="shared" si="19"/>
        <v>97</v>
      </c>
      <c r="G87" s="1788">
        <f t="shared" si="19"/>
        <v>96</v>
      </c>
      <c r="H87" s="1788">
        <f t="shared" si="19"/>
        <v>95</v>
      </c>
      <c r="I87" s="1788">
        <f t="shared" si="19"/>
        <v>94</v>
      </c>
      <c r="J87" s="1788">
        <f t="shared" si="19"/>
        <v>93</v>
      </c>
      <c r="K87" s="1788">
        <f t="shared" si="19"/>
        <v>92</v>
      </c>
      <c r="L87" s="1788">
        <f t="shared" si="19"/>
        <v>91</v>
      </c>
      <c r="M87" s="1788">
        <f t="shared" si="19"/>
        <v>90</v>
      </c>
      <c r="N87" s="2931"/>
      <c r="O87" s="2931"/>
      <c r="P87" s="1778"/>
      <c r="Q87" s="1747"/>
    </row>
    <row r="88" spans="1:17" s="1610" customFormat="1" ht="14.4" thickTop="1">
      <c r="A88" s="1815"/>
      <c r="B88" s="1784" t="str">
        <f>B26</f>
        <v>平面位置/可视性</v>
      </c>
      <c r="C88" s="468"/>
      <c r="D88" s="468"/>
      <c r="E88" s="468"/>
      <c r="F88" s="1818"/>
      <c r="G88" s="468"/>
      <c r="H88" s="468"/>
      <c r="I88" s="468"/>
      <c r="J88" s="468"/>
      <c r="K88" s="468"/>
      <c r="L88" s="468"/>
      <c r="M88" s="1816"/>
      <c r="N88" s="2929"/>
      <c r="O88" s="2929"/>
      <c r="P88" s="1778"/>
      <c r="Q88" s="1747"/>
    </row>
    <row r="89" spans="1:17" s="1610" customFormat="1" ht="14.4" thickBot="1">
      <c r="A89" s="1815"/>
      <c r="B89" s="1787"/>
      <c r="C89" s="1800"/>
      <c r="D89" s="1781"/>
      <c r="E89" s="1781"/>
      <c r="F89" s="1781"/>
      <c r="G89" s="1781"/>
      <c r="H89" s="1781"/>
      <c r="I89" s="1781"/>
      <c r="J89" s="1781"/>
      <c r="K89" s="1781"/>
      <c r="L89" s="1781"/>
      <c r="M89" s="1781"/>
      <c r="N89" s="2931"/>
      <c r="O89" s="2931"/>
      <c r="P89" s="1778"/>
      <c r="Q89" s="1747"/>
    </row>
    <row r="90" spans="1:17" s="1697" customFormat="1" ht="14.4" thickTop="1">
      <c r="A90" s="1795"/>
      <c r="B90" s="1784" t="str">
        <f>B27</f>
        <v>人流量</v>
      </c>
      <c r="C90" s="468"/>
      <c r="D90" s="468"/>
      <c r="E90" s="468"/>
      <c r="F90" s="468"/>
      <c r="G90" s="468"/>
      <c r="H90" s="443"/>
      <c r="I90" s="443"/>
      <c r="J90" s="443"/>
      <c r="K90" s="443"/>
      <c r="L90" s="443"/>
      <c r="M90" s="1796"/>
      <c r="N90" s="2932"/>
      <c r="O90" s="2932"/>
      <c r="P90" s="1798"/>
      <c r="Q90" s="1799"/>
    </row>
    <row r="91" spans="1:17" s="1697" customFormat="1" ht="14.4"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2"/>
      <c r="O91" s="2932"/>
      <c r="P91" s="1798"/>
      <c r="Q91" s="1799"/>
    </row>
    <row r="92" spans="1:17" ht="15" thickTop="1">
      <c r="A92" s="1779"/>
      <c r="B92" s="1784" t="str">
        <f>B28</f>
        <v>楼层</v>
      </c>
      <c r="C92" s="468" t="s">
        <v>3058</v>
      </c>
      <c r="D92" s="3324" t="s">
        <v>3057</v>
      </c>
      <c r="E92" s="468"/>
      <c r="F92" s="468"/>
      <c r="G92" s="468"/>
      <c r="H92" s="468"/>
      <c r="I92" s="468"/>
      <c r="J92" s="468"/>
      <c r="K92" s="468"/>
      <c r="L92" s="468"/>
      <c r="M92" s="1816"/>
      <c r="N92" s="2930"/>
      <c r="O92" s="2930"/>
      <c r="P92" s="1778"/>
      <c r="Q92" s="1747"/>
    </row>
    <row r="93" spans="1:17" ht="14.4" thickBot="1">
      <c r="A93" s="1779"/>
      <c r="B93" s="1787"/>
      <c r="C93" s="1781">
        <v>100</v>
      </c>
      <c r="D93" s="1781">
        <v>80</v>
      </c>
      <c r="E93" s="1781"/>
      <c r="F93" s="1781"/>
      <c r="G93" s="1781"/>
      <c r="H93" s="1781"/>
      <c r="I93" s="1781"/>
      <c r="J93" s="1781"/>
      <c r="K93" s="1781"/>
      <c r="L93" s="1781"/>
      <c r="M93" s="1782"/>
      <c r="N93" s="2931"/>
      <c r="O93" s="2931"/>
      <c r="P93" s="1778"/>
      <c r="Q93" s="1747"/>
    </row>
    <row r="94" spans="1:17" ht="14.4" thickTop="1">
      <c r="A94" s="1779"/>
      <c r="B94" s="1784">
        <f>B29</f>
        <v>111</v>
      </c>
      <c r="C94" s="468"/>
      <c r="D94" s="468"/>
      <c r="E94" s="468"/>
      <c r="F94" s="468"/>
      <c r="G94" s="1503"/>
      <c r="H94" s="1503"/>
      <c r="I94" s="1503"/>
      <c r="J94" s="1503"/>
      <c r="K94" s="473"/>
      <c r="L94" s="473"/>
      <c r="M94" s="1819"/>
      <c r="N94" s="2930"/>
      <c r="O94" s="2930"/>
      <c r="P94" s="1778"/>
      <c r="Q94" s="1747"/>
    </row>
    <row r="95" spans="1:17" ht="14.4" thickBot="1">
      <c r="A95" s="1779"/>
      <c r="B95" s="1787"/>
      <c r="C95" s="1800"/>
      <c r="D95" s="1781"/>
      <c r="E95" s="1781"/>
      <c r="F95" s="1781"/>
      <c r="G95" s="1781"/>
      <c r="H95" s="1781"/>
      <c r="I95" s="1781"/>
      <c r="J95" s="1781"/>
      <c r="K95" s="1781"/>
      <c r="L95" s="1781"/>
      <c r="M95" s="1782"/>
      <c r="N95" s="2931"/>
      <c r="O95" s="2931"/>
      <c r="P95" s="1778"/>
      <c r="Q95" s="1747"/>
    </row>
    <row r="96" spans="1:17" ht="14.4" thickTop="1">
      <c r="A96" s="1779"/>
      <c r="B96" s="1784">
        <f>B30</f>
        <v>111</v>
      </c>
      <c r="C96" s="468"/>
      <c r="D96" s="468"/>
      <c r="E96" s="468"/>
      <c r="F96" s="468"/>
      <c r="G96" s="1503"/>
      <c r="H96" s="1503"/>
      <c r="I96" s="1503"/>
      <c r="J96" s="1503"/>
      <c r="K96" s="473"/>
      <c r="L96" s="473"/>
      <c r="M96" s="1819"/>
      <c r="N96" s="2930"/>
      <c r="O96" s="2930"/>
      <c r="P96" s="1778"/>
      <c r="Q96" s="1747"/>
    </row>
    <row r="97" spans="1:17" ht="14.4" thickBot="1">
      <c r="A97" s="1779"/>
      <c r="B97" s="1787"/>
      <c r="C97" s="1800"/>
      <c r="D97" s="1781"/>
      <c r="E97" s="1781"/>
      <c r="F97" s="1781"/>
      <c r="G97" s="1781"/>
      <c r="H97" s="1781"/>
      <c r="I97" s="1781"/>
      <c r="J97" s="1781"/>
      <c r="K97" s="1781"/>
      <c r="L97" s="1781"/>
      <c r="M97" s="1782"/>
      <c r="N97" s="2931"/>
      <c r="O97" s="2931"/>
      <c r="P97" s="1778"/>
      <c r="Q97" s="1747"/>
    </row>
    <row r="98" spans="1:17" ht="14.4" thickTop="1">
      <c r="A98" s="1779"/>
      <c r="B98" s="1790">
        <f>B31</f>
        <v>111</v>
      </c>
      <c r="C98" s="468"/>
      <c r="D98" s="468"/>
      <c r="E98" s="468"/>
      <c r="F98" s="468"/>
      <c r="G98" s="1820"/>
      <c r="H98" s="1820"/>
      <c r="I98" s="1820"/>
      <c r="J98" s="1820"/>
      <c r="K98" s="477"/>
      <c r="L98" s="477"/>
      <c r="M98" s="1821"/>
      <c r="N98" s="2930"/>
      <c r="O98" s="2930"/>
      <c r="P98" s="1778"/>
      <c r="Q98" s="1747"/>
    </row>
    <row r="99" spans="1:17" ht="14.4" thickBot="1">
      <c r="A99" s="1822"/>
      <c r="B99" s="1807"/>
      <c r="C99" s="1808"/>
      <c r="D99" s="1808"/>
      <c r="E99" s="1808"/>
      <c r="F99" s="1808"/>
      <c r="G99" s="1823"/>
      <c r="H99" s="1823"/>
      <c r="I99" s="1823"/>
      <c r="J99" s="1823"/>
      <c r="K99" s="1823"/>
      <c r="L99" s="1823"/>
      <c r="M99" s="1824"/>
      <c r="N99" s="2931"/>
      <c r="O99" s="2931"/>
      <c r="P99" s="1778"/>
      <c r="Q99" s="1747"/>
    </row>
    <row r="100" spans="1:17" ht="14.4">
      <c r="A100" s="1772" t="s">
        <v>2034</v>
      </c>
      <c r="B100" s="1773" t="s">
        <v>2138</v>
      </c>
      <c r="C100" s="3322" t="s">
        <v>3047</v>
      </c>
      <c r="D100" s="1775"/>
      <c r="E100" s="1775"/>
      <c r="F100" s="1775"/>
      <c r="G100" s="1775"/>
      <c r="H100" s="1775"/>
      <c r="I100" s="1775"/>
      <c r="J100" s="1775"/>
      <c r="K100" s="417"/>
      <c r="L100" s="417"/>
      <c r="M100" s="1776"/>
      <c r="N100" s="2930"/>
      <c r="O100" s="2930"/>
      <c r="P100" s="1778"/>
      <c r="Q100" s="1747"/>
    </row>
    <row r="101" spans="1:17" ht="14.4" thickBot="1">
      <c r="A101" s="1779"/>
      <c r="B101" s="1787"/>
      <c r="C101" s="1788">
        <v>100</v>
      </c>
      <c r="D101" s="1788">
        <f t="shared" ref="D101:M101" si="21">C101-$K32</f>
        <v>98</v>
      </c>
      <c r="E101" s="1788">
        <f t="shared" si="21"/>
        <v>96</v>
      </c>
      <c r="F101" s="1788">
        <f t="shared" si="21"/>
        <v>94</v>
      </c>
      <c r="G101" s="1788">
        <f t="shared" si="21"/>
        <v>92</v>
      </c>
      <c r="H101" s="1788">
        <f t="shared" si="21"/>
        <v>90</v>
      </c>
      <c r="I101" s="1788">
        <f t="shared" si="21"/>
        <v>88</v>
      </c>
      <c r="J101" s="1788">
        <f t="shared" si="21"/>
        <v>86</v>
      </c>
      <c r="K101" s="1788">
        <f t="shared" si="21"/>
        <v>84</v>
      </c>
      <c r="L101" s="1788">
        <f t="shared" si="21"/>
        <v>82</v>
      </c>
      <c r="M101" s="1789">
        <f t="shared" si="21"/>
        <v>80</v>
      </c>
      <c r="N101" s="2931"/>
      <c r="O101" s="2931"/>
      <c r="P101" s="1778"/>
      <c r="Q101" s="1747"/>
    </row>
    <row r="102" spans="1:17" ht="15" thickTop="1">
      <c r="A102" s="1779"/>
      <c r="B102" s="1784" t="s">
        <v>2084</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1986" t="str">
        <f>M103&amp;"(含)"&amp;"-"&amp;P103</f>
        <v>(含)-</v>
      </c>
      <c r="N102" s="2929"/>
      <c r="O102" s="2929"/>
      <c r="P102" s="1778"/>
      <c r="Q102" s="1747"/>
    </row>
    <row r="103" spans="1:17" s="1697" customFormat="1">
      <c r="A103" s="1825"/>
      <c r="B103" s="1826"/>
      <c r="C103" s="1827">
        <v>0</v>
      </c>
      <c r="D103" s="1827">
        <v>100</v>
      </c>
      <c r="E103" s="1827">
        <v>200</v>
      </c>
      <c r="F103" s="1827">
        <v>300</v>
      </c>
      <c r="G103" s="1827">
        <v>400</v>
      </c>
      <c r="H103" s="1827">
        <v>500</v>
      </c>
      <c r="I103" s="1827"/>
      <c r="J103" s="485"/>
      <c r="K103" s="485"/>
      <c r="L103" s="485"/>
      <c r="M103" s="1828"/>
      <c r="N103" s="2932"/>
      <c r="O103" s="2932"/>
      <c r="P103" s="1798"/>
      <c r="Q103" s="1799"/>
    </row>
    <row r="104" spans="1:17" s="1697" customFormat="1" ht="14.4" thickBot="1">
      <c r="A104" s="1795"/>
      <c r="B104" s="1787"/>
      <c r="C104" s="1800">
        <v>100</v>
      </c>
      <c r="D104" s="1781">
        <f>C104-1</f>
        <v>99</v>
      </c>
      <c r="E104" s="1781">
        <f t="shared" ref="E104:F104" si="23">D104-1</f>
        <v>98</v>
      </c>
      <c r="F104" s="1781">
        <f t="shared" si="23"/>
        <v>97</v>
      </c>
      <c r="G104" s="1781">
        <f t="shared" ref="G104" si="24">F104-1</f>
        <v>96</v>
      </c>
      <c r="H104" s="1781">
        <f t="shared" ref="H104" si="25">G104-1</f>
        <v>95</v>
      </c>
      <c r="I104" s="1781"/>
      <c r="J104" s="1781"/>
      <c r="K104" s="1781"/>
      <c r="L104" s="1781"/>
      <c r="M104" s="1782"/>
      <c r="N104" s="2931"/>
      <c r="O104" s="2931"/>
      <c r="P104" s="1798"/>
      <c r="Q104" s="1799"/>
    </row>
    <row r="105" spans="1:17" ht="15" thickTop="1">
      <c r="A105" s="1829"/>
      <c r="B105" s="1784" t="s">
        <v>2085</v>
      </c>
      <c r="C105" s="3323" t="s">
        <v>3048</v>
      </c>
      <c r="D105" s="468"/>
      <c r="E105" s="1503"/>
      <c r="F105" s="1503"/>
      <c r="G105" s="1503"/>
      <c r="H105" s="1503"/>
      <c r="I105" s="1503"/>
      <c r="J105" s="1503"/>
      <c r="K105" s="473"/>
      <c r="L105" s="473"/>
      <c r="M105" s="1819"/>
      <c r="N105" s="2930"/>
      <c r="O105" s="2930"/>
      <c r="P105" s="1778"/>
      <c r="Q105" s="1747"/>
    </row>
    <row r="106" spans="1:17" ht="14.4" thickBot="1">
      <c r="A106" s="1779"/>
      <c r="B106" s="1787"/>
      <c r="C106" s="1788">
        <v>100</v>
      </c>
      <c r="D106" s="1788">
        <f t="shared" ref="D106:M106" si="26">C106-$K34</f>
        <v>99</v>
      </c>
      <c r="E106" s="1788">
        <f t="shared" si="26"/>
        <v>98</v>
      </c>
      <c r="F106" s="1788">
        <f t="shared" si="26"/>
        <v>97</v>
      </c>
      <c r="G106" s="1788">
        <f t="shared" si="26"/>
        <v>96</v>
      </c>
      <c r="H106" s="1788">
        <f t="shared" si="26"/>
        <v>95</v>
      </c>
      <c r="I106" s="1788">
        <f t="shared" si="26"/>
        <v>94</v>
      </c>
      <c r="J106" s="1788">
        <f t="shared" si="26"/>
        <v>93</v>
      </c>
      <c r="K106" s="1788">
        <f t="shared" si="26"/>
        <v>92</v>
      </c>
      <c r="L106" s="1788">
        <f t="shared" si="26"/>
        <v>91</v>
      </c>
      <c r="M106" s="1789">
        <f t="shared" si="26"/>
        <v>90</v>
      </c>
      <c r="N106" s="2931"/>
      <c r="O106" s="2931"/>
      <c r="P106" s="1778"/>
      <c r="Q106" s="1747"/>
    </row>
    <row r="107" spans="1:17" ht="15" thickTop="1">
      <c r="A107" s="1829"/>
      <c r="B107" s="1784" t="s">
        <v>2087</v>
      </c>
      <c r="C107" s="3323" t="s">
        <v>3050</v>
      </c>
      <c r="D107" s="468"/>
      <c r="E107" s="468"/>
      <c r="F107" s="1503"/>
      <c r="G107" s="1503"/>
      <c r="H107" s="1503"/>
      <c r="I107" s="1503"/>
      <c r="J107" s="1503"/>
      <c r="K107" s="473"/>
      <c r="L107" s="473"/>
      <c r="M107" s="1819"/>
      <c r="N107" s="2930"/>
      <c r="O107" s="2930"/>
      <c r="P107" s="1778"/>
      <c r="Q107" s="1747"/>
    </row>
    <row r="108" spans="1:17" ht="14.4" thickBot="1">
      <c r="A108" s="1779"/>
      <c r="B108" s="1787"/>
      <c r="C108" s="1788">
        <v>100</v>
      </c>
      <c r="D108" s="1788">
        <f t="shared" ref="D108:M108" si="27">C108-$K35</f>
        <v>99</v>
      </c>
      <c r="E108" s="1788">
        <f t="shared" si="27"/>
        <v>98</v>
      </c>
      <c r="F108" s="1788">
        <f t="shared" si="27"/>
        <v>97</v>
      </c>
      <c r="G108" s="1788">
        <f t="shared" si="27"/>
        <v>96</v>
      </c>
      <c r="H108" s="1788">
        <f t="shared" si="27"/>
        <v>95</v>
      </c>
      <c r="I108" s="1788">
        <f t="shared" si="27"/>
        <v>94</v>
      </c>
      <c r="J108" s="1788">
        <f t="shared" si="27"/>
        <v>93</v>
      </c>
      <c r="K108" s="1788">
        <f t="shared" si="27"/>
        <v>92</v>
      </c>
      <c r="L108" s="1788">
        <f t="shared" si="27"/>
        <v>91</v>
      </c>
      <c r="M108" s="1789">
        <f t="shared" si="27"/>
        <v>90</v>
      </c>
      <c r="N108" s="2931"/>
      <c r="O108" s="2931"/>
      <c r="P108" s="1778"/>
      <c r="Q108" s="1747"/>
    </row>
    <row r="109" spans="1:17" ht="15" thickTop="1">
      <c r="A109" s="1829"/>
      <c r="B109" s="1784"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3"/>
      <c r="J109" s="1503"/>
      <c r="K109" s="473"/>
      <c r="L109" s="473"/>
      <c r="M109" s="1819"/>
      <c r="N109" s="2930"/>
      <c r="O109" s="2930"/>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0"/>
      <c r="O110" s="2930"/>
      <c r="P110" s="1778"/>
      <c r="Q110" s="1747"/>
    </row>
    <row r="111" spans="1:17" ht="14.4" thickBot="1">
      <c r="A111" s="1779"/>
      <c r="B111" s="1787"/>
      <c r="C111" s="1817">
        <v>100</v>
      </c>
      <c r="D111" s="1788">
        <f>C111+$K36</f>
        <v>101</v>
      </c>
      <c r="E111" s="1788">
        <f t="shared" ref="E111:M111" si="28">D111+$K36</f>
        <v>102</v>
      </c>
      <c r="F111" s="1788">
        <f t="shared" si="28"/>
        <v>103</v>
      </c>
      <c r="G111" s="1788">
        <f t="shared" si="28"/>
        <v>104</v>
      </c>
      <c r="H111" s="1788">
        <f t="shared" si="28"/>
        <v>105</v>
      </c>
      <c r="I111" s="1788">
        <f t="shared" si="28"/>
        <v>106</v>
      </c>
      <c r="J111" s="1788">
        <f t="shared" si="28"/>
        <v>107</v>
      </c>
      <c r="K111" s="1788">
        <f t="shared" si="28"/>
        <v>108</v>
      </c>
      <c r="L111" s="1788">
        <f t="shared" si="28"/>
        <v>109</v>
      </c>
      <c r="M111" s="1788">
        <f t="shared" si="28"/>
        <v>110</v>
      </c>
      <c r="N111" s="2931"/>
      <c r="O111" s="2931"/>
      <c r="P111" s="1778"/>
      <c r="Q111" s="1747"/>
    </row>
    <row r="112" spans="1:17" s="1697" customFormat="1" ht="15" thickTop="1">
      <c r="A112" s="1825"/>
      <c r="B112" s="1784" t="s">
        <v>2090</v>
      </c>
      <c r="C112" s="468" t="s">
        <v>3045</v>
      </c>
      <c r="D112" s="468" t="s">
        <v>3051</v>
      </c>
      <c r="E112" s="468" t="s">
        <v>3052</v>
      </c>
      <c r="F112" s="468" t="s">
        <v>3053</v>
      </c>
      <c r="G112" s="468" t="s">
        <v>3054</v>
      </c>
      <c r="H112" s="1503"/>
      <c r="I112" s="1503"/>
      <c r="J112" s="1503"/>
      <c r="K112" s="473"/>
      <c r="L112" s="473"/>
      <c r="M112" s="1819"/>
      <c r="N112" s="2932"/>
      <c r="O112" s="2932"/>
      <c r="P112" s="1798"/>
      <c r="Q112" s="1799"/>
    </row>
    <row r="113" spans="1:17" s="1697" customFormat="1" ht="14.4" thickBot="1">
      <c r="A113" s="1795"/>
      <c r="B113" s="1787"/>
      <c r="C113" s="1788">
        <v>100</v>
      </c>
      <c r="D113" s="1788">
        <f>C113-$K37</f>
        <v>99</v>
      </c>
      <c r="E113" s="1788">
        <f t="shared" ref="E113:M113" si="29">D113-$K37</f>
        <v>98</v>
      </c>
      <c r="F113" s="1788">
        <f t="shared" si="29"/>
        <v>97</v>
      </c>
      <c r="G113" s="1788">
        <f t="shared" si="29"/>
        <v>96</v>
      </c>
      <c r="H113" s="1788">
        <f t="shared" si="29"/>
        <v>95</v>
      </c>
      <c r="I113" s="1788">
        <f t="shared" si="29"/>
        <v>94</v>
      </c>
      <c r="J113" s="1788">
        <f t="shared" si="29"/>
        <v>93</v>
      </c>
      <c r="K113" s="1788">
        <f t="shared" si="29"/>
        <v>92</v>
      </c>
      <c r="L113" s="1788">
        <f t="shared" si="29"/>
        <v>91</v>
      </c>
      <c r="M113" s="1788">
        <f t="shared" si="29"/>
        <v>90</v>
      </c>
      <c r="N113" s="2932"/>
      <c r="O113" s="2932"/>
      <c r="P113" s="1798"/>
      <c r="Q113" s="1799"/>
    </row>
    <row r="114" spans="1:17" ht="15" thickTop="1">
      <c r="A114" s="1829"/>
      <c r="B114" s="1784" t="s">
        <v>2139</v>
      </c>
      <c r="C114" s="3323" t="s">
        <v>3055</v>
      </c>
      <c r="D114" s="3323" t="s">
        <v>3056</v>
      </c>
      <c r="E114" s="1503"/>
      <c r="F114" s="1503"/>
      <c r="G114" s="1503"/>
      <c r="H114" s="1503"/>
      <c r="I114" s="1503"/>
      <c r="J114" s="1503"/>
      <c r="K114" s="473"/>
      <c r="L114" s="473"/>
      <c r="M114" s="1819"/>
      <c r="N114" s="2930"/>
      <c r="O114" s="2930"/>
      <c r="P114" s="1778"/>
      <c r="Q114" s="1747"/>
    </row>
    <row r="115" spans="1:17" ht="14.4" thickBot="1">
      <c r="A115" s="1779"/>
      <c r="B115" s="1787"/>
      <c r="C115" s="1788">
        <v>100</v>
      </c>
      <c r="D115" s="1788">
        <f t="shared" ref="D115:M115" si="30">C115-$K38</f>
        <v>97</v>
      </c>
      <c r="E115" s="1788">
        <f t="shared" si="30"/>
        <v>94</v>
      </c>
      <c r="F115" s="1788">
        <f t="shared" si="30"/>
        <v>91</v>
      </c>
      <c r="G115" s="1788">
        <f t="shared" si="30"/>
        <v>88</v>
      </c>
      <c r="H115" s="1788">
        <f t="shared" si="30"/>
        <v>85</v>
      </c>
      <c r="I115" s="1788">
        <f t="shared" si="30"/>
        <v>82</v>
      </c>
      <c r="J115" s="1788">
        <f t="shared" si="30"/>
        <v>79</v>
      </c>
      <c r="K115" s="1788">
        <f t="shared" si="30"/>
        <v>76</v>
      </c>
      <c r="L115" s="1788">
        <f t="shared" si="30"/>
        <v>73</v>
      </c>
      <c r="M115" s="1789">
        <f t="shared" si="30"/>
        <v>70</v>
      </c>
      <c r="N115" s="2931"/>
      <c r="O115" s="2931"/>
      <c r="P115" s="1778"/>
      <c r="Q115" s="1747"/>
    </row>
    <row r="116" spans="1:17" ht="15" thickTop="1">
      <c r="A116" s="1829"/>
      <c r="B116" s="1784" t="s">
        <v>2140</v>
      </c>
      <c r="C116" s="3333" t="s">
        <v>3091</v>
      </c>
      <c r="D116" s="3333" t="s">
        <v>3093</v>
      </c>
      <c r="E116" s="468"/>
      <c r="F116" s="468"/>
      <c r="G116" s="468"/>
      <c r="H116" s="1503"/>
      <c r="I116" s="1503"/>
      <c r="J116" s="1503"/>
      <c r="K116" s="473"/>
      <c r="L116" s="473"/>
      <c r="M116" s="1819"/>
      <c r="N116" s="2930"/>
      <c r="O116" s="2930"/>
      <c r="P116" s="1778"/>
      <c r="Q116" s="1747"/>
    </row>
    <row r="117" spans="1:17" ht="14.4" thickBot="1">
      <c r="A117" s="1779"/>
      <c r="B117" s="1787"/>
      <c r="C117" s="1788">
        <v>100</v>
      </c>
      <c r="D117" s="1788">
        <f>C117-$K39</f>
        <v>95</v>
      </c>
      <c r="E117" s="1788">
        <f>D117-$K39</f>
        <v>90</v>
      </c>
      <c r="F117" s="1788">
        <f>E117-$K39</f>
        <v>85</v>
      </c>
      <c r="G117" s="1788">
        <f>F117-$K39</f>
        <v>80</v>
      </c>
      <c r="H117" s="1788"/>
      <c r="I117" s="1788"/>
      <c r="J117" s="1788"/>
      <c r="K117" s="1788"/>
      <c r="L117" s="1788"/>
      <c r="M117" s="1789"/>
      <c r="N117" s="2931"/>
      <c r="O117" s="2931"/>
      <c r="P117" s="1778"/>
      <c r="Q117" s="1747"/>
    </row>
    <row r="118" spans="1:17" ht="15" thickTop="1">
      <c r="A118" s="1829"/>
      <c r="B118" s="1784" t="s">
        <v>2141</v>
      </c>
      <c r="C118" s="2401"/>
      <c r="D118" s="2401"/>
      <c r="E118" s="2401"/>
      <c r="F118" s="2401"/>
      <c r="G118" s="2401"/>
      <c r="H118" s="443"/>
      <c r="I118" s="443"/>
      <c r="J118" s="443"/>
      <c r="K118" s="443"/>
      <c r="L118" s="443"/>
      <c r="M118" s="1796"/>
      <c r="N118" s="2930"/>
      <c r="O118" s="2930"/>
      <c r="P118" s="1778"/>
      <c r="Q118" s="1747"/>
    </row>
    <row r="119" spans="1:17" ht="14.4" thickBot="1">
      <c r="A119" s="1779"/>
      <c r="B119" s="1787"/>
      <c r="C119" s="1800"/>
      <c r="D119" s="1781"/>
      <c r="E119" s="1781"/>
      <c r="F119" s="1781"/>
      <c r="G119" s="1781"/>
      <c r="H119" s="1781"/>
      <c r="I119" s="1781"/>
      <c r="J119" s="1781"/>
      <c r="K119" s="1781"/>
      <c r="L119" s="1781"/>
      <c r="M119" s="1782"/>
      <c r="N119" s="2931"/>
      <c r="O119" s="2931"/>
      <c r="P119" s="1778"/>
      <c r="Q119" s="1747"/>
    </row>
    <row r="120" spans="1:17" s="1697" customFormat="1" ht="15" thickTop="1">
      <c r="A120" s="1825"/>
      <c r="B120" s="1784" t="s">
        <v>2142</v>
      </c>
      <c r="C120" s="1503"/>
      <c r="D120" s="1503"/>
      <c r="E120" s="1503"/>
      <c r="F120" s="1503"/>
      <c r="G120" s="443"/>
      <c r="H120" s="443"/>
      <c r="I120" s="443"/>
      <c r="J120" s="443"/>
      <c r="K120" s="443"/>
      <c r="L120" s="443"/>
      <c r="M120" s="1796"/>
      <c r="N120" s="2932"/>
      <c r="O120" s="2932"/>
      <c r="P120" s="1798"/>
      <c r="Q120" s="1799"/>
    </row>
    <row r="121" spans="1:17" s="1697" customFormat="1" ht="14.4" thickBot="1">
      <c r="A121" s="1795"/>
      <c r="B121" s="1780"/>
      <c r="C121" s="1817">
        <v>100</v>
      </c>
      <c r="D121" s="1788">
        <f>C121-$K41</f>
        <v>100</v>
      </c>
      <c r="E121" s="1788">
        <f t="shared" ref="E121:M121" si="31">D121-$K41</f>
        <v>100</v>
      </c>
      <c r="F121" s="1788">
        <f t="shared" si="31"/>
        <v>100</v>
      </c>
      <c r="G121" s="1788">
        <f t="shared" si="31"/>
        <v>100</v>
      </c>
      <c r="H121" s="1788">
        <f t="shared" si="31"/>
        <v>100</v>
      </c>
      <c r="I121" s="1788">
        <f t="shared" si="31"/>
        <v>100</v>
      </c>
      <c r="J121" s="1788">
        <f t="shared" si="31"/>
        <v>100</v>
      </c>
      <c r="K121" s="1788">
        <f t="shared" si="31"/>
        <v>100</v>
      </c>
      <c r="L121" s="1788">
        <f t="shared" si="31"/>
        <v>100</v>
      </c>
      <c r="M121" s="1789">
        <f t="shared" si="31"/>
        <v>100</v>
      </c>
      <c r="N121" s="2932"/>
      <c r="O121" s="2932"/>
      <c r="P121" s="1798"/>
      <c r="Q121" s="1799"/>
    </row>
    <row r="122" spans="1:17" ht="16.2" thickTop="1">
      <c r="A122" s="1829"/>
      <c r="B122" s="1784" t="s">
        <v>2092</v>
      </c>
      <c r="C122" s="3323" t="s">
        <v>3072</v>
      </c>
      <c r="D122" s="3323" t="s">
        <v>3073</v>
      </c>
      <c r="E122" s="3326" t="s">
        <v>3074</v>
      </c>
      <c r="F122" s="1503"/>
      <c r="G122" s="1503"/>
      <c r="H122" s="1503"/>
      <c r="I122" s="1503"/>
      <c r="J122" s="1503"/>
      <c r="K122" s="473"/>
      <c r="L122" s="473"/>
      <c r="M122" s="1819"/>
      <c r="N122" s="2930"/>
      <c r="O122" s="2930"/>
      <c r="P122" s="1778"/>
      <c r="Q122" s="1747"/>
    </row>
    <row r="123" spans="1:17" ht="14.4" thickBot="1">
      <c r="A123" s="1779"/>
      <c r="B123" s="1787"/>
      <c r="C123" s="1788">
        <v>100</v>
      </c>
      <c r="D123" s="1788">
        <f t="shared" ref="D123:M123" si="32">C123-$K42</f>
        <v>99</v>
      </c>
      <c r="E123" s="1788">
        <f t="shared" si="32"/>
        <v>98</v>
      </c>
      <c r="F123" s="1788">
        <f t="shared" si="32"/>
        <v>97</v>
      </c>
      <c r="G123" s="1788">
        <f t="shared" si="32"/>
        <v>96</v>
      </c>
      <c r="H123" s="1788">
        <f t="shared" si="32"/>
        <v>95</v>
      </c>
      <c r="I123" s="1788">
        <f t="shared" si="32"/>
        <v>94</v>
      </c>
      <c r="J123" s="1788">
        <f t="shared" si="32"/>
        <v>93</v>
      </c>
      <c r="K123" s="1788">
        <f t="shared" si="32"/>
        <v>92</v>
      </c>
      <c r="L123" s="1788">
        <f t="shared" si="32"/>
        <v>91</v>
      </c>
      <c r="M123" s="1789">
        <f t="shared" si="32"/>
        <v>90</v>
      </c>
      <c r="N123" s="2931"/>
      <c r="O123" s="2931"/>
      <c r="P123" s="1778"/>
      <c r="Q123" s="1747"/>
    </row>
    <row r="124" spans="1:17" ht="29.4" thickTop="1">
      <c r="A124" s="1829"/>
      <c r="B124" s="1784" t="s">
        <v>2093</v>
      </c>
      <c r="C124" s="579" t="s">
        <v>2068</v>
      </c>
      <c r="D124" s="579" t="s">
        <v>2069</v>
      </c>
      <c r="E124" s="579" t="s">
        <v>2070</v>
      </c>
      <c r="F124" s="579" t="s">
        <v>2071</v>
      </c>
      <c r="G124" s="579" t="s">
        <v>2072</v>
      </c>
      <c r="H124" s="1785"/>
      <c r="I124" s="1785"/>
      <c r="J124" s="1785"/>
      <c r="K124" s="428"/>
      <c r="L124" s="428"/>
      <c r="M124" s="1786"/>
      <c r="N124" s="2930"/>
      <c r="O124" s="2930"/>
      <c r="P124" s="1798"/>
      <c r="Q124" s="1747"/>
    </row>
    <row r="125" spans="1:17" ht="14.4" thickBot="1">
      <c r="A125" s="1779"/>
      <c r="B125" s="1787"/>
      <c r="C125" s="1788">
        <v>100</v>
      </c>
      <c r="D125" s="1788">
        <f>C125-$K43</f>
        <v>99</v>
      </c>
      <c r="E125" s="1788">
        <f>D125-$K43</f>
        <v>98</v>
      </c>
      <c r="F125" s="1788">
        <f>E125-$K43</f>
        <v>97</v>
      </c>
      <c r="G125" s="1788">
        <f>F125-$K43</f>
        <v>96</v>
      </c>
      <c r="H125" s="1788"/>
      <c r="I125" s="1788"/>
      <c r="J125" s="1788"/>
      <c r="K125" s="1788"/>
      <c r="L125" s="1788"/>
      <c r="M125" s="1789"/>
      <c r="N125" s="2931"/>
      <c r="O125" s="2931"/>
      <c r="P125" s="1778"/>
      <c r="Q125" s="1747"/>
    </row>
    <row r="126" spans="1:17" s="1697" customFormat="1" ht="14.4" thickTop="1">
      <c r="A126" s="1825"/>
      <c r="B126" s="1784">
        <f>B44</f>
        <v>111</v>
      </c>
      <c r="C126" s="468"/>
      <c r="D126" s="468"/>
      <c r="E126" s="468"/>
      <c r="F126" s="468"/>
      <c r="G126" s="468"/>
      <c r="H126" s="443"/>
      <c r="I126" s="443"/>
      <c r="J126" s="443"/>
      <c r="K126" s="443"/>
      <c r="L126" s="443"/>
      <c r="M126" s="1796"/>
      <c r="N126" s="2932"/>
      <c r="O126" s="2932"/>
      <c r="P126" s="1798"/>
      <c r="Q126" s="1799"/>
    </row>
    <row r="127" spans="1:17" s="1697" customFormat="1" ht="14.4" thickBot="1">
      <c r="A127" s="1795"/>
      <c r="B127" s="1787"/>
      <c r="C127" s="1800"/>
      <c r="D127" s="1781"/>
      <c r="E127" s="1781"/>
      <c r="F127" s="1781"/>
      <c r="G127" s="1800"/>
      <c r="H127" s="1803"/>
      <c r="I127" s="1803"/>
      <c r="J127" s="1803"/>
      <c r="K127" s="1803"/>
      <c r="L127" s="1803"/>
      <c r="M127" s="1804"/>
      <c r="N127" s="2932"/>
      <c r="O127" s="2932"/>
      <c r="P127" s="1798"/>
      <c r="Q127" s="1799"/>
    </row>
    <row r="128" spans="1:17" ht="14.4" thickTop="1">
      <c r="A128" s="1829"/>
      <c r="B128" s="1784">
        <f>B45</f>
        <v>111</v>
      </c>
      <c r="C128" s="468"/>
      <c r="D128" s="468"/>
      <c r="E128" s="468"/>
      <c r="F128" s="468"/>
      <c r="G128" s="1503"/>
      <c r="H128" s="1503"/>
      <c r="I128" s="1503"/>
      <c r="J128" s="1503"/>
      <c r="K128" s="473"/>
      <c r="L128" s="473"/>
      <c r="M128" s="1819"/>
      <c r="N128" s="2930"/>
      <c r="O128" s="2930"/>
      <c r="P128" s="1778"/>
      <c r="Q128" s="1747"/>
    </row>
    <row r="129" spans="1:17" ht="14.4" thickBot="1">
      <c r="A129" s="1779"/>
      <c r="B129" s="1787"/>
      <c r="C129" s="1800"/>
      <c r="D129" s="1781"/>
      <c r="E129" s="1781"/>
      <c r="F129" s="1781"/>
      <c r="G129" s="1781"/>
      <c r="H129" s="1781"/>
      <c r="I129" s="1781"/>
      <c r="J129" s="1781"/>
      <c r="K129" s="1781"/>
      <c r="L129" s="1781"/>
      <c r="M129" s="1782"/>
      <c r="N129" s="2931"/>
      <c r="O129" s="2931"/>
      <c r="P129" s="1778"/>
      <c r="Q129" s="1747"/>
    </row>
    <row r="130" spans="1:17" ht="14.4" thickTop="1">
      <c r="A130" s="1829"/>
      <c r="B130" s="1790">
        <f>B46</f>
        <v>111</v>
      </c>
      <c r="C130" s="468"/>
      <c r="D130" s="468"/>
      <c r="E130" s="468"/>
      <c r="F130" s="468"/>
      <c r="G130" s="1820"/>
      <c r="H130" s="1820"/>
      <c r="I130" s="1820"/>
      <c r="J130" s="1820"/>
      <c r="K130" s="409"/>
      <c r="L130" s="409"/>
      <c r="M130" s="1821"/>
      <c r="N130" s="2930"/>
      <c r="O130" s="2930"/>
      <c r="P130" s="1778"/>
      <c r="Q130" s="1747"/>
    </row>
    <row r="131" spans="1:17" ht="14.4" thickBot="1">
      <c r="A131" s="1822"/>
      <c r="B131" s="1807"/>
      <c r="C131" s="1808"/>
      <c r="D131" s="1808"/>
      <c r="E131" s="1808"/>
      <c r="F131" s="1808"/>
      <c r="G131" s="1823"/>
      <c r="H131" s="1823"/>
      <c r="I131" s="1823"/>
      <c r="J131" s="1823"/>
      <c r="K131" s="1823"/>
      <c r="L131" s="1823"/>
      <c r="M131" s="1824"/>
      <c r="N131" s="2931"/>
      <c r="O131" s="2931"/>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E6:H8"/>
  <sheetViews>
    <sheetView topLeftCell="F1" workbookViewId="0">
      <selection activeCell="R23" sqref="R23"/>
    </sheetView>
  </sheetViews>
  <sheetFormatPr defaultRowHeight="14.4"/>
  <cols>
    <col min="6" max="6" width="13.33203125" customWidth="1"/>
  </cols>
  <sheetData>
    <row r="6" spans="5:8">
      <c r="F6" s="1269" t="s">
        <v>3068</v>
      </c>
    </row>
    <row r="7" spans="5:8">
      <c r="E7" s="1269" t="s">
        <v>3066</v>
      </c>
      <c r="F7">
        <f>ROUND(H7*10000/G7,0)</f>
        <v>36273</v>
      </c>
      <c r="G7">
        <v>110</v>
      </c>
      <c r="H7">
        <v>399</v>
      </c>
    </row>
    <row r="8" spans="5:8">
      <c r="E8" s="1269" t="s">
        <v>3067</v>
      </c>
      <c r="F8" s="1269" t="s">
        <v>3043</v>
      </c>
      <c r="G8" s="1269" t="s">
        <v>3069</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3.8"/>
  <cols>
    <col min="1" max="1" width="10.44140625" style="1592" customWidth="1"/>
    <col min="2" max="2" width="15.77734375" style="1592" customWidth="1"/>
    <col min="3" max="3" width="14.33203125" style="1592" customWidth="1"/>
    <col min="4" max="4" width="12.21875" style="1592" customWidth="1"/>
    <col min="5" max="5" width="14.33203125" style="1592" customWidth="1"/>
    <col min="6" max="6" width="12.21875" style="1592" customWidth="1"/>
    <col min="7" max="7" width="14.44140625" style="1592" customWidth="1"/>
    <col min="8" max="8" width="12.21875" style="1592" customWidth="1"/>
    <col min="9" max="9" width="14.44140625" style="1592" customWidth="1"/>
    <col min="10" max="10" width="12.21875" style="1592" customWidth="1"/>
    <col min="11" max="11" width="12.21875" style="1835" customWidth="1"/>
    <col min="12" max="12" width="12.21875" style="1836" customWidth="1"/>
    <col min="13" max="15" width="12.21875" style="1592" customWidth="1"/>
    <col min="16" max="16" width="4.77734375" style="1592" customWidth="1"/>
    <col min="17" max="17" width="19.44140625" style="1592" customWidth="1"/>
    <col min="18" max="22" width="6.109375" style="1592" customWidth="1"/>
    <col min="23" max="23" width="5.77734375" style="1592" customWidth="1"/>
    <col min="24" max="24" width="4.21875" style="1592" customWidth="1"/>
    <col min="25" max="25" width="3.44140625" style="1592" customWidth="1"/>
    <col min="26" max="26" width="19.77734375" style="1592" customWidth="1"/>
    <col min="27" max="28" width="9.33203125" style="1592" customWidth="1"/>
    <col min="29" max="16384" width="9" style="1592"/>
  </cols>
  <sheetData>
    <row r="1" spans="1:29" s="1573" customFormat="1" ht="28.5" customHeight="1" thickBot="1">
      <c r="A1" s="1562" t="s">
        <v>2001</v>
      </c>
      <c r="B1" s="1563" t="s">
        <v>2143</v>
      </c>
      <c r="C1" s="1564"/>
      <c r="D1" s="1563"/>
      <c r="E1" s="1566"/>
      <c r="F1" s="1567" t="s">
        <v>2003</v>
      </c>
      <c r="G1" s="1563"/>
      <c r="H1" s="1563"/>
      <c r="I1" s="1563"/>
      <c r="J1" s="1563"/>
      <c r="K1" s="1568"/>
      <c r="L1" s="1569"/>
      <c r="M1" s="1563"/>
      <c r="N1" s="1563"/>
      <c r="O1" s="1563"/>
      <c r="P1" s="1563"/>
      <c r="Q1" s="1563"/>
      <c r="R1" s="1563"/>
      <c r="S1" s="1563"/>
      <c r="T1" s="1563"/>
      <c r="U1" s="1563"/>
      <c r="V1" s="1563"/>
      <c r="W1" s="1563"/>
      <c r="X1" s="1563"/>
      <c r="Y1" s="1563"/>
      <c r="Z1" s="1563"/>
      <c r="AA1" s="1563"/>
      <c r="AB1" s="2402"/>
      <c r="AC1" s="1572"/>
    </row>
    <row r="2" spans="1:29" s="1885" customFormat="1" ht="28.5" customHeight="1" thickTop="1">
      <c r="A2" s="1574" t="s">
        <v>1674</v>
      </c>
      <c r="B2" s="1575" t="e">
        <f ca="1">IF(D2="——",IF(C2="元",ROUND(C50*D3,0),ROUND(C50*D3/10000,0)),IF(C2="元",ROUND(C50*D3,0),ROUND(C50*D3/10000,0))-E2)</f>
        <v>#DIV/0!</v>
      </c>
      <c r="C2" s="1576" t="str">
        <f>'数据-取费表'!B3</f>
        <v>元</v>
      </c>
      <c r="D2" s="1577"/>
      <c r="E2" s="2403" t="e">
        <f ca="1">SUMIF(INDIRECT("'"&amp;G2&amp;"'"&amp;"!A:A"),"承租人权益价值",INDIRECT("'"&amp;G2&amp;"'"&amp;"!c:c"))</f>
        <v>#REF!</v>
      </c>
      <c r="F2" s="1579" t="str">
        <f>C2</f>
        <v>元</v>
      </c>
      <c r="G2" s="1580"/>
      <c r="H2" s="2926"/>
      <c r="I2" s="2926"/>
      <c r="J2" s="2926"/>
      <c r="K2" s="2926"/>
      <c r="L2" s="2928"/>
      <c r="M2" s="2926"/>
      <c r="N2" s="2926"/>
      <c r="O2" s="2926"/>
      <c r="P2" s="1882"/>
      <c r="Q2" s="1882"/>
      <c r="R2" s="1882"/>
      <c r="S2" s="1882"/>
      <c r="T2" s="1882"/>
      <c r="U2" s="1882"/>
      <c r="V2" s="1882"/>
      <c r="W2" s="1882"/>
      <c r="X2" s="1882"/>
      <c r="Y2" s="1882"/>
      <c r="Z2" s="1882"/>
      <c r="AA2" s="1882"/>
      <c r="AB2" s="2404"/>
      <c r="AC2" s="1890"/>
    </row>
    <row r="3" spans="1:29" s="1885" customFormat="1" ht="28.5" customHeight="1" thickBot="1">
      <c r="A3" s="1584" t="s">
        <v>1675</v>
      </c>
      <c r="B3" s="1888" t="e">
        <f ca="1">ROUND(IF(D2="——",C50,IF(C2="万元",B2*10000/D3,B2/D3)),0)</f>
        <v>#DIV/0!</v>
      </c>
      <c r="C3" s="1585" t="s">
        <v>2004</v>
      </c>
      <c r="D3" s="1585">
        <f>IF(C1="仅计算典型户型",'数据-取费表'!E5,'数据-取费表'!B5)</f>
        <v>262.86</v>
      </c>
      <c r="F3" s="2925"/>
      <c r="G3" s="2926"/>
      <c r="H3" s="2926"/>
      <c r="I3" s="2926"/>
      <c r="J3" s="2926"/>
      <c r="K3" s="2927"/>
      <c r="L3" s="2928"/>
      <c r="M3" s="2926"/>
      <c r="N3" s="2926"/>
      <c r="O3" s="2926"/>
      <c r="P3" s="2933"/>
      <c r="Q3" s="1877"/>
      <c r="R3" s="1877"/>
      <c r="S3" s="1877"/>
      <c r="T3" s="1877"/>
      <c r="U3" s="1877"/>
      <c r="V3" s="1877"/>
      <c r="W3" s="1877"/>
      <c r="X3" s="1882"/>
      <c r="Y3" s="1877"/>
      <c r="Z3" s="1877"/>
      <c r="AA3" s="1877"/>
      <c r="AB3" s="2405"/>
      <c r="AC3" s="1890"/>
    </row>
    <row r="4" spans="1:29" ht="14.4">
      <c r="A4" s="1588" t="s">
        <v>2005</v>
      </c>
      <c r="B4" s="1589"/>
      <c r="C4" s="3597" t="s">
        <v>2006</v>
      </c>
      <c r="D4" s="3598"/>
      <c r="E4" s="3599" t="s">
        <v>2007</v>
      </c>
      <c r="F4" s="3600"/>
      <c r="G4" s="3597" t="s">
        <v>2008</v>
      </c>
      <c r="H4" s="3598"/>
      <c r="I4" s="3597" t="s">
        <v>2009</v>
      </c>
      <c r="J4" s="3598"/>
      <c r="K4" s="1891" t="s">
        <v>2010</v>
      </c>
      <c r="L4" s="2911"/>
      <c r="M4" s="2912"/>
      <c r="N4" s="2912"/>
      <c r="O4" s="2912"/>
      <c r="P4" s="3601" t="s">
        <v>2011</v>
      </c>
      <c r="Q4" s="3602"/>
      <c r="R4" s="3607" t="s">
        <v>2007</v>
      </c>
      <c r="S4" s="3608"/>
      <c r="T4" s="3607" t="s">
        <v>2008</v>
      </c>
      <c r="U4" s="3608"/>
      <c r="V4" s="3613" t="s">
        <v>2009</v>
      </c>
      <c r="W4" s="3613"/>
      <c r="X4" s="2000"/>
      <c r="Y4" s="3607" t="s">
        <v>2011</v>
      </c>
      <c r="Z4" s="3608"/>
      <c r="AA4" s="3594" t="s">
        <v>2007</v>
      </c>
      <c r="AB4" s="3594" t="s">
        <v>2008</v>
      </c>
      <c r="AC4" s="3594" t="s">
        <v>2009</v>
      </c>
    </row>
    <row r="5" spans="1:29">
      <c r="A5" s="1593"/>
      <c r="B5" s="1594"/>
      <c r="C5" s="3616" t="s">
        <v>2012</v>
      </c>
      <c r="D5" s="3617"/>
      <c r="E5" s="3614" t="s">
        <v>2013</v>
      </c>
      <c r="F5" s="3615"/>
      <c r="G5" s="3616" t="s">
        <v>2014</v>
      </c>
      <c r="H5" s="3617"/>
      <c r="I5" s="3616" t="s">
        <v>2015</v>
      </c>
      <c r="J5" s="3617"/>
      <c r="K5" s="1891"/>
      <c r="L5" s="2911"/>
      <c r="M5" s="2912"/>
      <c r="N5" s="2912"/>
      <c r="O5" s="2912"/>
      <c r="P5" s="3603"/>
      <c r="Q5" s="3604"/>
      <c r="R5" s="3609"/>
      <c r="S5" s="3610"/>
      <c r="T5" s="3609"/>
      <c r="U5" s="3610"/>
      <c r="V5" s="3613"/>
      <c r="W5" s="3613"/>
      <c r="X5" s="2000"/>
      <c r="Y5" s="3609"/>
      <c r="Z5" s="3610"/>
      <c r="AA5" s="3595"/>
      <c r="AB5" s="3595"/>
      <c r="AC5" s="3595"/>
    </row>
    <row r="6" spans="1:29" ht="15" thickBot="1">
      <c r="A6" s="1596"/>
      <c r="B6" s="1597"/>
      <c r="C6" s="3618" t="s">
        <v>2016</v>
      </c>
      <c r="D6" s="3619"/>
      <c r="E6" s="3620" t="s">
        <v>2016</v>
      </c>
      <c r="F6" s="3621"/>
      <c r="G6" s="3618" t="s">
        <v>2016</v>
      </c>
      <c r="H6" s="3619"/>
      <c r="I6" s="3618" t="s">
        <v>2016</v>
      </c>
      <c r="J6" s="3619"/>
      <c r="K6" s="1891" t="s">
        <v>2017</v>
      </c>
      <c r="L6" s="2911"/>
      <c r="M6" s="2912"/>
      <c r="N6" s="2912"/>
      <c r="O6" s="2912"/>
      <c r="P6" s="3605"/>
      <c r="Q6" s="3606"/>
      <c r="R6" s="3609"/>
      <c r="S6" s="3610"/>
      <c r="T6" s="3611"/>
      <c r="U6" s="3612"/>
      <c r="V6" s="3613"/>
      <c r="W6" s="3613"/>
      <c r="X6" s="2000"/>
      <c r="Y6" s="3611"/>
      <c r="Z6" s="3612"/>
      <c r="AA6" s="3596"/>
      <c r="AB6" s="3596"/>
      <c r="AC6" s="3596"/>
    </row>
    <row r="7" spans="1:29" s="1610" customFormat="1" ht="15" thickBot="1">
      <c r="A7" s="1598" t="s">
        <v>2018</v>
      </c>
      <c r="B7" s="1599"/>
      <c r="C7" s="1600">
        <f>'数据-取费表'!B2</f>
        <v>44701</v>
      </c>
      <c r="D7" s="1601">
        <v>100</v>
      </c>
      <c r="E7" s="1602"/>
      <c r="F7" s="1603">
        <f>SUMIF(59:59,YEAR(E7)&amp;"-"&amp;MONTH(E7),60:60)</f>
        <v>0</v>
      </c>
      <c r="G7" s="1892"/>
      <c r="H7" s="1601">
        <f>SUMIF(59:59,YEAR(G7)&amp;"-"&amp;MONTH(G7),60:60)</f>
        <v>0</v>
      </c>
      <c r="I7" s="1892"/>
      <c r="J7" s="1601">
        <f>SUMIF(59:59,YEAR(I7)&amp;"-"&amp;MONTH(I7),60:60)</f>
        <v>0</v>
      </c>
      <c r="K7" s="1893"/>
      <c r="L7" s="2911"/>
      <c r="M7" s="2884"/>
      <c r="N7" s="2884"/>
      <c r="O7" s="2884"/>
      <c r="P7" s="3629" t="s">
        <v>2019</v>
      </c>
      <c r="Q7" s="3631"/>
      <c r="R7" s="1606" t="s">
        <v>25</v>
      </c>
      <c r="S7" s="1607">
        <f t="shared" ref="S7:S15" si="0">F7</f>
        <v>0</v>
      </c>
      <c r="T7" s="1606" t="s">
        <v>25</v>
      </c>
      <c r="U7" s="1607">
        <f t="shared" ref="U7:U15" si="1">H7</f>
        <v>0</v>
      </c>
      <c r="V7" s="1606" t="s">
        <v>25</v>
      </c>
      <c r="W7" s="1607">
        <f t="shared" ref="W7:W15" si="2">J7</f>
        <v>0</v>
      </c>
      <c r="X7" s="1608"/>
      <c r="Y7" s="3629" t="s">
        <v>2019</v>
      </c>
      <c r="Z7" s="3630"/>
      <c r="AA7" s="1609" t="e">
        <f>D7/F7</f>
        <v>#DIV/0!</v>
      </c>
      <c r="AB7" s="1609" t="e">
        <f>D7/H7</f>
        <v>#DIV/0!</v>
      </c>
      <c r="AC7" s="1609" t="e">
        <f>D7/J7</f>
        <v>#DIV/0!</v>
      </c>
    </row>
    <row r="8" spans="1:29" s="1610" customFormat="1" ht="15" thickBot="1">
      <c r="A8" s="1598" t="s">
        <v>2020</v>
      </c>
      <c r="B8" s="1599"/>
      <c r="C8" s="1611" t="s">
        <v>2021</v>
      </c>
      <c r="D8" s="1601">
        <v>100</v>
      </c>
      <c r="E8" s="1611"/>
      <c r="F8" s="1603">
        <f>SUMIF(62:62,E8,63:63)-SUMIF(62:62,C8,63:63)+100</f>
        <v>0</v>
      </c>
      <c r="G8" s="1611"/>
      <c r="H8" s="1601">
        <f>SUMIF(62:62,G8,63:63)-SUMIF(62:62,C8,63:63)+100</f>
        <v>0</v>
      </c>
      <c r="I8" s="1611"/>
      <c r="J8" s="1601">
        <f>SUMIF(62:62,I8,63:63)-SUMIF(62:62,C8,63:63)+100</f>
        <v>0</v>
      </c>
      <c r="K8" s="1893"/>
      <c r="L8" s="2911"/>
      <c r="M8" s="2884"/>
      <c r="N8" s="2884"/>
      <c r="O8" s="2884"/>
      <c r="P8" s="3629" t="s">
        <v>2022</v>
      </c>
      <c r="Q8" s="3630"/>
      <c r="R8" s="1606" t="s">
        <v>25</v>
      </c>
      <c r="S8" s="1607">
        <f t="shared" si="0"/>
        <v>0</v>
      </c>
      <c r="T8" s="1606" t="s">
        <v>25</v>
      </c>
      <c r="U8" s="1607">
        <f t="shared" si="1"/>
        <v>0</v>
      </c>
      <c r="V8" s="1606" t="s">
        <v>25</v>
      </c>
      <c r="W8" s="1607">
        <f t="shared" si="2"/>
        <v>0</v>
      </c>
      <c r="X8" s="1608"/>
      <c r="Y8" s="3629" t="s">
        <v>2022</v>
      </c>
      <c r="Z8" s="3630"/>
      <c r="AA8" s="1609" t="e">
        <f t="shared" ref="AA8:AA47" si="3">D8/F8</f>
        <v>#DIV/0!</v>
      </c>
      <c r="AB8" s="1609" t="e">
        <f t="shared" ref="AB8:AB47" si="4">D8/H8</f>
        <v>#DIV/0!</v>
      </c>
      <c r="AC8" s="1609" t="e">
        <f t="shared" ref="AC8:AC47" si="5">D8/J8</f>
        <v>#DIV/0!</v>
      </c>
    </row>
    <row r="9" spans="1:29" s="1610" customFormat="1" ht="14.4">
      <c r="A9" s="1992" t="s">
        <v>2023</v>
      </c>
      <c r="B9" s="1613" t="s">
        <v>2024</v>
      </c>
      <c r="C9" s="1614"/>
      <c r="D9" s="1615">
        <v>100</v>
      </c>
      <c r="E9" s="1618"/>
      <c r="F9" s="1615">
        <f>SUMIF(64:64,E9,65:65)-SUMIF(64:64,C9,65:65)+100</f>
        <v>100</v>
      </c>
      <c r="G9" s="1616"/>
      <c r="H9" s="1615">
        <f>SUMIF(64:64,G9,65:65)-SUMIF(64:64,C9,65:65)+100</f>
        <v>100</v>
      </c>
      <c r="I9" s="1616"/>
      <c r="J9" s="1615">
        <f>SUMIF(64:64,I9,65:65)-SUMIF(64:64,C9,65:65)+100</f>
        <v>100</v>
      </c>
      <c r="K9" s="1893"/>
      <c r="L9" s="2911"/>
      <c r="M9" s="2884"/>
      <c r="N9" s="2884"/>
      <c r="O9" s="2884"/>
      <c r="P9" s="3633" t="s">
        <v>2025</v>
      </c>
      <c r="Q9" s="2829" t="str">
        <f t="shared" ref="Q9:Q15" si="6">B9</f>
        <v>用途</v>
      </c>
      <c r="R9" s="1606" t="s">
        <v>25</v>
      </c>
      <c r="S9" s="1607">
        <f t="shared" si="0"/>
        <v>100</v>
      </c>
      <c r="T9" s="1606" t="s">
        <v>25</v>
      </c>
      <c r="U9" s="1607">
        <f t="shared" si="1"/>
        <v>100</v>
      </c>
      <c r="V9" s="1606" t="s">
        <v>25</v>
      </c>
      <c r="W9" s="1607">
        <f t="shared" si="2"/>
        <v>100</v>
      </c>
      <c r="X9" s="1608"/>
      <c r="Y9" s="3497" t="s">
        <v>2026</v>
      </c>
      <c r="Z9" s="1619" t="str">
        <f t="shared" ref="Z9:Z15" si="7">Q9</f>
        <v>用途</v>
      </c>
      <c r="AA9" s="1609">
        <f t="shared" si="3"/>
        <v>1</v>
      </c>
      <c r="AB9" s="1609">
        <f t="shared" si="4"/>
        <v>1</v>
      </c>
      <c r="AC9" s="1609">
        <f t="shared" si="5"/>
        <v>1</v>
      </c>
    </row>
    <row r="10" spans="1:29" s="1627" customFormat="1" ht="28.8">
      <c r="A10" s="1620"/>
      <c r="B10" s="1621" t="s">
        <v>2027</v>
      </c>
      <c r="C10" s="1622"/>
      <c r="D10" s="1623">
        <v>100</v>
      </c>
      <c r="E10" s="1622"/>
      <c r="F10" s="1623">
        <f>SUMIF(66:66,E10,67:67)-SUMIF(66:66,C10,67:67)+100</f>
        <v>100</v>
      </c>
      <c r="G10" s="1624"/>
      <c r="H10" s="1623">
        <f>SUMIF(66:66,G10,67:67)-SUMIF(66:66,C10,67:67)+100</f>
        <v>100</v>
      </c>
      <c r="I10" s="1622"/>
      <c r="J10" s="1623">
        <f>SUMIF(66:66,I10,67:67)-SUMIF(66:66,C10,67:67)+100</f>
        <v>100</v>
      </c>
      <c r="K10" s="1918"/>
      <c r="L10" s="2913"/>
      <c r="M10" s="2914"/>
      <c r="N10" s="2914"/>
      <c r="O10" s="2914"/>
      <c r="P10" s="3633"/>
      <c r="Q10" s="2829" t="str">
        <f t="shared" si="6"/>
        <v>土地使用年限（年）</v>
      </c>
      <c r="R10" s="1606" t="s">
        <v>25</v>
      </c>
      <c r="S10" s="1607">
        <f t="shared" si="0"/>
        <v>100</v>
      </c>
      <c r="T10" s="1606" t="s">
        <v>25</v>
      </c>
      <c r="U10" s="1607">
        <f t="shared" si="1"/>
        <v>100</v>
      </c>
      <c r="V10" s="1606" t="s">
        <v>25</v>
      </c>
      <c r="W10" s="1607">
        <f t="shared" si="2"/>
        <v>100</v>
      </c>
      <c r="X10" s="1608"/>
      <c r="Y10" s="3497"/>
      <c r="Z10" s="1619" t="str">
        <f t="shared" si="7"/>
        <v>土地使用年限（年）</v>
      </c>
      <c r="AA10" s="1609">
        <f t="shared" si="3"/>
        <v>1</v>
      </c>
      <c r="AB10" s="1609">
        <f t="shared" si="4"/>
        <v>1</v>
      </c>
      <c r="AC10" s="1609">
        <f t="shared" si="5"/>
        <v>1</v>
      </c>
    </row>
    <row r="11" spans="1:29" ht="15">
      <c r="A11" s="1628"/>
      <c r="B11" s="1621" t="s">
        <v>2028</v>
      </c>
      <c r="C11" s="1629"/>
      <c r="D11" s="1623">
        <v>100</v>
      </c>
      <c r="E11" s="1629"/>
      <c r="F11" s="1623" t="e">
        <f>LOOKUP(E11,69:69,70:70)-LOOKUP(C11,69:69,70:70)+100</f>
        <v>#N/A</v>
      </c>
      <c r="G11" s="1630"/>
      <c r="H11" s="1623" t="e">
        <f>LOOKUP(G11,69:69,70:70)-LOOKUP(C11,69:69,70:70)+100</f>
        <v>#N/A</v>
      </c>
      <c r="I11" s="1629"/>
      <c r="J11" s="1623" t="e">
        <f>LOOKUP(I11,69:69,70:70)-LOOKUP(C11,69:69,70:70)+100</f>
        <v>#N/A</v>
      </c>
      <c r="K11" s="1918"/>
      <c r="L11" s="2915"/>
      <c r="M11" s="2912"/>
      <c r="N11" s="2912"/>
      <c r="O11" s="2912"/>
      <c r="P11" s="3633"/>
      <c r="Q11" s="2829" t="str">
        <f t="shared" si="6"/>
        <v>容积率</v>
      </c>
      <c r="R11" s="1606" t="s">
        <v>25</v>
      </c>
      <c r="S11" s="1607" t="e">
        <f t="shared" si="0"/>
        <v>#N/A</v>
      </c>
      <c r="T11" s="1606" t="s">
        <v>25</v>
      </c>
      <c r="U11" s="1607" t="e">
        <f t="shared" si="1"/>
        <v>#N/A</v>
      </c>
      <c r="V11" s="1606" t="s">
        <v>25</v>
      </c>
      <c r="W11" s="1607" t="e">
        <f t="shared" si="2"/>
        <v>#N/A</v>
      </c>
      <c r="X11" s="1608"/>
      <c r="Y11" s="3497"/>
      <c r="Z11" s="1619" t="str">
        <f t="shared" si="7"/>
        <v>容积率</v>
      </c>
      <c r="AA11" s="1609" t="e">
        <f t="shared" si="3"/>
        <v>#N/A</v>
      </c>
      <c r="AB11" s="1609" t="e">
        <f t="shared" si="4"/>
        <v>#N/A</v>
      </c>
      <c r="AC11" s="1609" t="e">
        <f t="shared" si="5"/>
        <v>#N/A</v>
      </c>
    </row>
    <row r="12" spans="1:29" s="1610" customFormat="1" ht="15">
      <c r="A12" s="1631"/>
      <c r="B12" s="1632">
        <v>111</v>
      </c>
      <c r="C12" s="1633"/>
      <c r="D12" s="1634">
        <v>100</v>
      </c>
      <c r="E12" s="1633"/>
      <c r="F12" s="1623">
        <f>SUMIF(71:71,E12,72:72)-SUMIF(71:71,C12,72:72)+100</f>
        <v>100</v>
      </c>
      <c r="G12" s="2406"/>
      <c r="H12" s="1623">
        <f>SUMIF(71:71,G12,72:72)-SUMIF(71:71,C12,72:72)+100</f>
        <v>100</v>
      </c>
      <c r="I12" s="1633"/>
      <c r="J12" s="1623">
        <f>SUMIF(71:71,I12,72:72)-SUMIF(71:71,C12,72:72)+100</f>
        <v>100</v>
      </c>
      <c r="K12" s="1915"/>
      <c r="L12" s="2911"/>
      <c r="M12" s="2884"/>
      <c r="N12" s="2884"/>
      <c r="O12" s="2884"/>
      <c r="P12" s="3633"/>
      <c r="Q12" s="2829">
        <f t="shared" si="6"/>
        <v>111</v>
      </c>
      <c r="R12" s="1606" t="s">
        <v>25</v>
      </c>
      <c r="S12" s="1607">
        <f t="shared" si="0"/>
        <v>100</v>
      </c>
      <c r="T12" s="1606" t="s">
        <v>25</v>
      </c>
      <c r="U12" s="1607">
        <f t="shared" si="1"/>
        <v>100</v>
      </c>
      <c r="V12" s="1606" t="s">
        <v>25</v>
      </c>
      <c r="W12" s="1607">
        <f t="shared" si="2"/>
        <v>100</v>
      </c>
      <c r="X12" s="1608"/>
      <c r="Y12" s="3497"/>
      <c r="Z12" s="1619">
        <f t="shared" si="7"/>
        <v>111</v>
      </c>
      <c r="AA12" s="1609">
        <f>D12/F12</f>
        <v>1</v>
      </c>
      <c r="AB12" s="1609">
        <f>D12/H12</f>
        <v>1</v>
      </c>
      <c r="AC12" s="1609">
        <f>D12/J12</f>
        <v>1</v>
      </c>
    </row>
    <row r="13" spans="1:29" ht="15">
      <c r="A13" s="1628"/>
      <c r="B13" s="1632">
        <v>111</v>
      </c>
      <c r="C13" s="1636"/>
      <c r="D13" s="1637">
        <v>100</v>
      </c>
      <c r="E13" s="1633"/>
      <c r="F13" s="1623">
        <f>SUMIF(73:73,E13,74:74)-SUMIF(73:73,C13,74:74)+100</f>
        <v>100</v>
      </c>
      <c r="G13" s="2406"/>
      <c r="H13" s="1637">
        <f>SUMIF(73:73,G13,74:74)-SUMIF(73:73,C13,74:74)+100</f>
        <v>100</v>
      </c>
      <c r="I13" s="1633"/>
      <c r="J13" s="1637">
        <f>SUMIF(73:73,I13,74:74)-SUMIF(73:73,C13,74:74)+100</f>
        <v>100</v>
      </c>
      <c r="K13" s="1915"/>
      <c r="L13" s="2916"/>
      <c r="M13" s="2912"/>
      <c r="N13" s="2912"/>
      <c r="O13" s="2912"/>
      <c r="P13" s="3633"/>
      <c r="Q13" s="2829">
        <f t="shared" si="6"/>
        <v>111</v>
      </c>
      <c r="R13" s="1606" t="s">
        <v>25</v>
      </c>
      <c r="S13" s="1607">
        <f t="shared" si="0"/>
        <v>100</v>
      </c>
      <c r="T13" s="1606" t="s">
        <v>25</v>
      </c>
      <c r="U13" s="1607">
        <f t="shared" si="1"/>
        <v>100</v>
      </c>
      <c r="V13" s="1606" t="s">
        <v>25</v>
      </c>
      <c r="W13" s="1607">
        <f t="shared" si="2"/>
        <v>100</v>
      </c>
      <c r="X13" s="1608"/>
      <c r="Y13" s="3497"/>
      <c r="Z13" s="1619">
        <f t="shared" si="7"/>
        <v>111</v>
      </c>
      <c r="AA13" s="1609">
        <f t="shared" si="3"/>
        <v>1</v>
      </c>
      <c r="AB13" s="1609">
        <f t="shared" si="4"/>
        <v>1</v>
      </c>
      <c r="AC13" s="1609">
        <f t="shared" si="5"/>
        <v>1</v>
      </c>
    </row>
    <row r="14" spans="1:29" ht="15.6" thickBot="1">
      <c r="A14" s="1638"/>
      <c r="B14" s="1639">
        <v>111</v>
      </c>
      <c r="C14" s="1640"/>
      <c r="D14" s="1641">
        <v>100</v>
      </c>
      <c r="E14" s="2407"/>
      <c r="F14" s="1641">
        <f>SUMIF(75:75,E14,76:76)-SUMIF(75:75,C14,76:76)+100</f>
        <v>100</v>
      </c>
      <c r="G14" s="2406"/>
      <c r="H14" s="1641">
        <f>SUMIF(75:75,G14,76:76)-SUMIF(75:75,C14,76:76)+100</f>
        <v>100</v>
      </c>
      <c r="I14" s="1633"/>
      <c r="J14" s="1641">
        <f>SUMIF(75:75,I14,76:76)-SUMIF(75:75,C14,76:76)+100</f>
        <v>100</v>
      </c>
      <c r="K14" s="1915"/>
      <c r="L14" s="2916"/>
      <c r="M14" s="2912"/>
      <c r="N14" s="2912"/>
      <c r="O14" s="2912"/>
      <c r="P14" s="3633"/>
      <c r="Q14" s="2829">
        <f t="shared" si="6"/>
        <v>111</v>
      </c>
      <c r="R14" s="1606" t="s">
        <v>25</v>
      </c>
      <c r="S14" s="1607">
        <f t="shared" si="0"/>
        <v>100</v>
      </c>
      <c r="T14" s="1606" t="s">
        <v>25</v>
      </c>
      <c r="U14" s="1607">
        <f t="shared" si="1"/>
        <v>100</v>
      </c>
      <c r="V14" s="1606" t="s">
        <v>25</v>
      </c>
      <c r="W14" s="1607">
        <f t="shared" si="2"/>
        <v>100</v>
      </c>
      <c r="X14" s="1608"/>
      <c r="Y14" s="3497"/>
      <c r="Z14" s="1619">
        <f t="shared" si="7"/>
        <v>111</v>
      </c>
      <c r="AA14" s="1609">
        <f t="shared" si="3"/>
        <v>1</v>
      </c>
      <c r="AB14" s="1609">
        <f t="shared" si="4"/>
        <v>1</v>
      </c>
      <c r="AC14" s="1609">
        <f t="shared" si="5"/>
        <v>1</v>
      </c>
    </row>
    <row r="15" spans="1:29" ht="82.8">
      <c r="A15" s="1643" t="s">
        <v>2029</v>
      </c>
      <c r="B15" s="2408" t="s">
        <v>2144</v>
      </c>
      <c r="C15" s="1899" t="str">
        <f>估价对象房地状况!C5</f>
        <v>估价对象位于XX商圈，周边办公楼项目较多，入驻率高，办公集聚程度较好</v>
      </c>
      <c r="D15" s="1646">
        <v>100</v>
      </c>
      <c r="E15" s="1649"/>
      <c r="F15" s="1646">
        <f>SUMIF(77:77,E16,78:78)-SUMIF(77:77,C16,78:78)+100</f>
        <v>100</v>
      </c>
      <c r="G15" s="1647"/>
      <c r="H15" s="1646">
        <f>SUMIF(77:77,G16,78:78)-SUMIF(77:77,C16,78:78)+100</f>
        <v>100</v>
      </c>
      <c r="I15" s="1647"/>
      <c r="J15" s="1646">
        <f>SUMIF(77:77,I16,78:78)-SUMIF(77:77,C16,78:78)+100</f>
        <v>100</v>
      </c>
      <c r="K15" s="2388"/>
      <c r="L15" s="2916"/>
      <c r="M15" s="2912"/>
      <c r="N15" s="2912"/>
      <c r="O15" s="2912"/>
      <c r="P15" s="3622" t="s">
        <v>2030</v>
      </c>
      <c r="Q15" s="2830" t="str">
        <f t="shared" si="6"/>
        <v>办公集聚程度</v>
      </c>
      <c r="R15" s="1651" t="s">
        <v>25</v>
      </c>
      <c r="S15" s="1652">
        <f t="shared" si="0"/>
        <v>100</v>
      </c>
      <c r="T15" s="1651" t="s">
        <v>25</v>
      </c>
      <c r="U15" s="1652">
        <f t="shared" si="1"/>
        <v>100</v>
      </c>
      <c r="V15" s="1651" t="s">
        <v>25</v>
      </c>
      <c r="W15" s="1652">
        <f t="shared" si="2"/>
        <v>100</v>
      </c>
      <c r="X15" s="2000"/>
      <c r="Y15" s="3622" t="s">
        <v>2030</v>
      </c>
      <c r="Z15" s="2004" t="str">
        <f t="shared" si="7"/>
        <v>办公集聚程度</v>
      </c>
      <c r="AA15" s="1995">
        <f t="shared" si="3"/>
        <v>1</v>
      </c>
      <c r="AB15" s="1995">
        <f t="shared" si="4"/>
        <v>1</v>
      </c>
      <c r="AC15" s="1995">
        <f t="shared" si="5"/>
        <v>1</v>
      </c>
    </row>
    <row r="16" spans="1:29" ht="15">
      <c r="A16" s="1628"/>
      <c r="B16" s="2409"/>
      <c r="C16" s="1901"/>
      <c r="D16" s="1657"/>
      <c r="E16" s="1656"/>
      <c r="F16" s="1657"/>
      <c r="G16" s="1901"/>
      <c r="H16" s="1661"/>
      <c r="I16" s="1656"/>
      <c r="J16" s="1657"/>
      <c r="K16" s="2389"/>
      <c r="L16" s="2916"/>
      <c r="M16" s="2912"/>
      <c r="N16" s="2912"/>
      <c r="O16" s="2912"/>
      <c r="P16" s="3623"/>
      <c r="Q16" s="2830"/>
      <c r="R16" s="1651"/>
      <c r="S16" s="1652"/>
      <c r="T16" s="1651"/>
      <c r="U16" s="1652"/>
      <c r="V16" s="1651"/>
      <c r="W16" s="1652"/>
      <c r="X16" s="2000"/>
      <c r="Y16" s="3623"/>
      <c r="Z16" s="2004"/>
      <c r="AA16" s="1995">
        <v>1</v>
      </c>
      <c r="AB16" s="1995">
        <v>1</v>
      </c>
      <c r="AC16" s="1995">
        <v>1</v>
      </c>
    </row>
    <row r="17" spans="1:29" ht="96.6">
      <c r="A17" s="1628"/>
      <c r="B17" s="2410" t="s">
        <v>1466</v>
      </c>
      <c r="C17" s="1906" t="str">
        <f>估价对象房地状况!C6</f>
        <v>估价对象周边道路状况、公共交通通达情况、停车便捷程度，综合评价交通便捷度较好</v>
      </c>
      <c r="D17" s="1661">
        <v>100</v>
      </c>
      <c r="E17" s="1667"/>
      <c r="F17" s="1661">
        <f>SUMIF(79:79,E18,80:80)-SUMIF(79:79,C18,80:80)+100</f>
        <v>100</v>
      </c>
      <c r="G17" s="1665"/>
      <c r="H17" s="1668">
        <f>SUMIF(79:79,G18,80:80)-SUMIF(79:79,C18,80:80)+100</f>
        <v>100</v>
      </c>
      <c r="I17" s="1665"/>
      <c r="J17" s="1668">
        <f>SUMIF(79:79,I18,80:80)-SUMIF(79:79,C18,80:80)+100</f>
        <v>100</v>
      </c>
      <c r="K17" s="2388"/>
      <c r="L17" s="2916"/>
      <c r="M17" s="2912"/>
      <c r="N17" s="2912"/>
      <c r="O17" s="2912"/>
      <c r="P17" s="3623"/>
      <c r="Q17" s="2830" t="str">
        <f>B17</f>
        <v>交通便捷度</v>
      </c>
      <c r="R17" s="1651" t="s">
        <v>25</v>
      </c>
      <c r="S17" s="1652">
        <f>F17</f>
        <v>100</v>
      </c>
      <c r="T17" s="1651" t="s">
        <v>25</v>
      </c>
      <c r="U17" s="1652">
        <f>H17</f>
        <v>100</v>
      </c>
      <c r="V17" s="1651" t="s">
        <v>25</v>
      </c>
      <c r="W17" s="1652">
        <f>J17</f>
        <v>100</v>
      </c>
      <c r="X17" s="2000"/>
      <c r="Y17" s="3623"/>
      <c r="Z17" s="2004" t="str">
        <f>Q17</f>
        <v>交通便捷度</v>
      </c>
      <c r="AA17" s="1995">
        <f t="shared" si="3"/>
        <v>1</v>
      </c>
      <c r="AB17" s="1995">
        <f t="shared" si="4"/>
        <v>1</v>
      </c>
      <c r="AC17" s="1995">
        <f t="shared" si="5"/>
        <v>1</v>
      </c>
    </row>
    <row r="18" spans="1:29" ht="15">
      <c r="A18" s="1628"/>
      <c r="B18" s="2411"/>
      <c r="C18" s="1905"/>
      <c r="D18" s="1661"/>
      <c r="E18" s="1672"/>
      <c r="F18" s="1661"/>
      <c r="G18" s="1671"/>
      <c r="H18" s="1657"/>
      <c r="I18" s="1671"/>
      <c r="J18" s="1657"/>
      <c r="K18" s="2389"/>
      <c r="L18" s="2916"/>
      <c r="M18" s="2912"/>
      <c r="N18" s="2912"/>
      <c r="O18" s="2912"/>
      <c r="P18" s="3623"/>
      <c r="Q18" s="2830"/>
      <c r="R18" s="1651"/>
      <c r="S18" s="1652"/>
      <c r="T18" s="1651"/>
      <c r="U18" s="1652"/>
      <c r="V18" s="1651"/>
      <c r="W18" s="1652"/>
      <c r="X18" s="2000"/>
      <c r="Y18" s="3623"/>
      <c r="Z18" s="2004"/>
      <c r="AA18" s="1995">
        <v>1</v>
      </c>
      <c r="AB18" s="1995">
        <v>1</v>
      </c>
      <c r="AC18" s="1995">
        <v>1</v>
      </c>
    </row>
    <row r="19" spans="1:29" ht="41.4">
      <c r="A19" s="1628"/>
      <c r="B19" s="2410" t="s">
        <v>2145</v>
      </c>
      <c r="C19" s="1906" t="str">
        <f>估价对象房地状况!C7</f>
        <v>估价对象所在区域公共配套设施齐备情况</v>
      </c>
      <c r="D19" s="1668">
        <v>100</v>
      </c>
      <c r="E19" s="1675"/>
      <c r="F19" s="1668">
        <f>SUMIF(81:81,E20,82:82)-SUMIF(81:81,C20,82:82)+100</f>
        <v>100</v>
      </c>
      <c r="G19" s="1673"/>
      <c r="H19" s="1661">
        <f>SUMIF(81:81,G20,82:82)-SUMIF(81:81,C20,82:82)+100</f>
        <v>100</v>
      </c>
      <c r="I19" s="1673"/>
      <c r="J19" s="1661">
        <f>SUMIF(81:81,I20,82:82)-SUMIF(81:81,C20,82:82)+100</f>
        <v>100</v>
      </c>
      <c r="K19" s="2388"/>
      <c r="L19" s="2916"/>
      <c r="M19" s="2912"/>
      <c r="N19" s="2912"/>
      <c r="O19" s="2912"/>
      <c r="P19" s="3623"/>
      <c r="Q19" s="2830" t="str">
        <f>B19</f>
        <v>公共配套设施</v>
      </c>
      <c r="R19" s="1651" t="s">
        <v>25</v>
      </c>
      <c r="S19" s="1652">
        <f>F19</f>
        <v>100</v>
      </c>
      <c r="T19" s="1651" t="s">
        <v>25</v>
      </c>
      <c r="U19" s="1652">
        <f>H19</f>
        <v>100</v>
      </c>
      <c r="V19" s="1651" t="s">
        <v>25</v>
      </c>
      <c r="W19" s="1652">
        <f>J19</f>
        <v>100</v>
      </c>
      <c r="X19" s="2000"/>
      <c r="Y19" s="3623"/>
      <c r="Z19" s="2004" t="str">
        <f>Q19</f>
        <v>公共配套设施</v>
      </c>
      <c r="AA19" s="1995">
        <f t="shared" si="3"/>
        <v>1</v>
      </c>
      <c r="AB19" s="1995">
        <f t="shared" si="4"/>
        <v>1</v>
      </c>
      <c r="AC19" s="1995">
        <f t="shared" si="5"/>
        <v>1</v>
      </c>
    </row>
    <row r="20" spans="1:29" ht="15">
      <c r="A20" s="1628"/>
      <c r="B20" s="2411"/>
      <c r="C20" s="1901"/>
      <c r="D20" s="1657"/>
      <c r="E20" s="1660"/>
      <c r="F20" s="1657"/>
      <c r="G20" s="1658"/>
      <c r="H20" s="1657"/>
      <c r="I20" s="1658"/>
      <c r="J20" s="1657"/>
      <c r="K20" s="2389"/>
      <c r="L20" s="2916"/>
      <c r="M20" s="2912"/>
      <c r="N20" s="2912"/>
      <c r="O20" s="2912"/>
      <c r="P20" s="3623"/>
      <c r="Q20" s="2830"/>
      <c r="R20" s="1651"/>
      <c r="S20" s="1652"/>
      <c r="T20" s="1651"/>
      <c r="U20" s="1652"/>
      <c r="V20" s="1651"/>
      <c r="W20" s="1652"/>
      <c r="X20" s="2000"/>
      <c r="Y20" s="3623"/>
      <c r="Z20" s="2004"/>
      <c r="AA20" s="1995">
        <v>1</v>
      </c>
      <c r="AB20" s="1995">
        <v>1</v>
      </c>
      <c r="AC20" s="1995">
        <v>1</v>
      </c>
    </row>
    <row r="21" spans="1:29" ht="41.4">
      <c r="A21" s="1628"/>
      <c r="B21" s="2412" t="s">
        <v>2146</v>
      </c>
      <c r="C21" s="1906" t="str">
        <f>估价对象房地状况!C8</f>
        <v>估价对象所在区域基础设施水平</v>
      </c>
      <c r="D21" s="1668">
        <v>100</v>
      </c>
      <c r="E21" s="1675"/>
      <c r="F21" s="1668">
        <f>SUMIF(83:83,E22,84:84)-SUMIF(83:83,C22,84:84)+100</f>
        <v>100</v>
      </c>
      <c r="G21" s="1673"/>
      <c r="H21" s="1661">
        <f>SUMIF(83:83,G22,84:84)-SUMIF(83:83,C22,84:84)+100</f>
        <v>100</v>
      </c>
      <c r="I21" s="1673"/>
      <c r="J21" s="1661">
        <f>SUMIF(83:83,I22,84:84)-SUMIF(83:83,C22,84:84)+100</f>
        <v>100</v>
      </c>
      <c r="K21" s="2388"/>
      <c r="L21" s="2916"/>
      <c r="M21" s="2912"/>
      <c r="N21" s="2912"/>
      <c r="O21" s="2912"/>
      <c r="P21" s="3623"/>
      <c r="Q21" s="2830" t="str">
        <f>B21</f>
        <v>基础设施水平</v>
      </c>
      <c r="R21" s="1651" t="s">
        <v>25</v>
      </c>
      <c r="S21" s="1652">
        <f>F21</f>
        <v>100</v>
      </c>
      <c r="T21" s="1651" t="s">
        <v>25</v>
      </c>
      <c r="U21" s="1652">
        <f>H21</f>
        <v>100</v>
      </c>
      <c r="V21" s="1651" t="s">
        <v>25</v>
      </c>
      <c r="W21" s="1652">
        <f>J21</f>
        <v>100</v>
      </c>
      <c r="X21" s="2000"/>
      <c r="Y21" s="3623"/>
      <c r="Z21" s="2004" t="str">
        <f>Q21</f>
        <v>基础设施水平</v>
      </c>
      <c r="AA21" s="1995">
        <f t="shared" ref="AA21" si="8">D21/F21</f>
        <v>1</v>
      </c>
      <c r="AB21" s="1995">
        <f t="shared" ref="AB21" si="9">D21/H21</f>
        <v>1</v>
      </c>
      <c r="AC21" s="1995">
        <f t="shared" ref="AC21" si="10">D21/J21</f>
        <v>1</v>
      </c>
    </row>
    <row r="22" spans="1:29" ht="15">
      <c r="A22" s="1628"/>
      <c r="B22" s="2412"/>
      <c r="C22" s="1905"/>
      <c r="D22" s="1657"/>
      <c r="E22" s="1656"/>
      <c r="F22" s="1657"/>
      <c r="G22" s="1901"/>
      <c r="H22" s="1657"/>
      <c r="I22" s="1901"/>
      <c r="J22" s="1657"/>
      <c r="K22" s="2390"/>
      <c r="L22" s="2916"/>
      <c r="M22" s="2912"/>
      <c r="N22" s="2912"/>
      <c r="O22" s="2912"/>
      <c r="P22" s="3623"/>
      <c r="Q22" s="2830"/>
      <c r="R22" s="1651"/>
      <c r="S22" s="1652"/>
      <c r="T22" s="1651"/>
      <c r="U22" s="1652"/>
      <c r="V22" s="1651"/>
      <c r="W22" s="1652"/>
      <c r="X22" s="2000"/>
      <c r="Y22" s="3623"/>
      <c r="Z22" s="2004"/>
      <c r="AA22" s="1995">
        <v>1</v>
      </c>
      <c r="AB22" s="1995">
        <v>1</v>
      </c>
      <c r="AC22" s="1995">
        <v>1</v>
      </c>
    </row>
    <row r="23" spans="1:29" ht="55.2">
      <c r="A23" s="1628"/>
      <c r="B23" s="2410" t="s">
        <v>2147</v>
      </c>
      <c r="C23" s="1906" t="str">
        <f>估价对象房地状况!C9</f>
        <v>区域自然环境：；人文环境；综合评价环境状况一般</v>
      </c>
      <c r="D23" s="1661">
        <v>100</v>
      </c>
      <c r="E23" s="1667"/>
      <c r="F23" s="1661">
        <f>SUMIF(85:85,E24,86:86)-SUMIF(85:85,C24,86:86)+100</f>
        <v>100</v>
      </c>
      <c r="G23" s="1665"/>
      <c r="H23" s="1661">
        <f>SUMIF(85:85,G24,86:86)-SUMIF(85:85,C24,86:86)+100</f>
        <v>100</v>
      </c>
      <c r="I23" s="1665"/>
      <c r="J23" s="1661">
        <f>SUMIF(85:85,I24,86:86)-SUMIF(85:85,C24,86:86)+100</f>
        <v>100</v>
      </c>
      <c r="K23" s="2388"/>
      <c r="L23" s="2916"/>
      <c r="M23" s="2912"/>
      <c r="N23" s="2912"/>
      <c r="O23" s="2912"/>
      <c r="P23" s="3623"/>
      <c r="Q23" s="2830" t="str">
        <f>B23</f>
        <v>环境质量</v>
      </c>
      <c r="R23" s="1651" t="s">
        <v>25</v>
      </c>
      <c r="S23" s="1652">
        <f>F23</f>
        <v>100</v>
      </c>
      <c r="T23" s="1651" t="s">
        <v>25</v>
      </c>
      <c r="U23" s="1652">
        <f>H23</f>
        <v>100</v>
      </c>
      <c r="V23" s="1651" t="s">
        <v>25</v>
      </c>
      <c r="W23" s="1652">
        <f>J23</f>
        <v>100</v>
      </c>
      <c r="X23" s="2000"/>
      <c r="Y23" s="3623"/>
      <c r="Z23" s="2004" t="str">
        <f>Q23</f>
        <v>环境质量</v>
      </c>
      <c r="AA23" s="1995">
        <f t="shared" si="3"/>
        <v>1</v>
      </c>
      <c r="AB23" s="1995">
        <f t="shared" si="4"/>
        <v>1</v>
      </c>
      <c r="AC23" s="1995">
        <f t="shared" si="5"/>
        <v>1</v>
      </c>
    </row>
    <row r="24" spans="1:29" ht="15">
      <c r="A24" s="1628"/>
      <c r="B24" s="2412"/>
      <c r="C24" s="1901"/>
      <c r="D24" s="1657"/>
      <c r="E24" s="1660"/>
      <c r="F24" s="1657"/>
      <c r="G24" s="1658"/>
      <c r="H24" s="1657"/>
      <c r="I24" s="1658"/>
      <c r="J24" s="1657"/>
      <c r="K24" s="2389"/>
      <c r="L24" s="2916"/>
      <c r="M24" s="2912"/>
      <c r="N24" s="2912"/>
      <c r="O24" s="2912"/>
      <c r="P24" s="3623"/>
      <c r="Q24" s="2830"/>
      <c r="R24" s="1651"/>
      <c r="S24" s="1652"/>
      <c r="T24" s="1651"/>
      <c r="U24" s="1652"/>
      <c r="V24" s="1651"/>
      <c r="W24" s="1652"/>
      <c r="X24" s="2000"/>
      <c r="Y24" s="3623"/>
      <c r="Z24" s="2004"/>
      <c r="AA24" s="1995">
        <v>1</v>
      </c>
      <c r="AB24" s="1995">
        <v>1</v>
      </c>
      <c r="AC24" s="1995">
        <v>1</v>
      </c>
    </row>
    <row r="25" spans="1:29" ht="28.8">
      <c r="A25" s="1593"/>
      <c r="B25" s="2410" t="s">
        <v>2148</v>
      </c>
      <c r="C25" s="2413"/>
      <c r="D25" s="1637">
        <v>100</v>
      </c>
      <c r="E25" s="1636"/>
      <c r="F25" s="1637">
        <f>SUMIF(87:87,E26,88:88)-SUMIF(87:87,C26,88:88)+100</f>
        <v>100</v>
      </c>
      <c r="G25" s="2413"/>
      <c r="H25" s="1637">
        <f>SUMIF(87:87,G26,88:88)-SUMIF(87:87,C26,88:88)+100</f>
        <v>100</v>
      </c>
      <c r="I25" s="1636"/>
      <c r="J25" s="1637">
        <f>SUMIF(87:87,I26,88:88)-SUMIF(87:87,C26,88:88)+100</f>
        <v>100</v>
      </c>
      <c r="K25" s="2388"/>
      <c r="L25" s="2916"/>
      <c r="M25" s="2912"/>
      <c r="N25" s="2912"/>
      <c r="O25" s="2912"/>
      <c r="P25" s="3623"/>
      <c r="Q25" s="2830" t="str">
        <f>B25</f>
        <v>毗邻道路的类型与等级</v>
      </c>
      <c r="R25" s="1651" t="s">
        <v>25</v>
      </c>
      <c r="S25" s="1652">
        <f>F25</f>
        <v>100</v>
      </c>
      <c r="T25" s="1651" t="s">
        <v>25</v>
      </c>
      <c r="U25" s="1652">
        <f>H25</f>
        <v>100</v>
      </c>
      <c r="V25" s="1651" t="s">
        <v>25</v>
      </c>
      <c r="W25" s="1652">
        <f>J25</f>
        <v>100</v>
      </c>
      <c r="X25" s="2000"/>
      <c r="Y25" s="3623"/>
      <c r="Z25" s="2004" t="str">
        <f>Q25</f>
        <v>毗邻道路的类型与等级</v>
      </c>
      <c r="AA25" s="1995">
        <f t="shared" si="3"/>
        <v>1</v>
      </c>
      <c r="AB25" s="1995">
        <f t="shared" si="4"/>
        <v>1</v>
      </c>
      <c r="AC25" s="1995">
        <f t="shared" si="5"/>
        <v>1</v>
      </c>
    </row>
    <row r="26" spans="1:29" ht="15">
      <c r="A26" s="1593"/>
      <c r="B26" s="2411"/>
      <c r="C26" s="1909"/>
      <c r="D26" s="1637"/>
      <c r="E26" s="1917"/>
      <c r="F26" s="1637"/>
      <c r="G26" s="1909"/>
      <c r="H26" s="1637"/>
      <c r="I26" s="1917"/>
      <c r="J26" s="1637"/>
      <c r="K26" s="2389"/>
      <c r="L26" s="2916"/>
      <c r="M26" s="2912"/>
      <c r="N26" s="2912"/>
      <c r="O26" s="2912"/>
      <c r="P26" s="3623"/>
      <c r="Q26" s="2830"/>
      <c r="R26" s="1651"/>
      <c r="S26" s="1652"/>
      <c r="T26" s="1651"/>
      <c r="U26" s="1652"/>
      <c r="V26" s="1651"/>
      <c r="W26" s="1652"/>
      <c r="X26" s="2000"/>
      <c r="Y26" s="3623"/>
      <c r="Z26" s="2004"/>
      <c r="AA26" s="1995">
        <v>1</v>
      </c>
      <c r="AB26" s="1995">
        <v>1</v>
      </c>
      <c r="AC26" s="1995">
        <v>1</v>
      </c>
    </row>
    <row r="27" spans="1:29" ht="15">
      <c r="A27" s="1628"/>
      <c r="B27" s="2411" t="s">
        <v>2121</v>
      </c>
      <c r="C27" s="1909"/>
      <c r="D27" s="1637">
        <v>100</v>
      </c>
      <c r="E27" s="1917"/>
      <c r="F27" s="1637">
        <f>SUMIF(89:89,E27,90:90)-SUMIF(89:89,C27,90:90)+100</f>
        <v>100</v>
      </c>
      <c r="G27" s="1909"/>
      <c r="H27" s="1637">
        <f>SUMIF(89:89,G27,90:90)-SUMIF(89:89,C27,90:90)+100</f>
        <v>100</v>
      </c>
      <c r="I27" s="1917"/>
      <c r="J27" s="1637">
        <f>SUMIF(89:89,I27,90:90)-SUMIF(89:89,C27,90:90)+100</f>
        <v>100</v>
      </c>
      <c r="K27" s="1918"/>
      <c r="L27" s="2916"/>
      <c r="M27" s="2912"/>
      <c r="N27" s="2912"/>
      <c r="O27" s="2912"/>
      <c r="P27" s="3623"/>
      <c r="Q27" s="2830" t="str">
        <f t="shared" ref="Q27:Q47" si="11">B27</f>
        <v>楼层</v>
      </c>
      <c r="R27" s="1651" t="s">
        <v>25</v>
      </c>
      <c r="S27" s="1652">
        <f>F27</f>
        <v>100</v>
      </c>
      <c r="T27" s="1651" t="s">
        <v>25</v>
      </c>
      <c r="U27" s="1652">
        <f>H27</f>
        <v>100</v>
      </c>
      <c r="V27" s="1651" t="s">
        <v>25</v>
      </c>
      <c r="W27" s="1652">
        <f>J27</f>
        <v>100</v>
      </c>
      <c r="X27" s="2000"/>
      <c r="Y27" s="3623"/>
      <c r="Z27" s="2004" t="str">
        <f>Q27</f>
        <v>楼层</v>
      </c>
      <c r="AA27" s="1995">
        <f t="shared" si="3"/>
        <v>1</v>
      </c>
      <c r="AB27" s="1995">
        <f t="shared" si="4"/>
        <v>1</v>
      </c>
      <c r="AC27" s="1995">
        <f t="shared" si="5"/>
        <v>1</v>
      </c>
    </row>
    <row r="28" spans="1:29" s="1610" customFormat="1" ht="15">
      <c r="A28" s="1631"/>
      <c r="B28" s="2410" t="s">
        <v>2149</v>
      </c>
      <c r="C28" s="2414"/>
      <c r="D28" s="1682">
        <v>100</v>
      </c>
      <c r="E28" s="2392"/>
      <c r="F28" s="1682">
        <f>SUMIF(91:91,E28,92:92)-SUMIF(91:91,C28,92:92)+100</f>
        <v>100</v>
      </c>
      <c r="G28" s="2414"/>
      <c r="H28" s="1682">
        <f>SUMIF(91:91,G28,92:92)-SUMIF(91:91,C28,92:92)+100</f>
        <v>100</v>
      </c>
      <c r="I28" s="2392"/>
      <c r="J28" s="1682">
        <f>SUMIF(91:91,I28,92:92)-SUMIF(91:91,C28,92:92)+100</f>
        <v>100</v>
      </c>
      <c r="K28" s="1918"/>
      <c r="L28" s="2911"/>
      <c r="M28" s="2884"/>
      <c r="N28" s="2884"/>
      <c r="O28" s="2884"/>
      <c r="P28" s="3623"/>
      <c r="Q28" s="2829" t="str">
        <f t="shared" si="11"/>
        <v>朝向</v>
      </c>
      <c r="R28" s="1606" t="s">
        <v>25</v>
      </c>
      <c r="S28" s="1607">
        <f>F28</f>
        <v>100</v>
      </c>
      <c r="T28" s="1606" t="s">
        <v>25</v>
      </c>
      <c r="U28" s="1607">
        <f>H28</f>
        <v>100</v>
      </c>
      <c r="V28" s="1606" t="s">
        <v>25</v>
      </c>
      <c r="W28" s="1607">
        <f>J28</f>
        <v>100</v>
      </c>
      <c r="X28" s="1608"/>
      <c r="Y28" s="3623"/>
      <c r="Z28" s="1619" t="str">
        <f>Q28</f>
        <v>朝向</v>
      </c>
      <c r="AA28" s="1995">
        <f>D28/F28</f>
        <v>1</v>
      </c>
      <c r="AB28" s="1995">
        <f>D28/H28</f>
        <v>1</v>
      </c>
      <c r="AC28" s="1995">
        <f>D28/J28</f>
        <v>1</v>
      </c>
    </row>
    <row r="29" spans="1:29" ht="15">
      <c r="A29" s="1628"/>
      <c r="B29" s="2415">
        <v>111</v>
      </c>
      <c r="C29" s="2413"/>
      <c r="D29" s="1637">
        <v>100</v>
      </c>
      <c r="E29" s="1633"/>
      <c r="F29" s="1637">
        <f>SUMIF(93:93,E29,94:94)-SUMIF(93:93,C29,94:94)+100</f>
        <v>100</v>
      </c>
      <c r="G29" s="2406"/>
      <c r="H29" s="1637">
        <f>SUMIF(93:93,G29,94:94)-SUMIF(93:93,C29,94:94)+100</f>
        <v>100</v>
      </c>
      <c r="I29" s="1633"/>
      <c r="J29" s="1637">
        <f>SUMIF(93:93,I29,94:94)-SUMIF(93:93,C29,94:94)+100</f>
        <v>100</v>
      </c>
      <c r="K29" s="1915"/>
      <c r="L29" s="2916"/>
      <c r="M29" s="2912"/>
      <c r="N29" s="2912"/>
      <c r="O29" s="2912"/>
      <c r="P29" s="3623"/>
      <c r="Q29" s="2830">
        <f t="shared" si="11"/>
        <v>111</v>
      </c>
      <c r="R29" s="1651" t="s">
        <v>25</v>
      </c>
      <c r="S29" s="1652">
        <f t="shared" ref="S29:S47" si="12">F29</f>
        <v>100</v>
      </c>
      <c r="T29" s="1651" t="s">
        <v>25</v>
      </c>
      <c r="U29" s="1652">
        <f t="shared" ref="U29:U47" si="13">H29</f>
        <v>100</v>
      </c>
      <c r="V29" s="1651" t="s">
        <v>25</v>
      </c>
      <c r="W29" s="1652">
        <f t="shared" ref="W29:W47" si="14">J29</f>
        <v>100</v>
      </c>
      <c r="X29" s="2000"/>
      <c r="Y29" s="3623"/>
      <c r="Z29" s="2004">
        <f t="shared" ref="Z29:Z47" si="15">Q29</f>
        <v>111</v>
      </c>
      <c r="AA29" s="1995">
        <f t="shared" si="3"/>
        <v>1</v>
      </c>
      <c r="AB29" s="1995">
        <f t="shared" si="4"/>
        <v>1</v>
      </c>
      <c r="AC29" s="1995">
        <f t="shared" si="5"/>
        <v>1</v>
      </c>
    </row>
    <row r="30" spans="1:29" ht="15">
      <c r="A30" s="1628"/>
      <c r="B30" s="2415">
        <v>111</v>
      </c>
      <c r="C30" s="2413"/>
      <c r="D30" s="1637">
        <v>100</v>
      </c>
      <c r="E30" s="1633"/>
      <c r="F30" s="1637">
        <f>SUMIF(95:95,E30,96:96)-SUMIF(95:95,C30,96:96)+100</f>
        <v>100</v>
      </c>
      <c r="G30" s="2406"/>
      <c r="H30" s="1637">
        <f>SUMIF(95:95,G30,96:96)-SUMIF(95:95,C30,96:96)+100</f>
        <v>100</v>
      </c>
      <c r="I30" s="1633"/>
      <c r="J30" s="1637">
        <f>SUMIF(95:95,I30,96:96)-SUMIF(95:95,C30,96:96)+100</f>
        <v>100</v>
      </c>
      <c r="K30" s="1915"/>
      <c r="L30" s="2916"/>
      <c r="M30" s="2912"/>
      <c r="N30" s="2912"/>
      <c r="O30" s="2912"/>
      <c r="P30" s="3623"/>
      <c r="Q30" s="2830">
        <f t="shared" si="11"/>
        <v>111</v>
      </c>
      <c r="R30" s="1651" t="s">
        <v>25</v>
      </c>
      <c r="S30" s="1652">
        <f t="shared" si="12"/>
        <v>100</v>
      </c>
      <c r="T30" s="1651" t="s">
        <v>25</v>
      </c>
      <c r="U30" s="1652">
        <f t="shared" si="13"/>
        <v>100</v>
      </c>
      <c r="V30" s="1651" t="s">
        <v>25</v>
      </c>
      <c r="W30" s="1652">
        <f t="shared" si="14"/>
        <v>100</v>
      </c>
      <c r="X30" s="2000"/>
      <c r="Y30" s="3623"/>
      <c r="Z30" s="2004">
        <f t="shared" si="15"/>
        <v>111</v>
      </c>
      <c r="AA30" s="1995">
        <f t="shared" si="3"/>
        <v>1</v>
      </c>
      <c r="AB30" s="1995">
        <f t="shared" si="4"/>
        <v>1</v>
      </c>
      <c r="AC30" s="1995">
        <f t="shared" si="5"/>
        <v>1</v>
      </c>
    </row>
    <row r="31" spans="1:29" ht="15">
      <c r="A31" s="1628"/>
      <c r="B31" s="2415">
        <v>111</v>
      </c>
      <c r="C31" s="2413"/>
      <c r="D31" s="1637">
        <v>100</v>
      </c>
      <c r="E31" s="1633"/>
      <c r="F31" s="1637">
        <f>SUMIF(97:97,E31,98:98)-SUMIF(97:97,C31,98:98)+100</f>
        <v>100</v>
      </c>
      <c r="G31" s="2406"/>
      <c r="H31" s="1637">
        <f>SUMIF(97:97,G31,98:98)-SUMIF(97:97,C31,98:98)+100</f>
        <v>100</v>
      </c>
      <c r="I31" s="1633"/>
      <c r="J31" s="1637">
        <f>SUMIF(97:97,I31,98:98)-SUMIF(97:97,C31,98:98)+100</f>
        <v>100</v>
      </c>
      <c r="K31" s="1915"/>
      <c r="L31" s="2916"/>
      <c r="M31" s="2912"/>
      <c r="N31" s="2912"/>
      <c r="O31" s="2912"/>
      <c r="P31" s="3623"/>
      <c r="Q31" s="2830">
        <f t="shared" si="11"/>
        <v>111</v>
      </c>
      <c r="R31" s="1651" t="s">
        <v>25</v>
      </c>
      <c r="S31" s="1652">
        <f t="shared" si="12"/>
        <v>100</v>
      </c>
      <c r="T31" s="1651" t="s">
        <v>25</v>
      </c>
      <c r="U31" s="1652">
        <f t="shared" si="13"/>
        <v>100</v>
      </c>
      <c r="V31" s="1651" t="s">
        <v>25</v>
      </c>
      <c r="W31" s="1652">
        <f t="shared" si="14"/>
        <v>100</v>
      </c>
      <c r="X31" s="2000"/>
      <c r="Y31" s="3623"/>
      <c r="Z31" s="2004">
        <f t="shared" si="15"/>
        <v>111</v>
      </c>
      <c r="AA31" s="1995">
        <f t="shared" si="3"/>
        <v>1</v>
      </c>
      <c r="AB31" s="1995">
        <f t="shared" si="4"/>
        <v>1</v>
      </c>
      <c r="AC31" s="1995">
        <f t="shared" si="5"/>
        <v>1</v>
      </c>
    </row>
    <row r="32" spans="1:29" ht="15.6" thickBot="1">
      <c r="A32" s="1638"/>
      <c r="B32" s="2416">
        <v>111</v>
      </c>
      <c r="C32" s="2417"/>
      <c r="D32" s="1641">
        <v>100</v>
      </c>
      <c r="E32" s="2407"/>
      <c r="F32" s="1641">
        <f>SUMIF(99:99,E32,100:100)-SUMIF(99:99,C32,100:100)+100</f>
        <v>100</v>
      </c>
      <c r="G32" s="2406"/>
      <c r="H32" s="1641">
        <f>SUMIF(99:99,G32,100:100)-SUMIF(99:99,C32,100:100)+100</f>
        <v>100</v>
      </c>
      <c r="I32" s="1633"/>
      <c r="J32" s="1641">
        <f>SUMIF(99:99,I32,100:100)-SUMIF(99:99,C32,100:100)+100</f>
        <v>100</v>
      </c>
      <c r="K32" s="1915"/>
      <c r="L32" s="2916"/>
      <c r="M32" s="2912"/>
      <c r="N32" s="2912"/>
      <c r="O32" s="2912"/>
      <c r="P32" s="3623"/>
      <c r="Q32" s="2830">
        <f t="shared" si="11"/>
        <v>111</v>
      </c>
      <c r="R32" s="1651" t="s">
        <v>25</v>
      </c>
      <c r="S32" s="1652">
        <f t="shared" si="12"/>
        <v>100</v>
      </c>
      <c r="T32" s="1651" t="s">
        <v>25</v>
      </c>
      <c r="U32" s="1652">
        <f t="shared" si="13"/>
        <v>100</v>
      </c>
      <c r="V32" s="1651" t="s">
        <v>25</v>
      </c>
      <c r="W32" s="1652">
        <f t="shared" si="14"/>
        <v>100</v>
      </c>
      <c r="X32" s="2000"/>
      <c r="Y32" s="3623"/>
      <c r="Z32" s="2004">
        <f t="shared" si="15"/>
        <v>111</v>
      </c>
      <c r="AA32" s="1995">
        <f t="shared" si="3"/>
        <v>1</v>
      </c>
      <c r="AB32" s="1995">
        <f t="shared" si="4"/>
        <v>1</v>
      </c>
      <c r="AC32" s="1995">
        <f t="shared" si="5"/>
        <v>1</v>
      </c>
    </row>
    <row r="33" spans="1:29" ht="15">
      <c r="A33" s="1643" t="s">
        <v>2034</v>
      </c>
      <c r="B33" s="1613" t="s">
        <v>2150</v>
      </c>
      <c r="C33" s="2418"/>
      <c r="D33" s="1688">
        <v>100</v>
      </c>
      <c r="E33" s="2418"/>
      <c r="F33" s="1680">
        <f>SUMIF(101:101,E33,102:102)-SUMIF(101:101,C33,102:102)+100</f>
        <v>100</v>
      </c>
      <c r="G33" s="2418"/>
      <c r="H33" s="1637">
        <f>SUMIF(101:101,G33,102:102)-SUMIF(101:101,C33,102:102)+100</f>
        <v>100</v>
      </c>
      <c r="I33" s="2418"/>
      <c r="J33" s="1688">
        <f>SUMIF(101:101,I33,102:102)-SUMIF(101:101,C33,102:102)+100</f>
        <v>100</v>
      </c>
      <c r="K33" s="1918"/>
      <c r="L33" s="2916"/>
      <c r="M33" s="2912"/>
      <c r="N33" s="2912"/>
      <c r="O33" s="2912"/>
      <c r="P33" s="3644" t="s">
        <v>2036</v>
      </c>
      <c r="Q33" s="2830" t="str">
        <f t="shared" si="11"/>
        <v>建筑类型</v>
      </c>
      <c r="R33" s="1651" t="s">
        <v>25</v>
      </c>
      <c r="S33" s="1652">
        <f t="shared" si="12"/>
        <v>100</v>
      </c>
      <c r="T33" s="1651" t="s">
        <v>25</v>
      </c>
      <c r="U33" s="1652">
        <f t="shared" si="13"/>
        <v>100</v>
      </c>
      <c r="V33" s="1651" t="s">
        <v>25</v>
      </c>
      <c r="W33" s="1652">
        <f t="shared" si="14"/>
        <v>100</v>
      </c>
      <c r="X33" s="2000"/>
      <c r="Y33" s="3627" t="s">
        <v>2036</v>
      </c>
      <c r="Z33" s="2004" t="str">
        <f t="shared" si="15"/>
        <v>建筑类型</v>
      </c>
      <c r="AA33" s="1995">
        <f t="shared" si="3"/>
        <v>1</v>
      </c>
      <c r="AB33" s="1995">
        <f t="shared" si="4"/>
        <v>1</v>
      </c>
      <c r="AC33" s="1995">
        <f t="shared" si="5"/>
        <v>1</v>
      </c>
    </row>
    <row r="34" spans="1:29" s="1697" customFormat="1" ht="15">
      <c r="A34" s="1690"/>
      <c r="B34" s="1621" t="s">
        <v>2037</v>
      </c>
      <c r="C34" s="1691"/>
      <c r="D34" s="1623">
        <v>100</v>
      </c>
      <c r="E34" s="1630"/>
      <c r="F34" s="1625" t="e">
        <f>LOOKUP(E34,104:104,105:105)-LOOKUP(C34,104:104,105:105)+100</f>
        <v>#N/A</v>
      </c>
      <c r="G34" s="1629"/>
      <c r="H34" s="1623" t="e">
        <f>LOOKUP(G34,104:104,105:105)-LOOKUP(C34,104:104,105:105)+100</f>
        <v>#N/A</v>
      </c>
      <c r="I34" s="1629"/>
      <c r="J34" s="1623" t="e">
        <f>LOOKUP(I34,104:104,105:105)-LOOKUP(C34,104:104,105:105)+100</f>
        <v>#N/A</v>
      </c>
      <c r="K34" s="1915"/>
      <c r="L34" s="2915"/>
      <c r="M34" s="1985"/>
      <c r="N34" s="1985"/>
      <c r="O34" s="1985"/>
      <c r="P34" s="3627"/>
      <c r="Q34" s="1692" t="str">
        <f t="shared" si="11"/>
        <v>项目建筑规模</v>
      </c>
      <c r="R34" s="1693" t="s">
        <v>25</v>
      </c>
      <c r="S34" s="1694" t="e">
        <f t="shared" si="12"/>
        <v>#N/A</v>
      </c>
      <c r="T34" s="1693" t="s">
        <v>25</v>
      </c>
      <c r="U34" s="1694" t="e">
        <f t="shared" si="13"/>
        <v>#N/A</v>
      </c>
      <c r="V34" s="1693" t="s">
        <v>25</v>
      </c>
      <c r="W34" s="1694" t="e">
        <f t="shared" si="14"/>
        <v>#N/A</v>
      </c>
      <c r="X34" s="1695"/>
      <c r="Y34" s="3627"/>
      <c r="Z34" s="1696" t="str">
        <f t="shared" si="15"/>
        <v>项目建筑规模</v>
      </c>
      <c r="AA34" s="1995" t="e">
        <f t="shared" si="3"/>
        <v>#N/A</v>
      </c>
      <c r="AB34" s="1995" t="e">
        <f t="shared" si="4"/>
        <v>#N/A</v>
      </c>
      <c r="AC34" s="1995" t="e">
        <f t="shared" si="5"/>
        <v>#N/A</v>
      </c>
    </row>
    <row r="35" spans="1:29" ht="15">
      <c r="A35" s="1698"/>
      <c r="B35" s="1621" t="s">
        <v>2038</v>
      </c>
      <c r="C35" s="1678"/>
      <c r="D35" s="1637">
        <v>100</v>
      </c>
      <c r="E35" s="1678"/>
      <c r="F35" s="1680">
        <f>SUMIF(106:106,E35,107:107)-SUMIF(106:106,C35,107:107)+100</f>
        <v>100</v>
      </c>
      <c r="G35" s="1678"/>
      <c r="H35" s="1637">
        <f>SUMIF(106:106,G35,107:107)-SUMIF(106:106,C35,107:107)+100</f>
        <v>100</v>
      </c>
      <c r="I35" s="1678"/>
      <c r="J35" s="1637">
        <f>SUMIF(106:106,I35,107:107)-SUMIF(106:106,C35,107:107)+100</f>
        <v>100</v>
      </c>
      <c r="K35" s="1918"/>
      <c r="L35" s="2916"/>
      <c r="M35" s="2912"/>
      <c r="N35" s="2912"/>
      <c r="O35" s="2912"/>
      <c r="P35" s="3627"/>
      <c r="Q35" s="2830" t="str">
        <f t="shared" si="11"/>
        <v>建筑结构</v>
      </c>
      <c r="R35" s="1651" t="s">
        <v>25</v>
      </c>
      <c r="S35" s="1652">
        <f t="shared" si="12"/>
        <v>100</v>
      </c>
      <c r="T35" s="1651" t="s">
        <v>25</v>
      </c>
      <c r="U35" s="1652">
        <f t="shared" si="13"/>
        <v>100</v>
      </c>
      <c r="V35" s="1651" t="s">
        <v>25</v>
      </c>
      <c r="W35" s="1652">
        <f t="shared" si="14"/>
        <v>100</v>
      </c>
      <c r="X35" s="2000"/>
      <c r="Y35" s="3627"/>
      <c r="Z35" s="2004" t="str">
        <f t="shared" si="15"/>
        <v>建筑结构</v>
      </c>
      <c r="AA35" s="1995">
        <f t="shared" si="3"/>
        <v>1</v>
      </c>
      <c r="AB35" s="1995">
        <f t="shared" si="4"/>
        <v>1</v>
      </c>
      <c r="AC35" s="1995">
        <f t="shared" si="5"/>
        <v>1</v>
      </c>
    </row>
    <row r="36" spans="1:29" ht="15">
      <c r="A36" s="1698"/>
      <c r="B36" s="1621" t="s">
        <v>2123</v>
      </c>
      <c r="C36" s="1678"/>
      <c r="D36" s="1637">
        <v>100</v>
      </c>
      <c r="E36" s="1678"/>
      <c r="F36" s="1680">
        <f>SUMIF(108:108,E36,109:109)-SUMIF(108:108,C36,109:109)+100</f>
        <v>100</v>
      </c>
      <c r="G36" s="1678"/>
      <c r="H36" s="1637">
        <f>SUMIF(108:108,G36,109:109)-SUMIF(108:108,C36,109:109)+100</f>
        <v>100</v>
      </c>
      <c r="I36" s="1678"/>
      <c r="J36" s="1637">
        <f>SUMIF(108:108,I36,109:109)-SUMIF(108:108,C36,109:109)+100</f>
        <v>100</v>
      </c>
      <c r="K36" s="1918"/>
      <c r="L36" s="2916"/>
      <c r="M36" s="2912"/>
      <c r="N36" s="2912"/>
      <c r="O36" s="2912"/>
      <c r="P36" s="3627"/>
      <c r="Q36" s="2830" t="str">
        <f t="shared" si="11"/>
        <v>公共部分装修</v>
      </c>
      <c r="R36" s="1651" t="s">
        <v>25</v>
      </c>
      <c r="S36" s="1652">
        <f t="shared" si="12"/>
        <v>100</v>
      </c>
      <c r="T36" s="1651" t="s">
        <v>25</v>
      </c>
      <c r="U36" s="1652">
        <f t="shared" si="13"/>
        <v>100</v>
      </c>
      <c r="V36" s="1651" t="s">
        <v>25</v>
      </c>
      <c r="W36" s="1652">
        <f t="shared" si="14"/>
        <v>100</v>
      </c>
      <c r="X36" s="2000"/>
      <c r="Y36" s="3627"/>
      <c r="Z36" s="2004" t="str">
        <f t="shared" si="15"/>
        <v>公共部分装修</v>
      </c>
      <c r="AA36" s="1995">
        <f t="shared" si="3"/>
        <v>1</v>
      </c>
      <c r="AB36" s="1995">
        <f t="shared" si="4"/>
        <v>1</v>
      </c>
      <c r="AC36" s="1995">
        <f t="shared" si="5"/>
        <v>1</v>
      </c>
    </row>
    <row r="37" spans="1:29" ht="15">
      <c r="A37" s="1698"/>
      <c r="B37" s="1621" t="s">
        <v>2124</v>
      </c>
      <c r="C37" s="1702"/>
      <c r="D37" s="1637">
        <v>100</v>
      </c>
      <c r="E37" s="1702"/>
      <c r="F37" s="1680" t="e">
        <f>LOOKUP(E37,111:111,112:112)-LOOKUP(C37,111:111,112:112)+100</f>
        <v>#N/A</v>
      </c>
      <c r="G37" s="1702"/>
      <c r="H37" s="1680" t="e">
        <f>LOOKUP(G37,111:111,112:112)-LOOKUP(C37,111:111,112:112)+100</f>
        <v>#N/A</v>
      </c>
      <c r="I37" s="1702"/>
      <c r="J37" s="1637" t="e">
        <f>LOOKUP(I37,111:111,112:112)-LOOKUP(C37,111:111,112:112)+100</f>
        <v>#N/A</v>
      </c>
      <c r="K37" s="1918"/>
      <c r="L37" s="2916"/>
      <c r="M37" s="2912"/>
      <c r="N37" s="2912"/>
      <c r="O37" s="2912"/>
      <c r="P37" s="3627"/>
      <c r="Q37" s="2830" t="str">
        <f t="shared" si="11"/>
        <v>成新度</v>
      </c>
      <c r="R37" s="1651" t="s">
        <v>25</v>
      </c>
      <c r="S37" s="1652" t="e">
        <f t="shared" si="12"/>
        <v>#N/A</v>
      </c>
      <c r="T37" s="1651" t="s">
        <v>25</v>
      </c>
      <c r="U37" s="1652" t="e">
        <f t="shared" si="13"/>
        <v>#N/A</v>
      </c>
      <c r="V37" s="1651" t="s">
        <v>25</v>
      </c>
      <c r="W37" s="1652" t="e">
        <f t="shared" si="14"/>
        <v>#N/A</v>
      </c>
      <c r="X37" s="2000"/>
      <c r="Y37" s="3627"/>
      <c r="Z37" s="2004" t="str">
        <f t="shared" si="15"/>
        <v>成新度</v>
      </c>
      <c r="AA37" s="1995" t="e">
        <f t="shared" si="3"/>
        <v>#N/A</v>
      </c>
      <c r="AB37" s="1995" t="e">
        <f t="shared" si="4"/>
        <v>#N/A</v>
      </c>
      <c r="AC37" s="1995" t="e">
        <f t="shared" si="5"/>
        <v>#N/A</v>
      </c>
    </row>
    <row r="38" spans="1:29" s="1610" customFormat="1" ht="15">
      <c r="A38" s="1701"/>
      <c r="B38" s="1621" t="s">
        <v>2151</v>
      </c>
      <c r="C38" s="1678"/>
      <c r="D38" s="1623">
        <v>100</v>
      </c>
      <c r="E38" s="1678"/>
      <c r="F38" s="1680">
        <f>SUMIF(113:113,E38,114:114)-SUMIF(113:113,C38,114:114)+100</f>
        <v>100</v>
      </c>
      <c r="G38" s="1678"/>
      <c r="H38" s="1637">
        <f>SUMIF(113:113,G38,114:114)-SUMIF(113:113,C38,114:114)+100</f>
        <v>100</v>
      </c>
      <c r="I38" s="1678"/>
      <c r="J38" s="1637">
        <f>SUMIF(113:113,I38,114:114)-SUMIF(113:113,C38,114:114)+100</f>
        <v>100</v>
      </c>
      <c r="K38" s="1918"/>
      <c r="L38" s="2911"/>
      <c r="M38" s="2884"/>
      <c r="N38" s="2884"/>
      <c r="O38" s="2884"/>
      <c r="P38" s="3627"/>
      <c r="Q38" s="2829" t="str">
        <f t="shared" si="11"/>
        <v>写字楼等级</v>
      </c>
      <c r="R38" s="1606" t="s">
        <v>25</v>
      </c>
      <c r="S38" s="1607">
        <f t="shared" si="12"/>
        <v>100</v>
      </c>
      <c r="T38" s="1606" t="s">
        <v>25</v>
      </c>
      <c r="U38" s="1607">
        <f t="shared" si="13"/>
        <v>100</v>
      </c>
      <c r="V38" s="1606" t="s">
        <v>25</v>
      </c>
      <c r="W38" s="1607">
        <f t="shared" si="14"/>
        <v>100</v>
      </c>
      <c r="X38" s="1608"/>
      <c r="Y38" s="3627"/>
      <c r="Z38" s="1619" t="str">
        <f t="shared" si="15"/>
        <v>写字楼等级</v>
      </c>
      <c r="AA38" s="1609">
        <f t="shared" si="3"/>
        <v>1</v>
      </c>
      <c r="AB38" s="1609">
        <f t="shared" si="4"/>
        <v>1</v>
      </c>
      <c r="AC38" s="1609">
        <f t="shared" si="5"/>
        <v>1</v>
      </c>
    </row>
    <row r="39" spans="1:29" ht="15">
      <c r="A39" s="1698"/>
      <c r="B39" s="1621" t="s">
        <v>2152</v>
      </c>
      <c r="C39" s="1678"/>
      <c r="D39" s="1637">
        <v>100</v>
      </c>
      <c r="E39" s="1678"/>
      <c r="F39" s="1680">
        <f>SUMIF(115:115,E39,116:116)-SUMIF(115:115,C39,116:116)+100</f>
        <v>100</v>
      </c>
      <c r="G39" s="1678"/>
      <c r="H39" s="1637">
        <f>SUMIF(115:115,G39,116:116)-SUMIF(115:115,C39,116:116)+100</f>
        <v>100</v>
      </c>
      <c r="I39" s="1678"/>
      <c r="J39" s="1637">
        <f>SUMIF(115:115,I39,116:116)-SUMIF(115:115,C39,116:116)+100</f>
        <v>100</v>
      </c>
      <c r="K39" s="1918"/>
      <c r="L39" s="2916"/>
      <c r="M39" s="2912"/>
      <c r="N39" s="2912"/>
      <c r="O39" s="2912"/>
      <c r="P39" s="3627" t="s">
        <v>2036</v>
      </c>
      <c r="Q39" s="2830" t="str">
        <f t="shared" si="11"/>
        <v>物业管理</v>
      </c>
      <c r="R39" s="1651" t="s">
        <v>25</v>
      </c>
      <c r="S39" s="1652">
        <f t="shared" si="12"/>
        <v>100</v>
      </c>
      <c r="T39" s="1651" t="s">
        <v>25</v>
      </c>
      <c r="U39" s="1652">
        <f t="shared" si="13"/>
        <v>100</v>
      </c>
      <c r="V39" s="1651" t="s">
        <v>25</v>
      </c>
      <c r="W39" s="1652">
        <f t="shared" si="14"/>
        <v>100</v>
      </c>
      <c r="X39" s="2000"/>
      <c r="Y39" s="3627" t="s">
        <v>2036</v>
      </c>
      <c r="Z39" s="2004" t="str">
        <f t="shared" si="15"/>
        <v>物业管理</v>
      </c>
      <c r="AA39" s="1995">
        <f t="shared" si="3"/>
        <v>1</v>
      </c>
      <c r="AB39" s="1995">
        <f t="shared" si="4"/>
        <v>1</v>
      </c>
      <c r="AC39" s="1995">
        <f t="shared" si="5"/>
        <v>1</v>
      </c>
    </row>
    <row r="40" spans="1:29" ht="15">
      <c r="A40" s="1698"/>
      <c r="B40" s="1621" t="s">
        <v>2125</v>
      </c>
      <c r="C40" s="1678"/>
      <c r="D40" s="1637">
        <v>100</v>
      </c>
      <c r="E40" s="1678"/>
      <c r="F40" s="1680">
        <f>SUMIF(117:117,E40,118:118)-SUMIF(117:117,C40,118:118)+100</f>
        <v>100</v>
      </c>
      <c r="G40" s="1678"/>
      <c r="H40" s="1637">
        <f>SUMIF(117:117,G40,118:118)-SUMIF(117:117,C40,118:118)+100</f>
        <v>100</v>
      </c>
      <c r="I40" s="1678"/>
      <c r="J40" s="1637">
        <f>SUMIF(117:117,I40,118:118)-SUMIF(117:117,C40,118:118)+100</f>
        <v>100</v>
      </c>
      <c r="K40" s="1918"/>
      <c r="L40" s="2916"/>
      <c r="M40" s="2912"/>
      <c r="N40" s="2912"/>
      <c r="O40" s="2912"/>
      <c r="P40" s="3627"/>
      <c r="Q40" s="2830" t="str">
        <f t="shared" si="11"/>
        <v>市政基础设施</v>
      </c>
      <c r="R40" s="1651" t="s">
        <v>25</v>
      </c>
      <c r="S40" s="1652">
        <f t="shared" si="12"/>
        <v>100</v>
      </c>
      <c r="T40" s="1651" t="s">
        <v>25</v>
      </c>
      <c r="U40" s="1652">
        <f t="shared" si="13"/>
        <v>100</v>
      </c>
      <c r="V40" s="1651" t="s">
        <v>25</v>
      </c>
      <c r="W40" s="1652">
        <f t="shared" si="14"/>
        <v>100</v>
      </c>
      <c r="X40" s="2000"/>
      <c r="Y40" s="3627"/>
      <c r="Z40" s="2004" t="str">
        <f t="shared" si="15"/>
        <v>市政基础设施</v>
      </c>
      <c r="AA40" s="1995">
        <f t="shared" si="3"/>
        <v>1</v>
      </c>
      <c r="AB40" s="1995">
        <f t="shared" si="4"/>
        <v>1</v>
      </c>
      <c r="AC40" s="1995">
        <f t="shared" si="5"/>
        <v>1</v>
      </c>
    </row>
    <row r="41" spans="1:29" ht="15">
      <c r="A41" s="1698"/>
      <c r="B41" s="1621" t="s">
        <v>2127</v>
      </c>
      <c r="C41" s="1917"/>
      <c r="D41" s="1637">
        <v>100</v>
      </c>
      <c r="E41" s="1917"/>
      <c r="F41" s="1680">
        <f>SUMIF(119:119,E41,120:120)-SUMIF(119:119,C41,120:120)+100</f>
        <v>100</v>
      </c>
      <c r="G41" s="1917"/>
      <c r="H41" s="1637">
        <f>SUMIF(119:119,G41,120:120)-SUMIF(119:119,C41,120:120)+100</f>
        <v>100</v>
      </c>
      <c r="I41" s="1917"/>
      <c r="J41" s="1637">
        <f>SUMIF(119:119,I41,120:120)-SUMIF(119:119,C41,120:120)+100</f>
        <v>100</v>
      </c>
      <c r="K41" s="1918"/>
      <c r="L41" s="2916"/>
      <c r="M41" s="2912"/>
      <c r="N41" s="2912"/>
      <c r="O41" s="2912"/>
      <c r="P41" s="3627"/>
      <c r="Q41" s="2830" t="str">
        <f t="shared" si="11"/>
        <v>层高</v>
      </c>
      <c r="R41" s="1651" t="s">
        <v>25</v>
      </c>
      <c r="S41" s="1652">
        <f t="shared" si="12"/>
        <v>100</v>
      </c>
      <c r="T41" s="1651" t="s">
        <v>25</v>
      </c>
      <c r="U41" s="1652">
        <f t="shared" si="13"/>
        <v>100</v>
      </c>
      <c r="V41" s="1651" t="s">
        <v>25</v>
      </c>
      <c r="W41" s="1652">
        <f t="shared" si="14"/>
        <v>100</v>
      </c>
      <c r="X41" s="2000"/>
      <c r="Y41" s="3627"/>
      <c r="Z41" s="2004" t="str">
        <f t="shared" si="15"/>
        <v>层高</v>
      </c>
      <c r="AA41" s="1995">
        <f t="shared" si="3"/>
        <v>1</v>
      </c>
      <c r="AB41" s="1995">
        <f t="shared" si="4"/>
        <v>1</v>
      </c>
      <c r="AC41" s="1995">
        <f t="shared" si="5"/>
        <v>1</v>
      </c>
    </row>
    <row r="42" spans="1:29" s="1697" customFormat="1" ht="15">
      <c r="A42" s="1690"/>
      <c r="B42" s="1996" t="s">
        <v>2153</v>
      </c>
      <c r="C42" s="1636"/>
      <c r="D42" s="1637">
        <v>100</v>
      </c>
      <c r="E42" s="1636"/>
      <c r="F42" s="1680">
        <f>SUMIF(121:121,E42,122:122)-SUMIF(121:121,C42,122:122)+100</f>
        <v>100</v>
      </c>
      <c r="G42" s="1636"/>
      <c r="H42" s="1637">
        <f>SUMIF(121:121,G42,122:122)-SUMIF(121:121,C42,122:122)+100</f>
        <v>100</v>
      </c>
      <c r="I42" s="1636"/>
      <c r="J42" s="1637">
        <f>SUMIF(121:121,I42,122:122)-SUMIF(121:121,C42,122:122)+100</f>
        <v>100</v>
      </c>
      <c r="K42" s="1915"/>
      <c r="L42" s="2915"/>
      <c r="M42" s="1985"/>
      <c r="N42" s="1985"/>
      <c r="O42" s="1985"/>
      <c r="P42" s="3627"/>
      <c r="Q42" s="1692" t="str">
        <f t="shared" si="11"/>
        <v>单套建筑面积</v>
      </c>
      <c r="R42" s="1693" t="s">
        <v>25</v>
      </c>
      <c r="S42" s="1694">
        <f t="shared" si="12"/>
        <v>100</v>
      </c>
      <c r="T42" s="1693" t="s">
        <v>25</v>
      </c>
      <c r="U42" s="1694">
        <f t="shared" si="13"/>
        <v>100</v>
      </c>
      <c r="V42" s="1693" t="s">
        <v>25</v>
      </c>
      <c r="W42" s="1694">
        <f t="shared" si="14"/>
        <v>100</v>
      </c>
      <c r="X42" s="1695"/>
      <c r="Y42" s="3627"/>
      <c r="Z42" s="1696" t="str">
        <f t="shared" si="15"/>
        <v>单套建筑面积</v>
      </c>
      <c r="AA42" s="1995">
        <f t="shared" si="3"/>
        <v>1</v>
      </c>
      <c r="AB42" s="1995">
        <f t="shared" si="4"/>
        <v>1</v>
      </c>
      <c r="AC42" s="1995">
        <f t="shared" si="5"/>
        <v>1</v>
      </c>
    </row>
    <row r="43" spans="1:29" ht="15">
      <c r="A43" s="1698"/>
      <c r="B43" s="1621" t="s">
        <v>2130</v>
      </c>
      <c r="C43" s="1678"/>
      <c r="D43" s="1637">
        <v>100</v>
      </c>
      <c r="E43" s="1678"/>
      <c r="F43" s="1680">
        <f>SUMIF(123:123,E43,124:124)-SUMIF(123:123,C43,124:124)+100</f>
        <v>100</v>
      </c>
      <c r="G43" s="1678"/>
      <c r="H43" s="1637">
        <f>SUMIF(123:123,G43,124:124)-SUMIF(123:123,C43,124:124)+100</f>
        <v>100</v>
      </c>
      <c r="I43" s="1678"/>
      <c r="J43" s="1637">
        <f>SUMIF(123:123,I43,124:124)-SUMIF(123:123,C43,124:124)+100</f>
        <v>100</v>
      </c>
      <c r="K43" s="1918"/>
      <c r="L43" s="2916"/>
      <c r="M43" s="2912"/>
      <c r="N43" s="2912"/>
      <c r="O43" s="2912"/>
      <c r="P43" s="3627"/>
      <c r="Q43" s="2830" t="str">
        <f t="shared" si="11"/>
        <v>内部装修</v>
      </c>
      <c r="R43" s="1651" t="s">
        <v>25</v>
      </c>
      <c r="S43" s="1652">
        <f t="shared" si="12"/>
        <v>100</v>
      </c>
      <c r="T43" s="1651" t="s">
        <v>25</v>
      </c>
      <c r="U43" s="1652">
        <f t="shared" si="13"/>
        <v>100</v>
      </c>
      <c r="V43" s="1651" t="s">
        <v>25</v>
      </c>
      <c r="W43" s="1652">
        <f t="shared" si="14"/>
        <v>100</v>
      </c>
      <c r="X43" s="2000"/>
      <c r="Y43" s="3627"/>
      <c r="Z43" s="2004" t="str">
        <f t="shared" si="15"/>
        <v>内部装修</v>
      </c>
      <c r="AA43" s="1995">
        <f t="shared" si="3"/>
        <v>1</v>
      </c>
      <c r="AB43" s="1995">
        <f t="shared" si="4"/>
        <v>1</v>
      </c>
      <c r="AC43" s="1995">
        <f t="shared" si="5"/>
        <v>1</v>
      </c>
    </row>
    <row r="44" spans="1:29" ht="28.8">
      <c r="A44" s="1698"/>
      <c r="B44" s="1621" t="s">
        <v>2047</v>
      </c>
      <c r="C44" s="1678"/>
      <c r="D44" s="1637">
        <v>100</v>
      </c>
      <c r="E44" s="1681"/>
      <c r="F44" s="1680">
        <f>SUMIF(125:125,E44,126:126)-SUMIF(125:125,C44,126:126)+100</f>
        <v>100</v>
      </c>
      <c r="G44" s="1681"/>
      <c r="H44" s="1637">
        <f>SUMIF(125:125,G44,126:126)-SUMIF(125:125,C44,126:126)+100</f>
        <v>100</v>
      </c>
      <c r="I44" s="1681"/>
      <c r="J44" s="1637">
        <f>SUMIF(125:125,I44,126:126)-SUMIF(125:125,C44,126:126)+100</f>
        <v>100</v>
      </c>
      <c r="K44" s="1918"/>
      <c r="L44" s="2916"/>
      <c r="M44" s="2912"/>
      <c r="N44" s="2912"/>
      <c r="O44" s="2912"/>
      <c r="P44" s="3627"/>
      <c r="Q44" s="2830" t="str">
        <f t="shared" si="11"/>
        <v>内部装修维护情况</v>
      </c>
      <c r="R44" s="1651" t="s">
        <v>25</v>
      </c>
      <c r="S44" s="1652">
        <f t="shared" si="12"/>
        <v>100</v>
      </c>
      <c r="T44" s="1651" t="s">
        <v>25</v>
      </c>
      <c r="U44" s="1652">
        <f t="shared" si="13"/>
        <v>100</v>
      </c>
      <c r="V44" s="1651" t="s">
        <v>25</v>
      </c>
      <c r="W44" s="1652">
        <f t="shared" si="14"/>
        <v>100</v>
      </c>
      <c r="X44" s="2000"/>
      <c r="Y44" s="3627"/>
      <c r="Z44" s="2004" t="str">
        <f t="shared" si="15"/>
        <v>内部装修维护情况</v>
      </c>
      <c r="AA44" s="1995">
        <f t="shared" si="3"/>
        <v>1</v>
      </c>
      <c r="AB44" s="1995">
        <f t="shared" si="4"/>
        <v>1</v>
      </c>
      <c r="AC44" s="1995">
        <f t="shared" si="5"/>
        <v>1</v>
      </c>
    </row>
    <row r="45" spans="1:29" s="1610" customFormat="1" ht="15">
      <c r="A45" s="1701"/>
      <c r="B45" s="1686">
        <v>111</v>
      </c>
      <c r="C45" s="1691"/>
      <c r="D45" s="1623">
        <v>100</v>
      </c>
      <c r="E45" s="1633"/>
      <c r="F45" s="1625">
        <f>SUMIF(127:127,E45,128:128)-SUMIF(127:127,C45,128:128)+100</f>
        <v>100</v>
      </c>
      <c r="G45" s="1633"/>
      <c r="H45" s="1623">
        <f>SUMIF(127:127,G45,128:128)-SUMIF(127:127,C45,128:128)+100</f>
        <v>100</v>
      </c>
      <c r="I45" s="1633"/>
      <c r="J45" s="1623">
        <f>SUMIF(127:127,I45,128:128)-SUMIF(127:127,C45,128:128)+100</f>
        <v>100</v>
      </c>
      <c r="K45" s="1915"/>
      <c r="L45" s="2911"/>
      <c r="M45" s="2884"/>
      <c r="N45" s="2884"/>
      <c r="O45" s="2884"/>
      <c r="P45" s="3627"/>
      <c r="Q45" s="2829">
        <f t="shared" si="11"/>
        <v>111</v>
      </c>
      <c r="R45" s="1606" t="s">
        <v>25</v>
      </c>
      <c r="S45" s="1607">
        <f t="shared" si="12"/>
        <v>100</v>
      </c>
      <c r="T45" s="1606" t="s">
        <v>25</v>
      </c>
      <c r="U45" s="1607">
        <f t="shared" si="13"/>
        <v>100</v>
      </c>
      <c r="V45" s="1606" t="s">
        <v>25</v>
      </c>
      <c r="W45" s="1607">
        <f t="shared" si="14"/>
        <v>100</v>
      </c>
      <c r="X45" s="1608"/>
      <c r="Y45" s="3627"/>
      <c r="Z45" s="1619">
        <f t="shared" si="15"/>
        <v>111</v>
      </c>
      <c r="AA45" s="1609">
        <f t="shared" si="3"/>
        <v>1</v>
      </c>
      <c r="AB45" s="1609">
        <f t="shared" si="4"/>
        <v>1</v>
      </c>
      <c r="AC45" s="1609">
        <f t="shared" si="5"/>
        <v>1</v>
      </c>
    </row>
    <row r="46" spans="1:29" ht="15">
      <c r="A46" s="1698"/>
      <c r="B46" s="1686">
        <v>111</v>
      </c>
      <c r="C46" s="1636"/>
      <c r="D46" s="1637">
        <v>100</v>
      </c>
      <c r="E46" s="1633"/>
      <c r="F46" s="1680">
        <f>SUMIF(129:129,E46,130:130)-SUMIF(129:129,C46,130:130)+100</f>
        <v>100</v>
      </c>
      <c r="G46" s="1633"/>
      <c r="H46" s="1637">
        <f>SUMIF(129:129,G46,130:130)-SUMIF(129:129,C46,130:130)+100</f>
        <v>100</v>
      </c>
      <c r="I46" s="1633"/>
      <c r="J46" s="1637">
        <f>SUMIF(129:129,I46,130:130)-SUMIF(129:129,C46,130:130)+100</f>
        <v>100</v>
      </c>
      <c r="K46" s="1915"/>
      <c r="L46" s="2916"/>
      <c r="M46" s="2912"/>
      <c r="N46" s="2912"/>
      <c r="O46" s="2912"/>
      <c r="P46" s="3627"/>
      <c r="Q46" s="2830">
        <f t="shared" si="11"/>
        <v>111</v>
      </c>
      <c r="R46" s="1651" t="s">
        <v>25</v>
      </c>
      <c r="S46" s="1652">
        <f t="shared" si="12"/>
        <v>100</v>
      </c>
      <c r="T46" s="1651" t="s">
        <v>25</v>
      </c>
      <c r="U46" s="1652">
        <f t="shared" si="13"/>
        <v>100</v>
      </c>
      <c r="V46" s="1651" t="s">
        <v>25</v>
      </c>
      <c r="W46" s="1652">
        <f t="shared" si="14"/>
        <v>100</v>
      </c>
      <c r="X46" s="2000"/>
      <c r="Y46" s="3627"/>
      <c r="Z46" s="2004">
        <f t="shared" si="15"/>
        <v>111</v>
      </c>
      <c r="AA46" s="1995">
        <f t="shared" si="3"/>
        <v>1</v>
      </c>
      <c r="AB46" s="1995">
        <f t="shared" si="4"/>
        <v>1</v>
      </c>
      <c r="AC46" s="1995">
        <f t="shared" si="5"/>
        <v>1</v>
      </c>
    </row>
    <row r="47" spans="1:29" ht="15.6" thickBot="1">
      <c r="A47" s="1706"/>
      <c r="B47" s="1639">
        <v>111</v>
      </c>
      <c r="C47" s="1640"/>
      <c r="D47" s="1641">
        <v>100</v>
      </c>
      <c r="E47" s="1633"/>
      <c r="F47" s="1642">
        <f>SUMIF(131:131,E47,132:132)-SUMIF(131:131,C47,132:132)+100</f>
        <v>100</v>
      </c>
      <c r="G47" s="1633"/>
      <c r="H47" s="1641">
        <f>SUMIF(131:131,G47,132:132)-SUMIF(131:131,C47,132:132)+100</f>
        <v>100</v>
      </c>
      <c r="I47" s="1633"/>
      <c r="J47" s="1641">
        <f>SUMIF(131:131,I47,132:132)-SUMIF(131:131,C47,132:132)+100</f>
        <v>100</v>
      </c>
      <c r="K47" s="1915"/>
      <c r="L47" s="2916"/>
      <c r="M47" s="2912"/>
      <c r="N47" s="2912"/>
      <c r="O47" s="2912"/>
      <c r="P47" s="3628"/>
      <c r="Q47" s="2830">
        <f t="shared" si="11"/>
        <v>111</v>
      </c>
      <c r="R47" s="1651" t="s">
        <v>25</v>
      </c>
      <c r="S47" s="1652">
        <f t="shared" si="12"/>
        <v>100</v>
      </c>
      <c r="T47" s="1651" t="s">
        <v>25</v>
      </c>
      <c r="U47" s="1652">
        <f t="shared" si="13"/>
        <v>100</v>
      </c>
      <c r="V47" s="1651" t="s">
        <v>25</v>
      </c>
      <c r="W47" s="1652">
        <f t="shared" si="14"/>
        <v>100</v>
      </c>
      <c r="X47" s="2000"/>
      <c r="Y47" s="3628"/>
      <c r="Z47" s="2004">
        <f t="shared" si="15"/>
        <v>111</v>
      </c>
      <c r="AA47" s="1995">
        <f t="shared" si="3"/>
        <v>1</v>
      </c>
      <c r="AB47" s="1995">
        <f t="shared" si="4"/>
        <v>1</v>
      </c>
      <c r="AC47" s="1995">
        <f t="shared" si="5"/>
        <v>1</v>
      </c>
    </row>
    <row r="48" spans="1:29" ht="14.4">
      <c r="A48" s="1707" t="s">
        <v>2048</v>
      </c>
      <c r="B48" s="1708"/>
      <c r="C48" s="1709" t="s">
        <v>1</v>
      </c>
      <c r="D48" s="1710"/>
      <c r="E48" s="1711"/>
      <c r="F48" s="1712"/>
      <c r="G48" s="1713"/>
      <c r="H48" s="1714"/>
      <c r="I48" s="1711"/>
      <c r="J48" s="1714"/>
      <c r="K48" s="1939"/>
      <c r="L48" s="2917"/>
      <c r="M48" s="2912"/>
      <c r="N48" s="2912"/>
      <c r="O48" s="2912"/>
      <c r="P48" s="3633" t="str">
        <f>A48</f>
        <v>成交单价（元/平方米）</v>
      </c>
      <c r="Q48" s="3633"/>
      <c r="R48" s="3634">
        <f>E48</f>
        <v>0</v>
      </c>
      <c r="S48" s="3634"/>
      <c r="T48" s="3634">
        <f>G48</f>
        <v>0</v>
      </c>
      <c r="U48" s="3634"/>
      <c r="V48" s="3634">
        <f>I48</f>
        <v>0</v>
      </c>
      <c r="W48" s="3634"/>
      <c r="X48" s="1717"/>
      <c r="Y48" s="1999"/>
      <c r="Z48" s="1717"/>
      <c r="AA48" s="1717"/>
      <c r="AB48" s="1717"/>
      <c r="AC48" s="1717"/>
    </row>
    <row r="49" spans="1:29" ht="15" thickBot="1">
      <c r="A49" s="1719" t="s">
        <v>2131</v>
      </c>
      <c r="B49" s="1720"/>
      <c r="C49" s="1721" t="e">
        <f>R50</f>
        <v>#DIV/0!</v>
      </c>
      <c r="D49" s="1722" t="s">
        <v>2499</v>
      </c>
      <c r="E49" s="1723" t="e">
        <f>R49</f>
        <v>#DIV/0!</v>
      </c>
      <c r="F49" s="1724"/>
      <c r="G49" s="1721" t="e">
        <f>T49</f>
        <v>#DIV/0!</v>
      </c>
      <c r="H49" s="1724"/>
      <c r="I49" s="1723" t="e">
        <f>V49</f>
        <v>#DIV/0!</v>
      </c>
      <c r="J49" s="1724"/>
      <c r="K49" s="2426">
        <f>F49+H49+J49</f>
        <v>0</v>
      </c>
      <c r="L49" s="2917"/>
      <c r="M49" s="2912"/>
      <c r="N49" s="2912"/>
      <c r="O49" s="2912"/>
      <c r="P49" s="3633" t="str">
        <f>A49</f>
        <v>比较价值（元/平方米）</v>
      </c>
      <c r="Q49" s="3633"/>
      <c r="R49" s="3634" t="e">
        <f>IF(E1="售价",ROUND(PRODUCT(R48,AA7:AA47),0),ROUND(PRODUCT(R48,AA7:AA47),1))</f>
        <v>#DIV/0!</v>
      </c>
      <c r="S49" s="3634"/>
      <c r="T49" s="3634" t="e">
        <f>IF(E1="售价",ROUND(PRODUCT(T48,AB7:AB47),0),ROUND(PRODUCT(T48,AB7:AB47),1))</f>
        <v>#DIV/0!</v>
      </c>
      <c r="U49" s="3634"/>
      <c r="V49" s="3634" t="e">
        <f>IF(E1="售价",ROUND(PRODUCT(V48,AC7:AC47),0),ROUND(PRODUCT(V48,AC7:AC47),1))</f>
        <v>#DIV/0!</v>
      </c>
      <c r="W49" s="3634"/>
      <c r="X49" s="1717"/>
      <c r="Y49" s="1717"/>
      <c r="Z49" s="1717"/>
      <c r="AA49" s="1717"/>
      <c r="AB49" s="1717"/>
      <c r="AC49" s="1717"/>
    </row>
    <row r="50" spans="1:29" ht="15" thickBot="1">
      <c r="A50" s="1725" t="s">
        <v>2154</v>
      </c>
      <c r="B50" s="1726"/>
      <c r="C50" s="1728" t="e">
        <f>R50</f>
        <v>#DIV/0!</v>
      </c>
      <c r="D50" s="1728"/>
      <c r="E50" s="1728"/>
      <c r="F50" s="1728"/>
      <c r="G50" s="1728"/>
      <c r="H50" s="1728"/>
      <c r="I50" s="1728"/>
      <c r="J50" s="1728"/>
      <c r="K50" s="1944"/>
      <c r="L50" s="2917"/>
      <c r="M50" s="2912"/>
      <c r="N50" s="2912"/>
      <c r="O50" s="2912"/>
      <c r="P50" s="3639" t="str">
        <f>A50</f>
        <v>估价对象XX用房的比较价值（楼面单价，元/平方米）</v>
      </c>
      <c r="Q50" s="3640"/>
      <c r="R50" s="3641" t="e">
        <f>IF(E1="售价",ROUND(IF(D49="简单平均",AVERAGE(R49:V49),R49*F49+T49*H49+V49*J49),0),ROUND(IF(D49="简单平均",AVERAGE(R49:V49),R49*F49+T49*H49+V49*J49),1))</f>
        <v>#DIV/0!</v>
      </c>
      <c r="S50" s="3641"/>
      <c r="T50" s="3641"/>
      <c r="U50" s="3641"/>
      <c r="V50" s="3641"/>
      <c r="W50" s="3641"/>
      <c r="X50" s="1717"/>
      <c r="Y50" s="1717"/>
      <c r="Z50" s="1717"/>
      <c r="AA50" s="1717"/>
      <c r="AB50" s="1717"/>
      <c r="AC50" s="1717"/>
    </row>
    <row r="51" spans="1:29">
      <c r="G51" s="2921"/>
    </row>
    <row r="53" spans="1:29" ht="13.5" customHeight="1">
      <c r="C53" s="383" t="s">
        <v>2133</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2134</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2135</v>
      </c>
      <c r="D55" s="1736"/>
      <c r="E55" s="1734" t="e">
        <f>IF(E48&lt;G48,G48/E48-1,E48/G48-1)</f>
        <v>#DIV/0!</v>
      </c>
      <c r="F55" s="1735" t="e">
        <f>IF(OR(E55&gt;=0.3,E55&lt;=-0.3),"超过30%","")</f>
        <v>#DIV/0!</v>
      </c>
      <c r="G55" s="1734" t="e">
        <f>IF(G48&lt;I48,I48/G48-1,G48/I48-1)</f>
        <v>#DIV/0!</v>
      </c>
      <c r="H55" s="1735" t="e">
        <f>IF(OR(G55&gt;=0.3,G55&lt;=-0.3),"超过30%","")</f>
        <v>#DIV/0!</v>
      </c>
      <c r="I55" s="1734" t="e">
        <f>IF(I48&lt;E48,E48/I48-1,I48/E48-1)</f>
        <v>#DIV/0!</v>
      </c>
      <c r="J55" s="1735" t="e">
        <f>IF(OR(I55&gt;=0.3,I55&lt;=-0.3),"超过30%","")</f>
        <v>#DIV/0!</v>
      </c>
      <c r="K55" s="2924"/>
      <c r="L55" s="2918"/>
    </row>
    <row r="56" spans="1:29" s="1739" customFormat="1">
      <c r="B56" s="2922"/>
      <c r="C56" s="2923"/>
      <c r="K56" s="2924"/>
      <c r="L56" s="2918"/>
    </row>
    <row r="57" spans="1:29">
      <c r="B57" s="2922"/>
      <c r="C57" s="2923"/>
    </row>
    <row r="58" spans="1:29" ht="22.2" thickBot="1">
      <c r="A58" s="1742" t="s">
        <v>2136</v>
      </c>
      <c r="B58" s="1717"/>
      <c r="C58" s="1743"/>
      <c r="D58" s="1743"/>
      <c r="E58" s="1743"/>
      <c r="F58" s="1743"/>
      <c r="G58" s="1743"/>
      <c r="H58" s="1743"/>
      <c r="I58" s="1743"/>
      <c r="J58" s="1743"/>
      <c r="K58" s="1744"/>
      <c r="L58" s="1745"/>
      <c r="M58" s="1743"/>
      <c r="N58" s="2920"/>
      <c r="O58" s="2920"/>
      <c r="P58" s="1971"/>
      <c r="Q58" s="1747"/>
    </row>
    <row r="59" spans="1:29" s="1753" customFormat="1" ht="14.4">
      <c r="A59" s="1748" t="s">
        <v>2018</v>
      </c>
      <c r="B59" s="1749"/>
      <c r="C59" s="1750" t="str">
        <f>YEAR(C7)&amp;"-"&amp;MONTH(C7)</f>
        <v>2022-5</v>
      </c>
      <c r="D59" s="1751">
        <f>EDATE(C59,-1)</f>
        <v>44652</v>
      </c>
      <c r="E59" s="1751">
        <f t="shared" ref="E59:O59" si="16">EDATE(D59,-1)</f>
        <v>44621</v>
      </c>
      <c r="F59" s="1751">
        <f t="shared" si="16"/>
        <v>44593</v>
      </c>
      <c r="G59" s="1751">
        <f t="shared" si="16"/>
        <v>44562</v>
      </c>
      <c r="H59" s="1751">
        <f t="shared" si="16"/>
        <v>44531</v>
      </c>
      <c r="I59" s="1751">
        <f t="shared" si="16"/>
        <v>44501</v>
      </c>
      <c r="J59" s="1751">
        <f t="shared" si="16"/>
        <v>44470</v>
      </c>
      <c r="K59" s="1751">
        <f t="shared" si="16"/>
        <v>44440</v>
      </c>
      <c r="L59" s="1751">
        <f t="shared" si="16"/>
        <v>44409</v>
      </c>
      <c r="M59" s="1751">
        <f t="shared" si="16"/>
        <v>44378</v>
      </c>
      <c r="N59" s="1751">
        <f t="shared" si="16"/>
        <v>44348</v>
      </c>
      <c r="O59" s="1751">
        <f t="shared" si="16"/>
        <v>44317</v>
      </c>
      <c r="P59" s="2419"/>
    </row>
    <row r="60" spans="1:29" s="1610" customFormat="1">
      <c r="A60" s="1754"/>
      <c r="B60" s="1755"/>
      <c r="C60" s="1756">
        <v>100</v>
      </c>
      <c r="D60" s="1757"/>
      <c r="E60" s="1757"/>
      <c r="F60" s="1757"/>
      <c r="G60" s="1757"/>
      <c r="H60" s="1757"/>
      <c r="I60" s="1757"/>
      <c r="J60" s="1757"/>
      <c r="K60" s="1757"/>
      <c r="L60" s="1757"/>
      <c r="M60" s="1758"/>
      <c r="N60" s="1757"/>
      <c r="O60" s="1771"/>
      <c r="P60" s="1747"/>
    </row>
    <row r="61" spans="1:29" s="1610" customFormat="1" ht="15" thickBot="1">
      <c r="A61" s="1760" t="s">
        <v>2056</v>
      </c>
      <c r="B61" s="1761"/>
      <c r="C61" s="1762"/>
      <c r="D61" s="1763"/>
      <c r="E61" s="1763"/>
      <c r="F61" s="1763"/>
      <c r="G61" s="1763"/>
      <c r="H61" s="1763"/>
      <c r="I61" s="1763"/>
      <c r="J61" s="1763"/>
      <c r="K61" s="1763"/>
      <c r="L61" s="1763"/>
      <c r="M61" s="1764"/>
      <c r="N61" s="1763"/>
      <c r="O61" s="2420"/>
      <c r="P61" s="1747"/>
      <c r="Q61" s="1747"/>
    </row>
    <row r="62" spans="1:29" s="1610" customFormat="1" ht="14.4">
      <c r="A62" s="1765" t="s">
        <v>2020</v>
      </c>
      <c r="B62" s="1755"/>
      <c r="C62" s="1766" t="s">
        <v>2021</v>
      </c>
      <c r="D62" s="409"/>
      <c r="E62" s="409"/>
      <c r="F62" s="409"/>
      <c r="G62" s="409"/>
      <c r="H62" s="409"/>
      <c r="I62" s="409"/>
      <c r="J62" s="409"/>
      <c r="K62" s="409"/>
      <c r="L62" s="409"/>
      <c r="M62" s="1767"/>
      <c r="N62" s="2929"/>
      <c r="O62" s="2929"/>
      <c r="P62" s="1982"/>
      <c r="Q62" s="1747"/>
    </row>
    <row r="63" spans="1:29" s="1610" customFormat="1" ht="14.4" thickBot="1">
      <c r="A63" s="1765"/>
      <c r="B63" s="1755"/>
      <c r="C63" s="1770">
        <v>100</v>
      </c>
      <c r="D63" s="1757"/>
      <c r="E63" s="1757"/>
      <c r="F63" s="1757"/>
      <c r="G63" s="1757"/>
      <c r="H63" s="1757"/>
      <c r="I63" s="1757"/>
      <c r="J63" s="1757"/>
      <c r="K63" s="1757"/>
      <c r="L63" s="1757"/>
      <c r="M63" s="1771"/>
      <c r="N63" s="2929"/>
      <c r="O63" s="2929"/>
      <c r="P63" s="1747"/>
      <c r="Q63" s="1747"/>
    </row>
    <row r="64" spans="1:29" ht="14.4">
      <c r="A64" s="1772" t="s">
        <v>2059</v>
      </c>
      <c r="B64" s="1773" t="s">
        <v>2024</v>
      </c>
      <c r="C64" s="1774">
        <f>C9</f>
        <v>0</v>
      </c>
      <c r="D64" s="1775"/>
      <c r="E64" s="1775"/>
      <c r="F64" s="1775"/>
      <c r="G64" s="1775"/>
      <c r="H64" s="1775"/>
      <c r="I64" s="1775"/>
      <c r="J64" s="1775"/>
      <c r="K64" s="417"/>
      <c r="L64" s="417"/>
      <c r="M64" s="1776"/>
      <c r="N64" s="2930"/>
      <c r="O64" s="2930"/>
      <c r="P64" s="1983"/>
      <c r="Q64" s="1747"/>
    </row>
    <row r="65" spans="1:17" ht="14.4" thickBot="1">
      <c r="A65" s="1779"/>
      <c r="B65" s="1780"/>
      <c r="C65" s="1781">
        <v>100</v>
      </c>
      <c r="D65" s="1781"/>
      <c r="E65" s="1781"/>
      <c r="F65" s="1781"/>
      <c r="G65" s="1781"/>
      <c r="H65" s="1781"/>
      <c r="I65" s="1781"/>
      <c r="J65" s="1781"/>
      <c r="K65" s="1781"/>
      <c r="L65" s="1781"/>
      <c r="M65" s="1782"/>
      <c r="N65" s="2931"/>
      <c r="O65" s="2931"/>
      <c r="P65" s="1983"/>
      <c r="Q65" s="1747"/>
    </row>
    <row r="66" spans="1:17" ht="29.4" thickTop="1">
      <c r="A66" s="1779"/>
      <c r="B66" s="1784" t="s">
        <v>2027</v>
      </c>
      <c r="C66" s="1785" t="s">
        <v>2060</v>
      </c>
      <c r="D66" s="1785" t="s">
        <v>2061</v>
      </c>
      <c r="E66" s="1785" t="s">
        <v>2062</v>
      </c>
      <c r="F66" s="1785" t="s">
        <v>2063</v>
      </c>
      <c r="G66" s="1785" t="s">
        <v>2064</v>
      </c>
      <c r="H66" s="1785" t="s">
        <v>2065</v>
      </c>
      <c r="I66" s="1785" t="s">
        <v>2066</v>
      </c>
      <c r="J66" s="1785"/>
      <c r="K66" s="428"/>
      <c r="L66" s="428"/>
      <c r="M66" s="1786"/>
      <c r="N66" s="2930"/>
      <c r="O66" s="2930"/>
      <c r="P66" s="1983"/>
      <c r="Q66" s="1747"/>
    </row>
    <row r="67" spans="1:17" ht="14.4"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1"/>
      <c r="O67" s="2931"/>
      <c r="P67" s="1983"/>
      <c r="Q67" s="1747"/>
    </row>
    <row r="68" spans="1:17" ht="15" thickTop="1">
      <c r="A68" s="1779"/>
      <c r="B68" s="1790" t="s">
        <v>2028</v>
      </c>
      <c r="C68" s="1791" t="str">
        <f>C69&amp;"（含）"&amp;"-"&amp;D69</f>
        <v>（含）-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57" t="str">
        <f>M69&amp;"（含）"&amp;"-"&amp;P69</f>
        <v>（含）-</v>
      </c>
      <c r="N68" s="2931"/>
      <c r="O68" s="2931"/>
      <c r="P68" s="1983"/>
      <c r="Q68" s="1747"/>
    </row>
    <row r="69" spans="1:17">
      <c r="A69" s="1779"/>
      <c r="B69" s="1792"/>
      <c r="C69" s="1793"/>
      <c r="D69" s="1793"/>
      <c r="E69" s="1793"/>
      <c r="F69" s="1793"/>
      <c r="G69" s="1793"/>
      <c r="H69" s="1793"/>
      <c r="I69" s="1793"/>
      <c r="J69" s="1793"/>
      <c r="K69" s="438"/>
      <c r="L69" s="438"/>
      <c r="M69" s="1794"/>
      <c r="N69" s="2930"/>
      <c r="O69" s="2930"/>
      <c r="P69" s="1983"/>
      <c r="Q69" s="1747"/>
    </row>
    <row r="70" spans="1:17" ht="14.4"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1"/>
      <c r="O70" s="2931"/>
      <c r="P70" s="1983"/>
      <c r="Q70" s="1747"/>
    </row>
    <row r="71" spans="1:17" s="1697" customFormat="1" ht="14.4" thickTop="1">
      <c r="A71" s="1795"/>
      <c r="B71" s="1784">
        <f>B12</f>
        <v>111</v>
      </c>
      <c r="C71" s="468"/>
      <c r="D71" s="468"/>
      <c r="E71" s="468"/>
      <c r="F71" s="468"/>
      <c r="G71" s="468"/>
      <c r="H71" s="443"/>
      <c r="I71" s="443"/>
      <c r="J71" s="443"/>
      <c r="K71" s="443"/>
      <c r="L71" s="443"/>
      <c r="M71" s="1796"/>
      <c r="N71" s="2932"/>
      <c r="O71" s="2932"/>
      <c r="P71" s="1984"/>
      <c r="Q71" s="1799"/>
    </row>
    <row r="72" spans="1:17" s="1697" customFormat="1" ht="14.4" thickBot="1">
      <c r="A72" s="1795"/>
      <c r="B72" s="1787"/>
      <c r="C72" s="1800"/>
      <c r="D72" s="1781"/>
      <c r="E72" s="1781"/>
      <c r="F72" s="1781"/>
      <c r="G72" s="1781"/>
      <c r="H72" s="1781"/>
      <c r="I72" s="1781"/>
      <c r="J72" s="1781"/>
      <c r="K72" s="1781"/>
      <c r="L72" s="1781"/>
      <c r="M72" s="1782"/>
      <c r="N72" s="2931"/>
      <c r="O72" s="2931"/>
      <c r="P72" s="1984"/>
      <c r="Q72" s="1799"/>
    </row>
    <row r="73" spans="1:17" s="1697" customFormat="1" ht="14.4" thickTop="1">
      <c r="A73" s="1795"/>
      <c r="B73" s="1784">
        <f>B13</f>
        <v>111</v>
      </c>
      <c r="C73" s="468"/>
      <c r="D73" s="468"/>
      <c r="E73" s="468"/>
      <c r="F73" s="468"/>
      <c r="G73" s="468"/>
      <c r="H73" s="443"/>
      <c r="I73" s="443"/>
      <c r="J73" s="443"/>
      <c r="K73" s="443"/>
      <c r="L73" s="443"/>
      <c r="M73" s="1796"/>
      <c r="N73" s="2932"/>
      <c r="O73" s="2932"/>
      <c r="P73" s="1985"/>
      <c r="Q73" s="1802"/>
    </row>
    <row r="74" spans="1:17" s="1697" customFormat="1" ht="14.4" thickBot="1">
      <c r="A74" s="1795"/>
      <c r="B74" s="1787"/>
      <c r="C74" s="1800"/>
      <c r="D74" s="1800"/>
      <c r="E74" s="1800"/>
      <c r="F74" s="1800"/>
      <c r="G74" s="1800"/>
      <c r="H74" s="1803"/>
      <c r="I74" s="1803"/>
      <c r="J74" s="1803"/>
      <c r="K74" s="1803"/>
      <c r="L74" s="1803"/>
      <c r="M74" s="1804"/>
      <c r="N74" s="2932"/>
      <c r="O74" s="2932"/>
      <c r="P74" s="1984"/>
      <c r="Q74" s="1799"/>
    </row>
    <row r="75" spans="1:17" s="1697" customFormat="1" ht="14.4" thickTop="1">
      <c r="A75" s="1795"/>
      <c r="B75" s="1790">
        <f>B14</f>
        <v>111</v>
      </c>
      <c r="C75" s="409"/>
      <c r="D75" s="409"/>
      <c r="E75" s="409"/>
      <c r="F75" s="409"/>
      <c r="G75" s="409"/>
      <c r="H75" s="453"/>
      <c r="I75" s="453"/>
      <c r="J75" s="453"/>
      <c r="K75" s="453"/>
      <c r="L75" s="453"/>
      <c r="M75" s="1805"/>
      <c r="N75" s="2932"/>
      <c r="O75" s="2932"/>
      <c r="P75" s="1984"/>
      <c r="Q75" s="1799"/>
    </row>
    <row r="76" spans="1:17" s="1697" customFormat="1" ht="14.4" thickBot="1">
      <c r="A76" s="1806"/>
      <c r="B76" s="1807"/>
      <c r="C76" s="1808"/>
      <c r="D76" s="1808"/>
      <c r="E76" s="1808"/>
      <c r="F76" s="1808"/>
      <c r="G76" s="1808"/>
      <c r="H76" s="1809"/>
      <c r="I76" s="1809"/>
      <c r="J76" s="1809"/>
      <c r="K76" s="1809"/>
      <c r="L76" s="1809"/>
      <c r="M76" s="1810"/>
      <c r="N76" s="2932"/>
      <c r="O76" s="2932"/>
      <c r="P76" s="1984"/>
      <c r="Q76" s="1799"/>
    </row>
    <row r="77" spans="1:17" ht="14.4">
      <c r="A77" s="1772" t="s">
        <v>2029</v>
      </c>
      <c r="B77" s="1773" t="s">
        <v>2155</v>
      </c>
      <c r="C77" s="1811" t="s">
        <v>2068</v>
      </c>
      <c r="D77" s="1811" t="s">
        <v>2069</v>
      </c>
      <c r="E77" s="1811" t="s">
        <v>2070</v>
      </c>
      <c r="F77" s="1811" t="s">
        <v>2071</v>
      </c>
      <c r="G77" s="1811" t="s">
        <v>2072</v>
      </c>
      <c r="H77" s="1774"/>
      <c r="I77" s="1774"/>
      <c r="J77" s="1774"/>
      <c r="K77" s="463"/>
      <c r="L77" s="463"/>
      <c r="M77" s="1812"/>
      <c r="N77" s="2930"/>
      <c r="O77" s="2930"/>
      <c r="P77" s="1983"/>
      <c r="Q77" s="1747"/>
    </row>
    <row r="78" spans="1:17" ht="14.4" thickBot="1">
      <c r="A78" s="1779"/>
      <c r="B78" s="1787"/>
      <c r="C78" s="1788">
        <v>100</v>
      </c>
      <c r="D78" s="1788">
        <f>C78-$K15</f>
        <v>100</v>
      </c>
      <c r="E78" s="1788">
        <f>D78-$K15</f>
        <v>100</v>
      </c>
      <c r="F78" s="1788">
        <f>E78-$K15</f>
        <v>100</v>
      </c>
      <c r="G78" s="1788">
        <f>F78-$K15</f>
        <v>100</v>
      </c>
      <c r="H78" s="1788"/>
      <c r="I78" s="1788"/>
      <c r="J78" s="1788"/>
      <c r="K78" s="1788"/>
      <c r="L78" s="1788"/>
      <c r="M78" s="1789"/>
      <c r="N78" s="2931"/>
      <c r="O78" s="2931"/>
      <c r="P78" s="1983"/>
      <c r="Q78" s="1747"/>
    </row>
    <row r="79" spans="1:17" ht="15" thickTop="1">
      <c r="A79" s="1779"/>
      <c r="B79" s="1784" t="s">
        <v>2073</v>
      </c>
      <c r="C79" s="579" t="s">
        <v>2068</v>
      </c>
      <c r="D79" s="579" t="s">
        <v>2069</v>
      </c>
      <c r="E79" s="579" t="s">
        <v>2070</v>
      </c>
      <c r="F79" s="579" t="s">
        <v>2071</v>
      </c>
      <c r="G79" s="579" t="s">
        <v>2072</v>
      </c>
      <c r="H79" s="1785"/>
      <c r="I79" s="1785"/>
      <c r="J79" s="1785"/>
      <c r="K79" s="428"/>
      <c r="L79" s="428"/>
      <c r="M79" s="1786"/>
      <c r="N79" s="2930"/>
      <c r="O79" s="2930"/>
      <c r="P79" s="1983"/>
      <c r="Q79" s="1747"/>
    </row>
    <row r="80" spans="1:17" ht="14.4" thickBot="1">
      <c r="A80" s="1779"/>
      <c r="B80" s="1787"/>
      <c r="C80" s="1788">
        <v>100</v>
      </c>
      <c r="D80" s="1788">
        <f>C80-$K17</f>
        <v>100</v>
      </c>
      <c r="E80" s="1788">
        <f>D80-$K17</f>
        <v>100</v>
      </c>
      <c r="F80" s="1788">
        <f>E80-$K17</f>
        <v>100</v>
      </c>
      <c r="G80" s="1788">
        <f>F80-$K17</f>
        <v>100</v>
      </c>
      <c r="H80" s="1788"/>
      <c r="I80" s="1788"/>
      <c r="J80" s="1788"/>
      <c r="K80" s="1788"/>
      <c r="L80" s="1788"/>
      <c r="M80" s="1789"/>
      <c r="N80" s="2931"/>
      <c r="O80" s="2931"/>
      <c r="P80" s="1983"/>
      <c r="Q80" s="1747"/>
    </row>
    <row r="81" spans="1:17" ht="15" thickTop="1">
      <c r="A81" s="1779"/>
      <c r="B81" s="1784" t="s">
        <v>2074</v>
      </c>
      <c r="C81" s="579" t="s">
        <v>2068</v>
      </c>
      <c r="D81" s="579" t="s">
        <v>2069</v>
      </c>
      <c r="E81" s="579" t="s">
        <v>2070</v>
      </c>
      <c r="F81" s="579" t="s">
        <v>2071</v>
      </c>
      <c r="G81" s="579" t="s">
        <v>2072</v>
      </c>
      <c r="H81" s="1785"/>
      <c r="I81" s="1785"/>
      <c r="J81" s="1785"/>
      <c r="K81" s="428"/>
      <c r="L81" s="428"/>
      <c r="M81" s="1786"/>
      <c r="N81" s="2930"/>
      <c r="O81" s="2930"/>
      <c r="P81" s="1983"/>
      <c r="Q81" s="1747"/>
    </row>
    <row r="82" spans="1:17" ht="14.4" thickBot="1">
      <c r="A82" s="1779"/>
      <c r="B82" s="1787"/>
      <c r="C82" s="1788">
        <v>100</v>
      </c>
      <c r="D82" s="1788">
        <f>C82-$K19</f>
        <v>100</v>
      </c>
      <c r="E82" s="1788">
        <f>D82-$K19</f>
        <v>100</v>
      </c>
      <c r="F82" s="1788">
        <f>E82-$K19</f>
        <v>100</v>
      </c>
      <c r="G82" s="1788">
        <f>F82-$K19</f>
        <v>100</v>
      </c>
      <c r="H82" s="1788"/>
      <c r="I82" s="1788"/>
      <c r="J82" s="1788"/>
      <c r="K82" s="1788"/>
      <c r="L82" s="1788"/>
      <c r="M82" s="1789"/>
      <c r="N82" s="2931"/>
      <c r="O82" s="2931"/>
      <c r="P82" s="1983"/>
      <c r="Q82" s="1747"/>
    </row>
    <row r="83" spans="1:17" ht="15" thickTop="1">
      <c r="A83" s="1779"/>
      <c r="B83" s="1790" t="s">
        <v>2117</v>
      </c>
      <c r="C83" s="1785" t="s">
        <v>2075</v>
      </c>
      <c r="D83" s="1785" t="s">
        <v>2076</v>
      </c>
      <c r="E83" s="1785" t="s">
        <v>2077</v>
      </c>
      <c r="F83" s="1785" t="s">
        <v>2078</v>
      </c>
      <c r="G83" s="1785" t="s">
        <v>2079</v>
      </c>
      <c r="H83" s="1785"/>
      <c r="I83" s="1785"/>
      <c r="J83" s="1785"/>
      <c r="K83" s="1785"/>
      <c r="L83" s="1785"/>
      <c r="M83" s="1813"/>
      <c r="N83" s="2931"/>
      <c r="O83" s="2931"/>
      <c r="P83" s="1983"/>
      <c r="Q83" s="1747"/>
    </row>
    <row r="84" spans="1:17" ht="14.4" thickBot="1">
      <c r="A84" s="1779"/>
      <c r="B84" s="1790"/>
      <c r="C84" s="1788">
        <v>100</v>
      </c>
      <c r="D84" s="1788">
        <f>C84-$K21</f>
        <v>100</v>
      </c>
      <c r="E84" s="1788">
        <f>D84-$K21</f>
        <v>100</v>
      </c>
      <c r="F84" s="1788">
        <f>E84-$K21</f>
        <v>100</v>
      </c>
      <c r="G84" s="1788">
        <f>F84-$K21</f>
        <v>100</v>
      </c>
      <c r="H84" s="1814"/>
      <c r="I84" s="1814"/>
      <c r="J84" s="1814"/>
      <c r="K84" s="1814"/>
      <c r="L84" s="1814"/>
      <c r="M84" s="1661"/>
      <c r="N84" s="2931"/>
      <c r="O84" s="2931"/>
      <c r="P84" s="1983"/>
      <c r="Q84" s="1747"/>
    </row>
    <row r="85" spans="1:17" ht="15" thickTop="1">
      <c r="A85" s="1779"/>
      <c r="B85" s="1784" t="s">
        <v>2156</v>
      </c>
      <c r="C85" s="579" t="s">
        <v>2068</v>
      </c>
      <c r="D85" s="579" t="s">
        <v>2069</v>
      </c>
      <c r="E85" s="579" t="s">
        <v>2070</v>
      </c>
      <c r="F85" s="579" t="s">
        <v>2071</v>
      </c>
      <c r="G85" s="579" t="s">
        <v>2072</v>
      </c>
      <c r="H85" s="1785"/>
      <c r="I85" s="1785"/>
      <c r="J85" s="1785"/>
      <c r="K85" s="428"/>
      <c r="L85" s="428"/>
      <c r="M85" s="1786"/>
      <c r="N85" s="2930"/>
      <c r="O85" s="2930"/>
      <c r="P85" s="1983"/>
      <c r="Q85" s="1747"/>
    </row>
    <row r="86" spans="1:17" ht="14.4" thickBot="1">
      <c r="A86" s="1779"/>
      <c r="B86" s="1787"/>
      <c r="C86" s="1788">
        <v>100</v>
      </c>
      <c r="D86" s="1788">
        <f>C86-$K23</f>
        <v>100</v>
      </c>
      <c r="E86" s="1788">
        <f>D86-$K23</f>
        <v>100</v>
      </c>
      <c r="F86" s="1788">
        <f>E86-$K23</f>
        <v>100</v>
      </c>
      <c r="G86" s="1788">
        <f>F86-$K23</f>
        <v>100</v>
      </c>
      <c r="H86" s="1788"/>
      <c r="I86" s="1788"/>
      <c r="J86" s="1788"/>
      <c r="K86" s="1788"/>
      <c r="L86" s="1788"/>
      <c r="M86" s="1789"/>
      <c r="N86" s="2931"/>
      <c r="O86" s="2931"/>
      <c r="P86" s="1983"/>
      <c r="Q86" s="1747"/>
    </row>
    <row r="87" spans="1:17" s="1610" customFormat="1" ht="29.4" thickTop="1">
      <c r="A87" s="1815"/>
      <c r="B87" s="1784" t="s">
        <v>2157</v>
      </c>
      <c r="C87" s="468"/>
      <c r="D87" s="468"/>
      <c r="E87" s="468"/>
      <c r="F87" s="468"/>
      <c r="G87" s="468"/>
      <c r="H87" s="468"/>
      <c r="I87" s="468"/>
      <c r="J87" s="468"/>
      <c r="K87" s="468"/>
      <c r="L87" s="468"/>
      <c r="M87" s="1816"/>
      <c r="N87" s="2929"/>
      <c r="O87" s="2929"/>
      <c r="P87" s="1983"/>
      <c r="Q87" s="1747"/>
    </row>
    <row r="88" spans="1:17" s="1610" customFormat="1" ht="14.4" thickBot="1">
      <c r="A88" s="1815"/>
      <c r="B88" s="1787"/>
      <c r="C88" s="1817">
        <v>100</v>
      </c>
      <c r="D88" s="1788">
        <f t="shared" ref="D88:M88" si="19">C88-$K25</f>
        <v>100</v>
      </c>
      <c r="E88" s="1788">
        <f t="shared" si="19"/>
        <v>100</v>
      </c>
      <c r="F88" s="1788">
        <f t="shared" si="19"/>
        <v>100</v>
      </c>
      <c r="G88" s="1788">
        <f t="shared" si="19"/>
        <v>100</v>
      </c>
      <c r="H88" s="1788">
        <f t="shared" si="19"/>
        <v>100</v>
      </c>
      <c r="I88" s="1788">
        <f t="shared" si="19"/>
        <v>100</v>
      </c>
      <c r="J88" s="1788">
        <f t="shared" si="19"/>
        <v>100</v>
      </c>
      <c r="K88" s="1788">
        <f t="shared" si="19"/>
        <v>100</v>
      </c>
      <c r="L88" s="1788">
        <f t="shared" si="19"/>
        <v>100</v>
      </c>
      <c r="M88" s="1788">
        <f t="shared" si="19"/>
        <v>100</v>
      </c>
      <c r="N88" s="2931"/>
      <c r="O88" s="2931"/>
      <c r="P88" s="1983"/>
      <c r="Q88" s="1747"/>
    </row>
    <row r="89" spans="1:17" s="1610" customFormat="1" ht="14.4" thickTop="1">
      <c r="A89" s="1815"/>
      <c r="B89" s="1784" t="str">
        <f>B27</f>
        <v>楼层</v>
      </c>
      <c r="C89" s="468"/>
      <c r="D89" s="468"/>
      <c r="E89" s="468"/>
      <c r="F89" s="1818"/>
      <c r="G89" s="468"/>
      <c r="H89" s="468"/>
      <c r="I89" s="468"/>
      <c r="J89" s="468"/>
      <c r="K89" s="468"/>
      <c r="L89" s="468"/>
      <c r="M89" s="1816"/>
      <c r="N89" s="2929"/>
      <c r="O89" s="2929"/>
      <c r="P89" s="1983"/>
      <c r="Q89" s="1747"/>
    </row>
    <row r="90" spans="1:17" s="1610" customFormat="1" ht="14.4" thickBot="1">
      <c r="A90" s="1815"/>
      <c r="B90" s="1787"/>
      <c r="C90" s="1817">
        <v>100</v>
      </c>
      <c r="D90" s="1788">
        <f>C90-$K27</f>
        <v>100</v>
      </c>
      <c r="E90" s="1788">
        <f t="shared" ref="E90:M90" si="20">D90-$K27</f>
        <v>100</v>
      </c>
      <c r="F90" s="1788">
        <f t="shared" si="20"/>
        <v>100</v>
      </c>
      <c r="G90" s="1788">
        <f t="shared" si="20"/>
        <v>100</v>
      </c>
      <c r="H90" s="1788">
        <f t="shared" si="20"/>
        <v>100</v>
      </c>
      <c r="I90" s="1788">
        <f t="shared" si="20"/>
        <v>100</v>
      </c>
      <c r="J90" s="1788">
        <f t="shared" si="20"/>
        <v>100</v>
      </c>
      <c r="K90" s="1788">
        <f t="shared" si="20"/>
        <v>100</v>
      </c>
      <c r="L90" s="1788">
        <f t="shared" si="20"/>
        <v>100</v>
      </c>
      <c r="M90" s="1788">
        <f t="shared" si="20"/>
        <v>100</v>
      </c>
      <c r="N90" s="2931"/>
      <c r="O90" s="2931"/>
      <c r="P90" s="1983"/>
      <c r="Q90" s="1747"/>
    </row>
    <row r="91" spans="1:17" s="1697" customFormat="1" ht="14.4" thickTop="1">
      <c r="A91" s="1795"/>
      <c r="B91" s="1784" t="str">
        <f>B28</f>
        <v>朝向</v>
      </c>
      <c r="C91" s="468"/>
      <c r="D91" s="468"/>
      <c r="E91" s="468"/>
      <c r="F91" s="468"/>
      <c r="G91" s="468"/>
      <c r="H91" s="443"/>
      <c r="I91" s="443"/>
      <c r="J91" s="443"/>
      <c r="K91" s="443"/>
      <c r="L91" s="443"/>
      <c r="M91" s="1796"/>
      <c r="N91" s="2932"/>
      <c r="O91" s="2932"/>
      <c r="P91" s="1984"/>
      <c r="Q91" s="1799"/>
    </row>
    <row r="92" spans="1:17" s="1697" customFormat="1" ht="14.4"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2"/>
      <c r="O92" s="2932"/>
      <c r="P92" s="1984"/>
      <c r="Q92" s="1799"/>
    </row>
    <row r="93" spans="1:17" ht="14.4" thickTop="1">
      <c r="A93" s="1779"/>
      <c r="B93" s="1784">
        <f>B29</f>
        <v>111</v>
      </c>
      <c r="C93" s="468"/>
      <c r="D93" s="468"/>
      <c r="E93" s="468"/>
      <c r="F93" s="468"/>
      <c r="G93" s="468"/>
      <c r="H93" s="468"/>
      <c r="I93" s="468"/>
      <c r="J93" s="468"/>
      <c r="K93" s="468"/>
      <c r="L93" s="468"/>
      <c r="M93" s="1816"/>
      <c r="N93" s="2930"/>
      <c r="O93" s="2930"/>
      <c r="P93" s="1983"/>
      <c r="Q93" s="1747"/>
    </row>
    <row r="94" spans="1:17" ht="14.4" thickBot="1">
      <c r="A94" s="1779"/>
      <c r="B94" s="1787"/>
      <c r="C94" s="1800"/>
      <c r="D94" s="1781"/>
      <c r="E94" s="1781"/>
      <c r="F94" s="1781"/>
      <c r="G94" s="1781"/>
      <c r="H94" s="1781"/>
      <c r="I94" s="1781"/>
      <c r="J94" s="1781"/>
      <c r="K94" s="1781"/>
      <c r="L94" s="1781"/>
      <c r="M94" s="1782"/>
      <c r="N94" s="2931"/>
      <c r="O94" s="2931"/>
      <c r="P94" s="1983"/>
      <c r="Q94" s="1747"/>
    </row>
    <row r="95" spans="1:17" ht="14.4" thickTop="1">
      <c r="A95" s="1779"/>
      <c r="B95" s="1784">
        <f>B30</f>
        <v>111</v>
      </c>
      <c r="C95" s="468"/>
      <c r="D95" s="468"/>
      <c r="E95" s="468"/>
      <c r="F95" s="468"/>
      <c r="G95" s="1503"/>
      <c r="H95" s="1503"/>
      <c r="I95" s="1503"/>
      <c r="J95" s="1503"/>
      <c r="K95" s="473"/>
      <c r="L95" s="473"/>
      <c r="M95" s="1819"/>
      <c r="N95" s="2930"/>
      <c r="O95" s="2930"/>
      <c r="P95" s="1983"/>
      <c r="Q95" s="1747"/>
    </row>
    <row r="96" spans="1:17" ht="14.4" thickBot="1">
      <c r="A96" s="1779"/>
      <c r="B96" s="1787"/>
      <c r="C96" s="1800"/>
      <c r="D96" s="1800"/>
      <c r="E96" s="1800"/>
      <c r="F96" s="1800"/>
      <c r="G96" s="1781"/>
      <c r="H96" s="1781"/>
      <c r="I96" s="1781"/>
      <c r="J96" s="1781"/>
      <c r="K96" s="1781"/>
      <c r="L96" s="1781"/>
      <c r="M96" s="1782"/>
      <c r="N96" s="2931"/>
      <c r="O96" s="2931"/>
      <c r="P96" s="1983"/>
      <c r="Q96" s="1747"/>
    </row>
    <row r="97" spans="1:17" ht="14.4" thickTop="1">
      <c r="A97" s="1779"/>
      <c r="B97" s="1784">
        <f>B31</f>
        <v>111</v>
      </c>
      <c r="C97" s="468"/>
      <c r="D97" s="468"/>
      <c r="E97" s="468"/>
      <c r="F97" s="468"/>
      <c r="G97" s="1503"/>
      <c r="H97" s="1503"/>
      <c r="I97" s="1503"/>
      <c r="J97" s="1503"/>
      <c r="K97" s="473"/>
      <c r="L97" s="473"/>
      <c r="M97" s="1819"/>
      <c r="N97" s="2930"/>
      <c r="O97" s="2930"/>
      <c r="P97" s="1983"/>
      <c r="Q97" s="1747"/>
    </row>
    <row r="98" spans="1:17" ht="14.4" thickBot="1">
      <c r="A98" s="1779"/>
      <c r="B98" s="1787"/>
      <c r="C98" s="1800"/>
      <c r="D98" s="1781"/>
      <c r="E98" s="1781"/>
      <c r="F98" s="1781"/>
      <c r="G98" s="1781"/>
      <c r="H98" s="1781"/>
      <c r="I98" s="1781"/>
      <c r="J98" s="1781"/>
      <c r="K98" s="1781"/>
      <c r="L98" s="1781"/>
      <c r="M98" s="1782"/>
      <c r="N98" s="2931"/>
      <c r="O98" s="2931"/>
      <c r="P98" s="1983"/>
      <c r="Q98" s="1747"/>
    </row>
    <row r="99" spans="1:17" ht="14.4" thickTop="1">
      <c r="A99" s="1779"/>
      <c r="B99" s="1790">
        <f>B32</f>
        <v>111</v>
      </c>
      <c r="C99" s="409"/>
      <c r="D99" s="409"/>
      <c r="E99" s="409"/>
      <c r="F99" s="409"/>
      <c r="G99" s="1820"/>
      <c r="H99" s="1820"/>
      <c r="I99" s="1820"/>
      <c r="J99" s="1820"/>
      <c r="K99" s="477"/>
      <c r="L99" s="477"/>
      <c r="M99" s="1821"/>
      <c r="N99" s="2930"/>
      <c r="O99" s="2930"/>
      <c r="P99" s="1983"/>
      <c r="Q99" s="1747"/>
    </row>
    <row r="100" spans="1:17" ht="14.4" thickBot="1">
      <c r="A100" s="1822"/>
      <c r="B100" s="1807"/>
      <c r="C100" s="1808"/>
      <c r="D100" s="1808"/>
      <c r="E100" s="1808"/>
      <c r="F100" s="1808"/>
      <c r="G100" s="1823"/>
      <c r="H100" s="1823"/>
      <c r="I100" s="1823"/>
      <c r="J100" s="1823"/>
      <c r="K100" s="1823"/>
      <c r="L100" s="1823"/>
      <c r="M100" s="1824"/>
      <c r="N100" s="2931"/>
      <c r="O100" s="2931"/>
      <c r="P100" s="1983"/>
      <c r="Q100" s="1747"/>
    </row>
    <row r="101" spans="1:17" ht="14.4">
      <c r="A101" s="1772" t="s">
        <v>2034</v>
      </c>
      <c r="B101" s="1773" t="s">
        <v>2083</v>
      </c>
      <c r="C101" s="1775"/>
      <c r="D101" s="1775"/>
      <c r="E101" s="1775"/>
      <c r="F101" s="1775"/>
      <c r="G101" s="1775"/>
      <c r="H101" s="1775"/>
      <c r="I101" s="1775"/>
      <c r="J101" s="1775"/>
      <c r="K101" s="417"/>
      <c r="L101" s="417"/>
      <c r="M101" s="1776"/>
      <c r="N101" s="2930"/>
      <c r="O101" s="2930"/>
      <c r="P101" s="1983"/>
      <c r="Q101" s="1747"/>
    </row>
    <row r="102" spans="1:17" ht="14.4"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1"/>
      <c r="O102" s="2931"/>
      <c r="P102" s="1983"/>
      <c r="Q102" s="1747"/>
    </row>
    <row r="103" spans="1:17" ht="15" thickTop="1">
      <c r="A103" s="1779"/>
      <c r="B103" s="1784"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6" t="str">
        <f>M104&amp;"(含)"&amp;"-"&amp;P104</f>
        <v>(含)-</v>
      </c>
      <c r="N103" s="2929"/>
      <c r="O103" s="2929"/>
      <c r="P103" s="1983"/>
      <c r="Q103" s="1747"/>
    </row>
    <row r="104" spans="1:17" s="1697" customFormat="1">
      <c r="A104" s="1825"/>
      <c r="B104" s="1826"/>
      <c r="C104" s="1827"/>
      <c r="D104" s="1827"/>
      <c r="E104" s="1827"/>
      <c r="F104" s="1827"/>
      <c r="G104" s="1827"/>
      <c r="H104" s="1827"/>
      <c r="I104" s="1827"/>
      <c r="J104" s="485"/>
      <c r="K104" s="485"/>
      <c r="L104" s="485"/>
      <c r="M104" s="1828"/>
      <c r="N104" s="2932"/>
      <c r="O104" s="2932"/>
      <c r="P104" s="1984"/>
      <c r="Q104" s="1799"/>
    </row>
    <row r="105" spans="1:17" s="1697" customFormat="1" ht="14.4" thickBot="1">
      <c r="A105" s="1795"/>
      <c r="B105" s="1787"/>
      <c r="C105" s="1800"/>
      <c r="D105" s="1781"/>
      <c r="E105" s="1781"/>
      <c r="F105" s="1781"/>
      <c r="G105" s="1781"/>
      <c r="H105" s="1781"/>
      <c r="I105" s="1781"/>
      <c r="J105" s="1781"/>
      <c r="K105" s="1781"/>
      <c r="L105" s="1781"/>
      <c r="M105" s="1782"/>
      <c r="N105" s="2931"/>
      <c r="O105" s="2931"/>
      <c r="P105" s="1984"/>
      <c r="Q105" s="1799"/>
    </row>
    <row r="106" spans="1:17" ht="15" thickTop="1">
      <c r="A106" s="1829"/>
      <c r="B106" s="1784" t="s">
        <v>2085</v>
      </c>
      <c r="C106" s="468"/>
      <c r="D106" s="468"/>
      <c r="E106" s="1503"/>
      <c r="F106" s="1503"/>
      <c r="G106" s="1503"/>
      <c r="H106" s="1503"/>
      <c r="I106" s="1503"/>
      <c r="J106" s="1503"/>
      <c r="K106" s="473"/>
      <c r="L106" s="473"/>
      <c r="M106" s="1819"/>
      <c r="N106" s="2930"/>
      <c r="O106" s="2930"/>
      <c r="P106" s="1983"/>
      <c r="Q106" s="1747"/>
    </row>
    <row r="107" spans="1:17" ht="14.4"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31"/>
      <c r="O107" s="2931"/>
      <c r="P107" s="1983"/>
      <c r="Q107" s="1747"/>
    </row>
    <row r="108" spans="1:17" ht="15" thickTop="1">
      <c r="A108" s="1829"/>
      <c r="B108" s="1784" t="s">
        <v>2087</v>
      </c>
      <c r="C108" s="468"/>
      <c r="D108" s="468"/>
      <c r="E108" s="468"/>
      <c r="F108" s="1503"/>
      <c r="G108" s="1503"/>
      <c r="H108" s="1503"/>
      <c r="I108" s="1503"/>
      <c r="J108" s="1503"/>
      <c r="K108" s="473"/>
      <c r="L108" s="473"/>
      <c r="M108" s="1819"/>
      <c r="N108" s="2930"/>
      <c r="O108" s="2930"/>
      <c r="P108" s="1983"/>
      <c r="Q108" s="1747"/>
    </row>
    <row r="109" spans="1:17" ht="14.4"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31"/>
      <c r="O109" s="2931"/>
      <c r="P109" s="1983"/>
      <c r="Q109" s="1747"/>
    </row>
    <row r="110" spans="1:17" ht="15" thickTop="1">
      <c r="A110" s="1829"/>
      <c r="B110" s="1784"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3"/>
      <c r="J110" s="1503"/>
      <c r="K110" s="473"/>
      <c r="L110" s="473"/>
      <c r="M110" s="1819"/>
      <c r="N110" s="2930"/>
      <c r="O110" s="2930"/>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0"/>
      <c r="O111" s="2930"/>
      <c r="P111" s="1983"/>
      <c r="Q111" s="1747"/>
    </row>
    <row r="112" spans="1:17" ht="14.4"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31"/>
      <c r="O112" s="2931"/>
      <c r="P112" s="1983"/>
      <c r="Q112" s="1747"/>
    </row>
    <row r="113" spans="1:17" s="1697" customFormat="1" ht="15" thickTop="1">
      <c r="A113" s="1825"/>
      <c r="B113" s="1784" t="s">
        <v>2158</v>
      </c>
      <c r="C113" s="468"/>
      <c r="D113" s="468"/>
      <c r="E113" s="468"/>
      <c r="F113" s="468"/>
      <c r="G113" s="468"/>
      <c r="H113" s="1503"/>
      <c r="I113" s="1503"/>
      <c r="J113" s="1503"/>
      <c r="K113" s="473"/>
      <c r="L113" s="473"/>
      <c r="M113" s="1819"/>
      <c r="N113" s="2932"/>
      <c r="O113" s="2932"/>
      <c r="P113" s="1984"/>
      <c r="Q113" s="1799"/>
    </row>
    <row r="114" spans="1:17" s="1697" customFormat="1" ht="14.4"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32"/>
      <c r="O114" s="2932"/>
      <c r="P114" s="1984"/>
      <c r="Q114" s="1799"/>
    </row>
    <row r="115" spans="1:17" ht="15" thickTop="1">
      <c r="A115" s="1829"/>
      <c r="B115" s="1784" t="s">
        <v>2089</v>
      </c>
      <c r="C115" s="468"/>
      <c r="D115" s="468"/>
      <c r="E115" s="1503"/>
      <c r="F115" s="1503"/>
      <c r="G115" s="1503"/>
      <c r="H115" s="1503"/>
      <c r="I115" s="1503"/>
      <c r="J115" s="1503"/>
      <c r="K115" s="473"/>
      <c r="L115" s="473"/>
      <c r="M115" s="1819"/>
      <c r="N115" s="2930"/>
      <c r="O115" s="2930"/>
      <c r="P115" s="1983"/>
      <c r="Q115" s="1747"/>
    </row>
    <row r="116" spans="1:17" ht="14.4"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31"/>
      <c r="O116" s="2931"/>
      <c r="P116" s="1983"/>
      <c r="Q116" s="1747"/>
    </row>
    <row r="117" spans="1:17" ht="15" thickTop="1">
      <c r="A117" s="1829"/>
      <c r="B117" s="1784" t="s">
        <v>2090</v>
      </c>
      <c r="C117" s="468"/>
      <c r="D117" s="468"/>
      <c r="E117" s="468"/>
      <c r="F117" s="468"/>
      <c r="G117" s="468"/>
      <c r="H117" s="1503"/>
      <c r="I117" s="1503"/>
      <c r="J117" s="1503"/>
      <c r="K117" s="473"/>
      <c r="L117" s="473"/>
      <c r="M117" s="1819"/>
      <c r="N117" s="2930"/>
      <c r="O117" s="2930"/>
      <c r="P117" s="1983"/>
      <c r="Q117" s="1747"/>
    </row>
    <row r="118" spans="1:17" ht="14.4"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31"/>
      <c r="O118" s="2931"/>
      <c r="P118" s="1983"/>
      <c r="Q118" s="1747"/>
    </row>
    <row r="119" spans="1:17" ht="15" thickTop="1">
      <c r="A119" s="1829"/>
      <c r="B119" s="2421" t="s">
        <v>2159</v>
      </c>
      <c r="C119" s="1503"/>
      <c r="D119" s="1503"/>
      <c r="E119" s="1503"/>
      <c r="F119" s="1503"/>
      <c r="G119" s="1503"/>
      <c r="H119" s="1503"/>
      <c r="I119" s="1503"/>
      <c r="J119" s="1503"/>
      <c r="K119" s="1503"/>
      <c r="L119" s="1503"/>
      <c r="M119" s="2422"/>
      <c r="N119" s="2931"/>
      <c r="O119" s="2931"/>
      <c r="P119" s="2423"/>
      <c r="Q119" s="2424"/>
    </row>
    <row r="120" spans="1:17" ht="14.4"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1"/>
      <c r="O120" s="2931"/>
      <c r="P120" s="1983"/>
      <c r="Q120" s="1747"/>
    </row>
    <row r="121" spans="1:17" s="1697" customFormat="1" ht="15" thickTop="1">
      <c r="A121" s="1825"/>
      <c r="B121" s="1784" t="s">
        <v>2141</v>
      </c>
      <c r="C121" s="468"/>
      <c r="D121" s="468"/>
      <c r="E121" s="468"/>
      <c r="F121" s="1503"/>
      <c r="G121" s="443"/>
      <c r="H121" s="443"/>
      <c r="I121" s="443"/>
      <c r="J121" s="443"/>
      <c r="K121" s="443"/>
      <c r="L121" s="443"/>
      <c r="M121" s="1796"/>
      <c r="N121" s="2932"/>
      <c r="O121" s="2932"/>
      <c r="P121" s="1984"/>
      <c r="Q121" s="1799"/>
    </row>
    <row r="122" spans="1:17" s="1697" customFormat="1" ht="14.4" thickBot="1">
      <c r="A122" s="1795"/>
      <c r="B122" s="1780"/>
      <c r="C122" s="1800"/>
      <c r="D122" s="1800"/>
      <c r="E122" s="1800"/>
      <c r="F122" s="1800"/>
      <c r="G122" s="1800"/>
      <c r="H122" s="1800"/>
      <c r="I122" s="1800"/>
      <c r="J122" s="1800"/>
      <c r="K122" s="1800"/>
      <c r="L122" s="1800"/>
      <c r="M122" s="1800"/>
      <c r="N122" s="2932"/>
      <c r="O122" s="2932"/>
      <c r="P122" s="1984"/>
      <c r="Q122" s="1799"/>
    </row>
    <row r="123" spans="1:17" ht="15" thickTop="1">
      <c r="A123" s="1829"/>
      <c r="B123" s="1784" t="s">
        <v>2092</v>
      </c>
      <c r="C123" s="468"/>
      <c r="D123" s="468"/>
      <c r="E123" s="468"/>
      <c r="F123" s="1503"/>
      <c r="G123" s="1503"/>
      <c r="H123" s="1503"/>
      <c r="I123" s="1503"/>
      <c r="J123" s="1503"/>
      <c r="K123" s="473"/>
      <c r="L123" s="473"/>
      <c r="M123" s="1819"/>
      <c r="N123" s="2930"/>
      <c r="O123" s="2930"/>
      <c r="P123" s="1983"/>
      <c r="Q123" s="1747"/>
    </row>
    <row r="124" spans="1:17" ht="14.4"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31"/>
      <c r="O124" s="2931"/>
      <c r="P124" s="1983"/>
      <c r="Q124" s="1747"/>
    </row>
    <row r="125" spans="1:17" ht="29.4" thickTop="1">
      <c r="A125" s="1829"/>
      <c r="B125" s="1784" t="s">
        <v>2093</v>
      </c>
      <c r="C125" s="579" t="s">
        <v>2068</v>
      </c>
      <c r="D125" s="579" t="s">
        <v>2069</v>
      </c>
      <c r="E125" s="579" t="s">
        <v>2070</v>
      </c>
      <c r="F125" s="579" t="s">
        <v>2071</v>
      </c>
      <c r="G125" s="579" t="s">
        <v>2072</v>
      </c>
      <c r="H125" s="1785"/>
      <c r="I125" s="1785"/>
      <c r="J125" s="1785"/>
      <c r="K125" s="428"/>
      <c r="L125" s="428"/>
      <c r="M125" s="1786"/>
      <c r="N125" s="2930"/>
      <c r="O125" s="2930"/>
      <c r="P125" s="1984"/>
      <c r="Q125" s="1747"/>
    </row>
    <row r="126" spans="1:17" ht="14.4"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31"/>
      <c r="O126" s="2931"/>
      <c r="P126" s="1983"/>
      <c r="Q126" s="1747"/>
    </row>
    <row r="127" spans="1:17" s="1697" customFormat="1" ht="14.4" thickTop="1">
      <c r="A127" s="1825"/>
      <c r="B127" s="1784">
        <f>B45</f>
        <v>111</v>
      </c>
      <c r="C127" s="468"/>
      <c r="D127" s="468"/>
      <c r="E127" s="468"/>
      <c r="F127" s="468"/>
      <c r="G127" s="468"/>
      <c r="H127" s="443"/>
      <c r="I127" s="443"/>
      <c r="J127" s="443"/>
      <c r="K127" s="443"/>
      <c r="L127" s="443"/>
      <c r="M127" s="1796"/>
      <c r="N127" s="2932"/>
      <c r="O127" s="2932"/>
      <c r="P127" s="1984"/>
      <c r="Q127" s="1799"/>
    </row>
    <row r="128" spans="1:17" s="1697" customFormat="1" ht="14.4" thickBot="1">
      <c r="A128" s="1795"/>
      <c r="B128" s="1787"/>
      <c r="C128" s="1800"/>
      <c r="D128" s="1781"/>
      <c r="E128" s="1781"/>
      <c r="F128" s="1781"/>
      <c r="G128" s="1800"/>
      <c r="H128" s="1803"/>
      <c r="I128" s="1803"/>
      <c r="J128" s="1803"/>
      <c r="K128" s="1803"/>
      <c r="L128" s="1803"/>
      <c r="M128" s="1804"/>
      <c r="N128" s="2932"/>
      <c r="O128" s="2932"/>
      <c r="P128" s="1984"/>
      <c r="Q128" s="1799"/>
    </row>
    <row r="129" spans="1:17" ht="14.4" thickTop="1">
      <c r="A129" s="1829"/>
      <c r="B129" s="1784">
        <f>B46</f>
        <v>111</v>
      </c>
      <c r="C129" s="468"/>
      <c r="D129" s="468"/>
      <c r="E129" s="468"/>
      <c r="F129" s="468"/>
      <c r="G129" s="1503"/>
      <c r="H129" s="1503"/>
      <c r="I129" s="1503"/>
      <c r="J129" s="1503"/>
      <c r="K129" s="473"/>
      <c r="L129" s="473"/>
      <c r="M129" s="1819"/>
      <c r="N129" s="2930"/>
      <c r="O129" s="2930"/>
      <c r="P129" s="1983"/>
      <c r="Q129" s="1747"/>
    </row>
    <row r="130" spans="1:17" ht="14.4" thickBot="1">
      <c r="A130" s="1779"/>
      <c r="B130" s="1787"/>
      <c r="C130" s="1800"/>
      <c r="D130" s="1800"/>
      <c r="E130" s="1800"/>
      <c r="F130" s="1800"/>
      <c r="G130" s="1781"/>
      <c r="H130" s="1781"/>
      <c r="I130" s="1781"/>
      <c r="J130" s="1781"/>
      <c r="K130" s="1781"/>
      <c r="L130" s="1781"/>
      <c r="M130" s="1782"/>
      <c r="N130" s="2931"/>
      <c r="O130" s="2931"/>
      <c r="P130" s="1983"/>
      <c r="Q130" s="1747"/>
    </row>
    <row r="131" spans="1:17" ht="14.4" thickTop="1">
      <c r="A131" s="1829"/>
      <c r="B131" s="1790">
        <f>B47</f>
        <v>111</v>
      </c>
      <c r="C131" s="409"/>
      <c r="D131" s="409"/>
      <c r="E131" s="409"/>
      <c r="F131" s="409"/>
      <c r="G131" s="1820"/>
      <c r="H131" s="1820"/>
      <c r="I131" s="1820"/>
      <c r="J131" s="1820"/>
      <c r="K131" s="409"/>
      <c r="L131" s="409"/>
      <c r="M131" s="1821"/>
      <c r="N131" s="2930"/>
      <c r="O131" s="2930"/>
      <c r="P131" s="1983"/>
      <c r="Q131" s="1747"/>
    </row>
    <row r="132" spans="1:17" ht="14.4" thickBot="1">
      <c r="A132" s="2425"/>
      <c r="B132" s="1807"/>
      <c r="C132" s="1808"/>
      <c r="D132" s="1808"/>
      <c r="E132" s="1808"/>
      <c r="F132" s="1808"/>
      <c r="G132" s="1823"/>
      <c r="H132" s="1823"/>
      <c r="I132" s="1823"/>
      <c r="J132" s="1823"/>
      <c r="K132" s="1823"/>
      <c r="L132" s="1823"/>
      <c r="M132" s="1824"/>
      <c r="N132" s="2931"/>
      <c r="O132" s="2931"/>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2001</v>
      </c>
      <c r="B1" s="1155" t="s">
        <v>2160</v>
      </c>
      <c r="C1" s="1147"/>
      <c r="D1" s="1160"/>
      <c r="E1" s="1484"/>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5"/>
      <c r="E2" s="1504" t="e">
        <f ca="1">SUMIF(INDIRECT("'"&amp;G2&amp;"'"&amp;"!A:A"),"承租人权益价值",INDIRECT("'"&amp;G2&amp;"'"&amp;"!c:c"))</f>
        <v>#REF!</v>
      </c>
      <c r="F2" s="1486" t="str">
        <f>C2</f>
        <v>元</v>
      </c>
      <c r="G2" s="1487"/>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262.86</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2005</v>
      </c>
      <c r="B4" s="295"/>
      <c r="C4" s="3657" t="s">
        <v>2006</v>
      </c>
      <c r="D4" s="3658"/>
      <c r="E4" s="3659" t="s">
        <v>2007</v>
      </c>
      <c r="F4" s="3660"/>
      <c r="G4" s="3657" t="s">
        <v>2008</v>
      </c>
      <c r="H4" s="3658"/>
      <c r="I4" s="3657" t="s">
        <v>2009</v>
      </c>
      <c r="J4" s="3658"/>
      <c r="K4" s="496" t="s">
        <v>2010</v>
      </c>
      <c r="L4" s="2939"/>
      <c r="M4" s="2940"/>
      <c r="N4" s="2940"/>
      <c r="O4" s="2940"/>
      <c r="P4" s="3661" t="s">
        <v>2011</v>
      </c>
      <c r="Q4" s="3662"/>
      <c r="R4" s="3667" t="s">
        <v>2007</v>
      </c>
      <c r="S4" s="3668"/>
      <c r="T4" s="3667" t="s">
        <v>2008</v>
      </c>
      <c r="U4" s="3668"/>
      <c r="V4" s="3673" t="s">
        <v>2009</v>
      </c>
      <c r="W4" s="3673"/>
      <c r="X4" s="1263"/>
      <c r="Y4" s="3667" t="s">
        <v>2011</v>
      </c>
      <c r="Z4" s="3668"/>
      <c r="AA4" s="3654" t="s">
        <v>2007</v>
      </c>
      <c r="AB4" s="3655" t="s">
        <v>2008</v>
      </c>
      <c r="AC4" s="3654" t="s">
        <v>2009</v>
      </c>
    </row>
    <row r="5" spans="1:29">
      <c r="A5" s="297"/>
      <c r="B5" s="298"/>
      <c r="C5" s="3650" t="s">
        <v>2012</v>
      </c>
      <c r="D5" s="3651"/>
      <c r="E5" s="3674" t="s">
        <v>2013</v>
      </c>
      <c r="F5" s="3675"/>
      <c r="G5" s="3650" t="s">
        <v>2014</v>
      </c>
      <c r="H5" s="3651"/>
      <c r="I5" s="3650" t="s">
        <v>2015</v>
      </c>
      <c r="J5" s="3651"/>
      <c r="K5" s="496"/>
      <c r="L5" s="2939"/>
      <c r="M5" s="2940"/>
      <c r="N5" s="2940"/>
      <c r="O5" s="2940"/>
      <c r="P5" s="3663"/>
      <c r="Q5" s="3664"/>
      <c r="R5" s="3669"/>
      <c r="S5" s="3670"/>
      <c r="T5" s="3669"/>
      <c r="U5" s="3670"/>
      <c r="V5" s="3673"/>
      <c r="W5" s="3673"/>
      <c r="X5" s="1263"/>
      <c r="Y5" s="3669"/>
      <c r="Z5" s="3670"/>
      <c r="AA5" s="3655"/>
      <c r="AB5" s="3655"/>
      <c r="AC5" s="3655"/>
    </row>
    <row r="6" spans="1:29" ht="15" thickBot="1">
      <c r="A6" s="299"/>
      <c r="B6" s="300"/>
      <c r="C6" s="3647" t="s">
        <v>2016</v>
      </c>
      <c r="D6" s="3648"/>
      <c r="E6" s="3645" t="s">
        <v>2016</v>
      </c>
      <c r="F6" s="3646"/>
      <c r="G6" s="3647" t="s">
        <v>2016</v>
      </c>
      <c r="H6" s="3648"/>
      <c r="I6" s="3647" t="s">
        <v>2016</v>
      </c>
      <c r="J6" s="3648"/>
      <c r="K6" s="496" t="s">
        <v>2017</v>
      </c>
      <c r="L6" s="2939"/>
      <c r="M6" s="2940"/>
      <c r="N6" s="2940"/>
      <c r="O6" s="2940"/>
      <c r="P6" s="3665"/>
      <c r="Q6" s="3666"/>
      <c r="R6" s="3669"/>
      <c r="S6" s="3670"/>
      <c r="T6" s="3671"/>
      <c r="U6" s="3672"/>
      <c r="V6" s="3673"/>
      <c r="W6" s="3673"/>
      <c r="X6" s="1263"/>
      <c r="Y6" s="3671"/>
      <c r="Z6" s="3672"/>
      <c r="AA6" s="3656"/>
      <c r="AB6" s="3656"/>
      <c r="AC6" s="3656"/>
    </row>
    <row r="7" spans="1:29" s="25" customFormat="1" ht="15" thickBot="1">
      <c r="A7" s="301" t="s">
        <v>2018</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52" t="s">
        <v>2019</v>
      </c>
      <c r="Q7" s="3676"/>
      <c r="R7" s="627" t="s">
        <v>25</v>
      </c>
      <c r="S7" s="628">
        <f t="shared" ref="S7:S15" si="0">F7</f>
        <v>0</v>
      </c>
      <c r="T7" s="627" t="s">
        <v>25</v>
      </c>
      <c r="U7" s="628">
        <f t="shared" ref="U7:U15" si="1">H7</f>
        <v>0</v>
      </c>
      <c r="V7" s="627" t="s">
        <v>25</v>
      </c>
      <c r="W7" s="628">
        <f t="shared" ref="W7:W15" si="2">J7</f>
        <v>0</v>
      </c>
      <c r="X7" s="629"/>
      <c r="Y7" s="3652" t="s">
        <v>2019</v>
      </c>
      <c r="Z7" s="3653"/>
      <c r="AA7" s="630" t="e">
        <f>D7/F7</f>
        <v>#DIV/0!</v>
      </c>
      <c r="AB7" s="630" t="e">
        <f>D7/H7</f>
        <v>#DIV/0!</v>
      </c>
      <c r="AC7" s="630" t="e">
        <f>D7/J7</f>
        <v>#DIV/0!</v>
      </c>
    </row>
    <row r="8" spans="1:29" s="25" customFormat="1" ht="15" thickBot="1">
      <c r="A8" s="301" t="s">
        <v>2020</v>
      </c>
      <c r="B8" s="302"/>
      <c r="C8" s="307" t="s">
        <v>2635</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52" t="s">
        <v>2022</v>
      </c>
      <c r="Q8" s="3653"/>
      <c r="R8" s="627" t="s">
        <v>25</v>
      </c>
      <c r="S8" s="628">
        <f t="shared" si="0"/>
        <v>0</v>
      </c>
      <c r="T8" s="627" t="s">
        <v>25</v>
      </c>
      <c r="U8" s="628">
        <f t="shared" si="1"/>
        <v>0</v>
      </c>
      <c r="V8" s="627" t="s">
        <v>25</v>
      </c>
      <c r="W8" s="628">
        <f t="shared" si="2"/>
        <v>0</v>
      </c>
      <c r="X8" s="629"/>
      <c r="Y8" s="3652" t="s">
        <v>2022</v>
      </c>
      <c r="Z8" s="3653"/>
      <c r="AA8" s="630" t="e">
        <f t="shared" ref="AA8:AA40" si="3">D8/F8</f>
        <v>#DIV/0!</v>
      </c>
      <c r="AB8" s="630" t="e">
        <f t="shared" ref="AB8:AB40" si="4">D8/H8</f>
        <v>#DIV/0!</v>
      </c>
      <c r="AC8" s="630" t="e">
        <f t="shared" ref="AC8:AC40" si="5">D8/J8</f>
        <v>#DIV/0!</v>
      </c>
    </row>
    <row r="9" spans="1:29" s="25" customFormat="1" ht="14.4">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49" t="s">
        <v>2025</v>
      </c>
      <c r="Q9" s="1255" t="str">
        <f t="shared" ref="Q9:Q15" si="6">B9</f>
        <v>用途</v>
      </c>
      <c r="R9" s="627" t="s">
        <v>25</v>
      </c>
      <c r="S9" s="628">
        <f t="shared" si="0"/>
        <v>100</v>
      </c>
      <c r="T9" s="627" t="s">
        <v>25</v>
      </c>
      <c r="U9" s="628">
        <f t="shared" si="1"/>
        <v>100</v>
      </c>
      <c r="V9" s="627" t="s">
        <v>25</v>
      </c>
      <c r="W9" s="628">
        <f t="shared" si="2"/>
        <v>100</v>
      </c>
      <c r="X9" s="629"/>
      <c r="Y9" s="3679" t="s">
        <v>2026</v>
      </c>
      <c r="Z9" s="19" t="str">
        <f t="shared" ref="Z9:Z15" si="7">Q9</f>
        <v>用途</v>
      </c>
      <c r="AA9" s="630">
        <f t="shared" si="3"/>
        <v>1</v>
      </c>
      <c r="AB9" s="630">
        <f t="shared" si="4"/>
        <v>1</v>
      </c>
      <c r="AC9" s="630">
        <f t="shared" si="5"/>
        <v>1</v>
      </c>
    </row>
    <row r="10" spans="1:29" s="317" customFormat="1" ht="28.8">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88">
        <v>111</v>
      </c>
      <c r="C12" s="322"/>
      <c r="D12" s="323">
        <v>100</v>
      </c>
      <c r="E12" s="324"/>
      <c r="F12" s="29">
        <f>SUMIF(64:64,E12,65:65)-SUMIF(64:64,C12,65:65)+100</f>
        <v>100</v>
      </c>
      <c r="G12" s="1505"/>
      <c r="H12" s="29">
        <f>SUMIF(64:64,G12,65:65)-SUMIF(64:64,C12,65:65)+100</f>
        <v>100</v>
      </c>
      <c r="I12" s="357"/>
      <c r="J12" s="29">
        <f>SUMIF(64:64,I12,65:65)-SUMIF(64:64,C12,65:65)+100</f>
        <v>100</v>
      </c>
      <c r="K12" s="499"/>
      <c r="L12" s="2941"/>
      <c r="M12" s="2942"/>
      <c r="N12" s="2942"/>
      <c r="O12" s="2943"/>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88">
        <v>111</v>
      </c>
      <c r="C13" s="324"/>
      <c r="D13" s="325">
        <v>100</v>
      </c>
      <c r="E13" s="324"/>
      <c r="F13" s="29">
        <f>SUMIF(66:66,E13,67:67)-SUMIF(66:66,C13,67:67)+100</f>
        <v>100</v>
      </c>
      <c r="G13" s="1505"/>
      <c r="H13" s="325">
        <f>SUMIF(66:66,G13,67:67)-SUMIF(66:66,C13,67:67)+100</f>
        <v>100</v>
      </c>
      <c r="I13" s="357"/>
      <c r="J13" s="325">
        <f>SUMIF(66:66,I13,67:67)-SUMIF(66:66,C13,67:67)+100</f>
        <v>100</v>
      </c>
      <c r="K13" s="499"/>
      <c r="L13" s="2949"/>
      <c r="M13" s="2940"/>
      <c r="N13" s="2940"/>
      <c r="O13" s="2948"/>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6" thickBot="1">
      <c r="A14" s="326"/>
      <c r="B14" s="1489">
        <v>111</v>
      </c>
      <c r="C14" s="1490"/>
      <c r="D14" s="327">
        <v>100</v>
      </c>
      <c r="E14" s="1490"/>
      <c r="F14" s="327">
        <f>SUMIF(68:68,E14,69:69)-SUMIF(68:68,C14,69:69)+100</f>
        <v>100</v>
      </c>
      <c r="G14" s="1505"/>
      <c r="H14" s="327">
        <f>SUMIF(68:68,G14,69:69)-SUMIF(68:68,C14,69:69)+100</f>
        <v>100</v>
      </c>
      <c r="I14" s="357"/>
      <c r="J14" s="327">
        <f>SUMIF(68:68,I14,69:69)-SUMIF(68:68,C14,69:69)+100</f>
        <v>100</v>
      </c>
      <c r="K14" s="499"/>
      <c r="L14" s="2949"/>
      <c r="M14" s="2940"/>
      <c r="N14" s="2940"/>
      <c r="O14" s="2948"/>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69">
      <c r="A15" s="329" t="s">
        <v>2029</v>
      </c>
      <c r="B15" s="22" t="s">
        <v>2161</v>
      </c>
      <c r="C15" s="150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77" t="s">
        <v>2030</v>
      </c>
      <c r="Q15" s="1262" t="str">
        <f t="shared" si="6"/>
        <v>产业集聚程度</v>
      </c>
      <c r="R15" s="631" t="s">
        <v>25</v>
      </c>
      <c r="S15" s="632">
        <f t="shared" si="0"/>
        <v>100</v>
      </c>
      <c r="T15" s="631" t="s">
        <v>25</v>
      </c>
      <c r="U15" s="632">
        <f t="shared" si="1"/>
        <v>100</v>
      </c>
      <c r="V15" s="631" t="s">
        <v>25</v>
      </c>
      <c r="W15" s="632">
        <f t="shared" si="2"/>
        <v>100</v>
      </c>
      <c r="X15" s="1263"/>
      <c r="Y15" s="3677"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78"/>
      <c r="Q16" s="1262"/>
      <c r="R16" s="631"/>
      <c r="S16" s="632"/>
      <c r="T16" s="631"/>
      <c r="U16" s="632"/>
      <c r="V16" s="631"/>
      <c r="W16" s="632"/>
      <c r="X16" s="1263"/>
      <c r="Y16" s="3678"/>
      <c r="Z16" s="1264"/>
      <c r="AA16" s="1265">
        <v>1</v>
      </c>
      <c r="AB16" s="1265">
        <v>1</v>
      </c>
      <c r="AC16" s="1265">
        <v>1</v>
      </c>
    </row>
    <row r="17" spans="1:29" ht="96.6">
      <c r="A17" s="318"/>
      <c r="B17" s="340" t="s">
        <v>1466</v>
      </c>
      <c r="C17" s="149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345"/>
      <c r="C18" s="346"/>
      <c r="D18" s="339"/>
      <c r="E18" s="1060"/>
      <c r="F18" s="342"/>
      <c r="G18" s="1493"/>
      <c r="H18" s="336"/>
      <c r="I18" s="1060"/>
      <c r="J18" s="336"/>
      <c r="K18" s="501"/>
      <c r="L18" s="2949"/>
      <c r="M18" s="2940"/>
      <c r="N18" s="2940"/>
      <c r="O18" s="2948"/>
      <c r="P18" s="3678"/>
      <c r="Q18" s="1262"/>
      <c r="R18" s="631"/>
      <c r="S18" s="632"/>
      <c r="T18" s="631"/>
      <c r="U18" s="632"/>
      <c r="V18" s="631"/>
      <c r="W18" s="632"/>
      <c r="X18" s="1263"/>
      <c r="Y18" s="3678"/>
      <c r="Z18" s="1264"/>
      <c r="AA18" s="1265">
        <v>1</v>
      </c>
      <c r="AB18" s="1265">
        <v>1</v>
      </c>
      <c r="AC18" s="1265">
        <v>1</v>
      </c>
    </row>
    <row r="19" spans="1:29" ht="41.4">
      <c r="A19" s="318"/>
      <c r="B19" s="513" t="s">
        <v>2145</v>
      </c>
      <c r="C19" s="149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78"/>
      <c r="Q19" s="1262" t="str">
        <f>B19</f>
        <v>公共配套设施</v>
      </c>
      <c r="R19" s="631" t="s">
        <v>25</v>
      </c>
      <c r="S19" s="632">
        <f>F19</f>
        <v>100</v>
      </c>
      <c r="T19" s="631" t="s">
        <v>25</v>
      </c>
      <c r="U19" s="632">
        <f>H19</f>
        <v>100</v>
      </c>
      <c r="V19" s="631" t="s">
        <v>25</v>
      </c>
      <c r="W19" s="632">
        <f>J19</f>
        <v>100</v>
      </c>
      <c r="X19" s="1263"/>
      <c r="Y19" s="3678"/>
      <c r="Z19" s="1264" t="str">
        <f>Q19</f>
        <v>公共配套设施</v>
      </c>
      <c r="AA19" s="1265">
        <f t="shared" si="3"/>
        <v>1</v>
      </c>
      <c r="AB19" s="1265">
        <f t="shared" si="4"/>
        <v>1</v>
      </c>
      <c r="AC19" s="1265">
        <f t="shared" si="5"/>
        <v>1</v>
      </c>
    </row>
    <row r="20" spans="1:29" ht="15">
      <c r="A20" s="318"/>
      <c r="B20" s="514"/>
      <c r="C20" s="335"/>
      <c r="D20" s="336"/>
      <c r="E20" s="337"/>
      <c r="F20" s="338"/>
      <c r="G20" s="1491"/>
      <c r="H20" s="336"/>
      <c r="I20" s="337"/>
      <c r="J20" s="336"/>
      <c r="K20" s="501"/>
      <c r="L20" s="2949"/>
      <c r="M20" s="2940"/>
      <c r="N20" s="2940"/>
      <c r="O20" s="2948"/>
      <c r="P20" s="3678"/>
      <c r="Q20" s="1262"/>
      <c r="R20" s="631"/>
      <c r="S20" s="632"/>
      <c r="T20" s="631"/>
      <c r="U20" s="632"/>
      <c r="V20" s="631"/>
      <c r="W20" s="632"/>
      <c r="X20" s="1263"/>
      <c r="Y20" s="3678"/>
      <c r="Z20" s="1264"/>
      <c r="AA20" s="1265">
        <v>1</v>
      </c>
      <c r="AB20" s="1265">
        <v>1</v>
      </c>
      <c r="AC20" s="1265">
        <v>1</v>
      </c>
    </row>
    <row r="21" spans="1:29" ht="41.4">
      <c r="A21" s="318"/>
      <c r="B21" s="515" t="s">
        <v>2146</v>
      </c>
      <c r="C21" s="149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78"/>
      <c r="Q21" s="1262" t="str">
        <f>B21</f>
        <v>基础设施水平</v>
      </c>
      <c r="R21" s="631" t="s">
        <v>25</v>
      </c>
      <c r="S21" s="632">
        <f>F21</f>
        <v>100</v>
      </c>
      <c r="T21" s="631" t="s">
        <v>25</v>
      </c>
      <c r="U21" s="632">
        <f>H21</f>
        <v>100</v>
      </c>
      <c r="V21" s="631" t="s">
        <v>25</v>
      </c>
      <c r="W21" s="632">
        <f>J21</f>
        <v>100</v>
      </c>
      <c r="X21" s="1263"/>
      <c r="Y21" s="3678"/>
      <c r="Z21" s="1264" t="str">
        <f>Q21</f>
        <v>基础设施水平</v>
      </c>
      <c r="AA21" s="1265">
        <f t="shared" ref="AA21" si="8">D21/F21</f>
        <v>1</v>
      </c>
      <c r="AB21" s="1265">
        <f t="shared" ref="AB21" si="9">D21/H21</f>
        <v>1</v>
      </c>
      <c r="AC21" s="1265">
        <f t="shared" ref="AC21" si="10">D21/J21</f>
        <v>1</v>
      </c>
    </row>
    <row r="22" spans="1:29" ht="15">
      <c r="A22" s="318"/>
      <c r="B22" s="1494"/>
      <c r="C22" s="346"/>
      <c r="D22" s="336"/>
      <c r="E22" s="335"/>
      <c r="F22" s="338"/>
      <c r="G22" s="335"/>
      <c r="H22" s="336"/>
      <c r="I22" s="335"/>
      <c r="J22" s="336"/>
      <c r="K22" s="1061"/>
      <c r="L22" s="2949"/>
      <c r="M22" s="2940"/>
      <c r="N22" s="2940"/>
      <c r="O22" s="2948"/>
      <c r="P22" s="3678"/>
      <c r="Q22" s="1262"/>
      <c r="R22" s="631"/>
      <c r="S22" s="632"/>
      <c r="T22" s="631"/>
      <c r="U22" s="632"/>
      <c r="V22" s="631"/>
      <c r="W22" s="632"/>
      <c r="X22" s="1263"/>
      <c r="Y22" s="3678"/>
      <c r="Z22" s="1264"/>
      <c r="AA22" s="1265">
        <v>1</v>
      </c>
      <c r="AB22" s="1265">
        <v>1</v>
      </c>
      <c r="AC22" s="1265">
        <v>1</v>
      </c>
    </row>
    <row r="23" spans="1:29" ht="82.8">
      <c r="A23" s="318"/>
      <c r="B23" s="340" t="s">
        <v>2147</v>
      </c>
      <c r="C23" s="149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78"/>
      <c r="Q23" s="1262" t="str">
        <f>B23</f>
        <v>环境质量</v>
      </c>
      <c r="R23" s="631" t="s">
        <v>25</v>
      </c>
      <c r="S23" s="632">
        <f>F23</f>
        <v>100</v>
      </c>
      <c r="T23" s="631" t="s">
        <v>25</v>
      </c>
      <c r="U23" s="632">
        <f>H23</f>
        <v>100</v>
      </c>
      <c r="V23" s="631" t="s">
        <v>25</v>
      </c>
      <c r="W23" s="632">
        <f>J23</f>
        <v>100</v>
      </c>
      <c r="X23" s="1263"/>
      <c r="Y23" s="3678"/>
      <c r="Z23" s="1264" t="str">
        <f>Q23</f>
        <v>环境质量</v>
      </c>
      <c r="AA23" s="1265">
        <f t="shared" si="3"/>
        <v>1</v>
      </c>
      <c r="AB23" s="1265">
        <f t="shared" si="4"/>
        <v>1</v>
      </c>
      <c r="AC23" s="1265">
        <f t="shared" si="5"/>
        <v>1</v>
      </c>
    </row>
    <row r="24" spans="1:29" ht="15">
      <c r="A24" s="318"/>
      <c r="B24" s="1494"/>
      <c r="C24" s="335"/>
      <c r="D24" s="336"/>
      <c r="E24" s="337"/>
      <c r="F24" s="338"/>
      <c r="G24" s="1491"/>
      <c r="H24" s="336"/>
      <c r="I24" s="337"/>
      <c r="J24" s="336"/>
      <c r="K24" s="501"/>
      <c r="L24" s="2949"/>
      <c r="M24" s="2940"/>
      <c r="N24" s="2940"/>
      <c r="O24" s="2948"/>
      <c r="P24" s="3678"/>
      <c r="Q24" s="1262"/>
      <c r="R24" s="631"/>
      <c r="S24" s="632"/>
      <c r="T24" s="631"/>
      <c r="U24" s="632"/>
      <c r="V24" s="631"/>
      <c r="W24" s="632"/>
      <c r="X24" s="1263"/>
      <c r="Y24" s="3678"/>
      <c r="Z24" s="1264"/>
      <c r="AA24" s="1265">
        <v>1</v>
      </c>
      <c r="AB24" s="1265">
        <v>1</v>
      </c>
      <c r="AC24" s="1265">
        <v>1</v>
      </c>
    </row>
    <row r="25" spans="1:29" ht="15">
      <c r="A25" s="297"/>
      <c r="B25" s="1496">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78"/>
      <c r="Q25" s="1262">
        <f>B25</f>
        <v>111</v>
      </c>
      <c r="R25" s="631" t="s">
        <v>25</v>
      </c>
      <c r="S25" s="632">
        <f>F25</f>
        <v>100</v>
      </c>
      <c r="T25" s="631" t="s">
        <v>25</v>
      </c>
      <c r="U25" s="632">
        <f>H25</f>
        <v>100</v>
      </c>
      <c r="V25" s="631" t="s">
        <v>25</v>
      </c>
      <c r="W25" s="632">
        <f>J25</f>
        <v>100</v>
      </c>
      <c r="X25" s="1263"/>
      <c r="Y25" s="3678"/>
      <c r="Z25" s="1264">
        <f>Q25</f>
        <v>111</v>
      </c>
      <c r="AA25" s="1265">
        <f t="shared" si="3"/>
        <v>1</v>
      </c>
      <c r="AB25" s="1265">
        <f t="shared" si="4"/>
        <v>1</v>
      </c>
      <c r="AC25" s="1265">
        <f t="shared" si="5"/>
        <v>1</v>
      </c>
    </row>
    <row r="26" spans="1:29" ht="15">
      <c r="A26" s="318"/>
      <c r="B26" s="1496">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78"/>
      <c r="Q26" s="1262">
        <f t="shared" ref="Q26:Q40" si="11">B26</f>
        <v>111</v>
      </c>
      <c r="R26" s="631" t="s">
        <v>25</v>
      </c>
      <c r="S26" s="632">
        <f>F26</f>
        <v>100</v>
      </c>
      <c r="T26" s="631" t="s">
        <v>25</v>
      </c>
      <c r="U26" s="632">
        <f>H26</f>
        <v>100</v>
      </c>
      <c r="V26" s="631" t="s">
        <v>25</v>
      </c>
      <c r="W26" s="632">
        <f>J26</f>
        <v>100</v>
      </c>
      <c r="X26" s="1263"/>
      <c r="Y26" s="3678"/>
      <c r="Z26" s="1264">
        <f>Q26</f>
        <v>111</v>
      </c>
      <c r="AA26" s="1265">
        <f t="shared" si="3"/>
        <v>1</v>
      </c>
      <c r="AB26" s="1265">
        <f t="shared" si="4"/>
        <v>1</v>
      </c>
      <c r="AC26" s="1265">
        <f t="shared" si="5"/>
        <v>1</v>
      </c>
    </row>
    <row r="27" spans="1:29" s="25" customFormat="1" ht="15">
      <c r="A27" s="321"/>
      <c r="B27" s="1496">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78"/>
      <c r="Q27" s="1255">
        <f t="shared" si="11"/>
        <v>111</v>
      </c>
      <c r="R27" s="627" t="s">
        <v>25</v>
      </c>
      <c r="S27" s="628">
        <f>F27</f>
        <v>100</v>
      </c>
      <c r="T27" s="627" t="s">
        <v>25</v>
      </c>
      <c r="U27" s="628">
        <f>H27</f>
        <v>100</v>
      </c>
      <c r="V27" s="627" t="s">
        <v>25</v>
      </c>
      <c r="W27" s="628">
        <f>J27</f>
        <v>100</v>
      </c>
      <c r="X27" s="629"/>
      <c r="Y27" s="3678"/>
      <c r="Z27" s="19">
        <f>Q27</f>
        <v>111</v>
      </c>
      <c r="AA27" s="1265">
        <f>D27/F27</f>
        <v>1</v>
      </c>
      <c r="AB27" s="1265">
        <f>D27/H27</f>
        <v>1</v>
      </c>
      <c r="AC27" s="1265">
        <f>D27/J27</f>
        <v>1</v>
      </c>
    </row>
    <row r="28" spans="1:29" ht="15.6" thickBot="1">
      <c r="A28" s="326"/>
      <c r="B28" s="1496">
        <v>111</v>
      </c>
      <c r="C28" s="1490"/>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78"/>
      <c r="Q28" s="1262">
        <f t="shared" si="11"/>
        <v>111</v>
      </c>
      <c r="R28" s="631" t="s">
        <v>25</v>
      </c>
      <c r="S28" s="632">
        <f t="shared" ref="S28:S40" si="12">F28</f>
        <v>100</v>
      </c>
      <c r="T28" s="631" t="s">
        <v>25</v>
      </c>
      <c r="U28" s="632">
        <f t="shared" ref="U28:U40" si="13">H28</f>
        <v>100</v>
      </c>
      <c r="V28" s="631" t="s">
        <v>25</v>
      </c>
      <c r="W28" s="632">
        <f t="shared" ref="W28:W40" si="14">J28</f>
        <v>100</v>
      </c>
      <c r="X28" s="1263"/>
      <c r="Y28" s="3678"/>
      <c r="Z28" s="1264">
        <f t="shared" ref="Z28:Z40" si="15">Q28</f>
        <v>111</v>
      </c>
      <c r="AA28" s="1265">
        <f t="shared" si="3"/>
        <v>1</v>
      </c>
      <c r="AB28" s="1265">
        <f t="shared" si="4"/>
        <v>1</v>
      </c>
      <c r="AC28" s="1265">
        <f t="shared" si="5"/>
        <v>1</v>
      </c>
    </row>
    <row r="29" spans="1:29" ht="30">
      <c r="A29" s="354" t="s">
        <v>2034</v>
      </c>
      <c r="B29" s="24" t="s">
        <v>2150</v>
      </c>
      <c r="C29" s="1502"/>
      <c r="D29" s="355">
        <v>100</v>
      </c>
      <c r="E29" s="1502"/>
      <c r="F29" s="351">
        <f>SUMIF(88:88,E29,89:89)-SUMIF(88:88,C29,89:89)+100</f>
        <v>100</v>
      </c>
      <c r="G29" s="1502"/>
      <c r="H29" s="325">
        <f>SUMIF(88:88,G29,89:89)-SUMIF(88:88,C29,89:89)+100</f>
        <v>100</v>
      </c>
      <c r="I29" s="1502"/>
      <c r="J29" s="355">
        <f>SUMIF(88:88,I29,89:89)-SUMIF(88:88,C29,89:89)+100</f>
        <v>100</v>
      </c>
      <c r="K29" s="498"/>
      <c r="L29" s="2949"/>
      <c r="M29" s="2940"/>
      <c r="N29" s="2940"/>
      <c r="O29" s="2948"/>
      <c r="P29" s="3680" t="s">
        <v>2036</v>
      </c>
      <c r="Q29" s="1262" t="str">
        <f t="shared" si="11"/>
        <v>建筑类型</v>
      </c>
      <c r="R29" s="631" t="s">
        <v>25</v>
      </c>
      <c r="S29" s="632">
        <f t="shared" si="12"/>
        <v>100</v>
      </c>
      <c r="T29" s="631" t="s">
        <v>25</v>
      </c>
      <c r="U29" s="632">
        <f t="shared" si="13"/>
        <v>100</v>
      </c>
      <c r="V29" s="631" t="s">
        <v>25</v>
      </c>
      <c r="W29" s="632">
        <f t="shared" si="14"/>
        <v>100</v>
      </c>
      <c r="X29" s="1263"/>
      <c r="Y29" s="3681"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81"/>
      <c r="Q30" s="633" t="str">
        <f t="shared" si="11"/>
        <v>项目建筑规模</v>
      </c>
      <c r="R30" s="634" t="s">
        <v>25</v>
      </c>
      <c r="S30" s="635" t="e">
        <f t="shared" si="12"/>
        <v>#N/A</v>
      </c>
      <c r="T30" s="634" t="s">
        <v>25</v>
      </c>
      <c r="U30" s="635" t="e">
        <f t="shared" si="13"/>
        <v>#N/A</v>
      </c>
      <c r="V30" s="634" t="s">
        <v>25</v>
      </c>
      <c r="W30" s="635" t="e">
        <f t="shared" si="14"/>
        <v>#N/A</v>
      </c>
      <c r="X30" s="636"/>
      <c r="Y30" s="3681"/>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81"/>
      <c r="Q31" s="1262" t="str">
        <f t="shared" si="11"/>
        <v>建筑结构</v>
      </c>
      <c r="R31" s="631" t="s">
        <v>25</v>
      </c>
      <c r="S31" s="632">
        <f t="shared" si="12"/>
        <v>100</v>
      </c>
      <c r="T31" s="631" t="s">
        <v>25</v>
      </c>
      <c r="U31" s="632">
        <f t="shared" si="13"/>
        <v>100</v>
      </c>
      <c r="V31" s="631" t="s">
        <v>25</v>
      </c>
      <c r="W31" s="632">
        <f t="shared" si="14"/>
        <v>100</v>
      </c>
      <c r="X31" s="1263"/>
      <c r="Y31" s="3681"/>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81"/>
      <c r="Q32" s="1262" t="str">
        <f t="shared" si="11"/>
        <v>公共部分装修</v>
      </c>
      <c r="R32" s="631" t="s">
        <v>25</v>
      </c>
      <c r="S32" s="632">
        <f t="shared" si="12"/>
        <v>100</v>
      </c>
      <c r="T32" s="631" t="s">
        <v>25</v>
      </c>
      <c r="U32" s="632">
        <f t="shared" si="13"/>
        <v>100</v>
      </c>
      <c r="V32" s="631" t="s">
        <v>25</v>
      </c>
      <c r="W32" s="632">
        <f t="shared" si="14"/>
        <v>100</v>
      </c>
      <c r="X32" s="1263"/>
      <c r="Y32" s="3681"/>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81"/>
      <c r="Q33" s="1262" t="str">
        <f t="shared" si="11"/>
        <v>成新度</v>
      </c>
      <c r="R33" s="631" t="s">
        <v>25</v>
      </c>
      <c r="S33" s="632" t="e">
        <f t="shared" si="12"/>
        <v>#N/A</v>
      </c>
      <c r="T33" s="631" t="s">
        <v>25</v>
      </c>
      <c r="U33" s="632" t="e">
        <f t="shared" si="13"/>
        <v>#N/A</v>
      </c>
      <c r="V33" s="631" t="s">
        <v>25</v>
      </c>
      <c r="W33" s="632" t="e">
        <f t="shared" si="14"/>
        <v>#N/A</v>
      </c>
      <c r="X33" s="1263"/>
      <c r="Y33" s="3681"/>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81"/>
      <c r="Q34" s="1255" t="str">
        <f t="shared" si="11"/>
        <v>物业管理</v>
      </c>
      <c r="R34" s="627" t="s">
        <v>25</v>
      </c>
      <c r="S34" s="628">
        <f t="shared" si="12"/>
        <v>100</v>
      </c>
      <c r="T34" s="627" t="s">
        <v>25</v>
      </c>
      <c r="U34" s="628">
        <f t="shared" si="13"/>
        <v>100</v>
      </c>
      <c r="V34" s="627" t="s">
        <v>25</v>
      </c>
      <c r="W34" s="628">
        <f t="shared" si="14"/>
        <v>100</v>
      </c>
      <c r="X34" s="629"/>
      <c r="Y34" s="3681"/>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81" t="s">
        <v>2036</v>
      </c>
      <c r="Q35" s="1262" t="str">
        <f t="shared" si="11"/>
        <v>市政基础设施</v>
      </c>
      <c r="R35" s="631" t="s">
        <v>25</v>
      </c>
      <c r="S35" s="632">
        <f t="shared" si="12"/>
        <v>100</v>
      </c>
      <c r="T35" s="631" t="s">
        <v>25</v>
      </c>
      <c r="U35" s="632">
        <f t="shared" si="13"/>
        <v>100</v>
      </c>
      <c r="V35" s="631" t="s">
        <v>25</v>
      </c>
      <c r="W35" s="632">
        <f t="shared" si="14"/>
        <v>100</v>
      </c>
      <c r="X35" s="1263"/>
      <c r="Y35" s="3681"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81"/>
      <c r="Q36" s="1262" t="str">
        <f t="shared" si="11"/>
        <v>内部装修</v>
      </c>
      <c r="R36" s="631" t="s">
        <v>25</v>
      </c>
      <c r="S36" s="632">
        <f t="shared" si="12"/>
        <v>100</v>
      </c>
      <c r="T36" s="631" t="s">
        <v>25</v>
      </c>
      <c r="U36" s="632">
        <f t="shared" si="13"/>
        <v>100</v>
      </c>
      <c r="V36" s="631" t="s">
        <v>25</v>
      </c>
      <c r="W36" s="632">
        <f t="shared" si="14"/>
        <v>100</v>
      </c>
      <c r="X36" s="1263"/>
      <c r="Y36" s="3681"/>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81"/>
      <c r="Q37" s="1262" t="str">
        <f t="shared" si="11"/>
        <v>内部装修状况</v>
      </c>
      <c r="R37" s="631" t="s">
        <v>25</v>
      </c>
      <c r="S37" s="632">
        <f t="shared" si="12"/>
        <v>100</v>
      </c>
      <c r="T37" s="631" t="s">
        <v>25</v>
      </c>
      <c r="U37" s="632">
        <f t="shared" si="13"/>
        <v>100</v>
      </c>
      <c r="V37" s="631" t="s">
        <v>25</v>
      </c>
      <c r="W37" s="632">
        <f t="shared" si="14"/>
        <v>100</v>
      </c>
      <c r="X37" s="1263"/>
      <c r="Y37" s="3681"/>
      <c r="Z37" s="1264" t="str">
        <f t="shared" si="15"/>
        <v>内部装修状况</v>
      </c>
      <c r="AA37" s="1265">
        <f t="shared" si="3"/>
        <v>1</v>
      </c>
      <c r="AB37" s="1265">
        <f t="shared" si="4"/>
        <v>1</v>
      </c>
      <c r="AC37" s="1265">
        <f t="shared" si="5"/>
        <v>1</v>
      </c>
    </row>
    <row r="38" spans="1:29" s="359" customFormat="1" ht="15">
      <c r="A38" s="356"/>
      <c r="B38" s="149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81"/>
      <c r="Q38" s="633">
        <f t="shared" si="11"/>
        <v>111</v>
      </c>
      <c r="R38" s="634" t="s">
        <v>25</v>
      </c>
      <c r="S38" s="635">
        <f t="shared" si="12"/>
        <v>100</v>
      </c>
      <c r="T38" s="634" t="s">
        <v>25</v>
      </c>
      <c r="U38" s="635">
        <f t="shared" si="13"/>
        <v>100</v>
      </c>
      <c r="V38" s="634" t="s">
        <v>25</v>
      </c>
      <c r="W38" s="635">
        <f t="shared" si="14"/>
        <v>100</v>
      </c>
      <c r="X38" s="636"/>
      <c r="Y38" s="3681"/>
      <c r="Z38" s="637">
        <f t="shared" si="15"/>
        <v>111</v>
      </c>
      <c r="AA38" s="1265">
        <f t="shared" si="3"/>
        <v>1</v>
      </c>
      <c r="AB38" s="1265">
        <f t="shared" si="4"/>
        <v>1</v>
      </c>
      <c r="AC38" s="1265">
        <f t="shared" si="5"/>
        <v>1</v>
      </c>
    </row>
    <row r="39" spans="1:29" ht="15">
      <c r="A39" s="360"/>
      <c r="B39" s="149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81"/>
      <c r="Q39" s="1262">
        <f t="shared" si="11"/>
        <v>111</v>
      </c>
      <c r="R39" s="631" t="s">
        <v>25</v>
      </c>
      <c r="S39" s="632">
        <f t="shared" si="12"/>
        <v>100</v>
      </c>
      <c r="T39" s="631" t="s">
        <v>25</v>
      </c>
      <c r="U39" s="632">
        <f t="shared" si="13"/>
        <v>100</v>
      </c>
      <c r="V39" s="631" t="s">
        <v>25</v>
      </c>
      <c r="W39" s="632">
        <f t="shared" si="14"/>
        <v>100</v>
      </c>
      <c r="X39" s="1263"/>
      <c r="Y39" s="3681"/>
      <c r="Z39" s="1264">
        <f t="shared" si="15"/>
        <v>111</v>
      </c>
      <c r="AA39" s="1265">
        <f t="shared" si="3"/>
        <v>1</v>
      </c>
      <c r="AB39" s="1265">
        <f t="shared" si="4"/>
        <v>1</v>
      </c>
      <c r="AC39" s="1265">
        <f t="shared" si="5"/>
        <v>1</v>
      </c>
    </row>
    <row r="40" spans="1:29" ht="15.6" thickBot="1">
      <c r="A40" s="366"/>
      <c r="B40" s="1489">
        <v>111</v>
      </c>
      <c r="C40" s="149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82"/>
      <c r="Q40" s="1262">
        <f t="shared" si="11"/>
        <v>111</v>
      </c>
      <c r="R40" s="631" t="s">
        <v>25</v>
      </c>
      <c r="S40" s="632">
        <f t="shared" si="12"/>
        <v>100</v>
      </c>
      <c r="T40" s="631" t="s">
        <v>25</v>
      </c>
      <c r="U40" s="632">
        <f t="shared" si="13"/>
        <v>100</v>
      </c>
      <c r="V40" s="631" t="s">
        <v>25</v>
      </c>
      <c r="W40" s="632">
        <f t="shared" si="14"/>
        <v>100</v>
      </c>
      <c r="X40" s="1263"/>
      <c r="Y40" s="3682"/>
      <c r="Z40" s="1264">
        <f t="shared" si="15"/>
        <v>111</v>
      </c>
      <c r="AA40" s="1265">
        <f t="shared" si="3"/>
        <v>1</v>
      </c>
      <c r="AB40" s="1265">
        <f t="shared" si="4"/>
        <v>1</v>
      </c>
      <c r="AC40" s="1265">
        <f t="shared" si="5"/>
        <v>1</v>
      </c>
    </row>
    <row r="41" spans="1:29" ht="14.4">
      <c r="A41" s="367" t="s">
        <v>2048</v>
      </c>
      <c r="B41" s="368"/>
      <c r="C41" s="1082" t="s">
        <v>1</v>
      </c>
      <c r="D41" s="1083"/>
      <c r="E41" s="1084"/>
      <c r="F41" s="1085"/>
      <c r="G41" s="1086"/>
      <c r="H41" s="1087"/>
      <c r="I41" s="1084"/>
      <c r="J41" s="1087"/>
      <c r="K41" s="640"/>
      <c r="L41" s="2951"/>
      <c r="N41" s="2940"/>
      <c r="P41" s="3649" t="str">
        <f>A41</f>
        <v>成交单价（元/平方米）</v>
      </c>
      <c r="Q41" s="3649"/>
      <c r="R41" s="3683">
        <f>E41</f>
        <v>0</v>
      </c>
      <c r="S41" s="3683"/>
      <c r="T41" s="3683">
        <f>G41</f>
        <v>0</v>
      </c>
      <c r="U41" s="3683"/>
      <c r="V41" s="3683">
        <f>I41</f>
        <v>0</v>
      </c>
      <c r="W41" s="3683"/>
      <c r="X41" s="618"/>
      <c r="Y41" s="638"/>
      <c r="Z41" s="618"/>
      <c r="AA41" s="618"/>
      <c r="AB41" s="618"/>
      <c r="AC41" s="618"/>
    </row>
    <row r="42" spans="1:29" ht="15" thickBot="1">
      <c r="A42" s="374" t="s">
        <v>2131</v>
      </c>
      <c r="B42" s="375"/>
      <c r="C42" s="1088" t="e">
        <f>R43</f>
        <v>#DIV/0!</v>
      </c>
      <c r="D42" s="1722" t="s">
        <v>2499</v>
      </c>
      <c r="E42" s="1089" t="e">
        <f>R42</f>
        <v>#DIV/0!</v>
      </c>
      <c r="F42" s="1724"/>
      <c r="G42" s="1088" t="e">
        <f>T42</f>
        <v>#DIV/0!</v>
      </c>
      <c r="H42" s="1724"/>
      <c r="I42" s="1089" t="e">
        <f>V42</f>
        <v>#DIV/0!</v>
      </c>
      <c r="J42" s="1724"/>
      <c r="K42" s="2426">
        <f>F42+H42+J42</f>
        <v>0</v>
      </c>
      <c r="L42" s="2951"/>
      <c r="N42" s="2940"/>
      <c r="P42" s="3649" t="str">
        <f>A42</f>
        <v>比较价值（元/平方米）</v>
      </c>
      <c r="Q42" s="3649"/>
      <c r="R42" s="3683" t="e">
        <f>IF(E1="售价",ROUND(PRODUCT(R41,AA7:AA40),0),ROUND(PRODUCT(R41,AA7:AA40),1))</f>
        <v>#DIV/0!</v>
      </c>
      <c r="S42" s="3683"/>
      <c r="T42" s="3683" t="e">
        <f>IF(E1="售价",ROUND(PRODUCT(T41,AB7:AB40),0),ROUND(PRODUCT(T41,AB7:AB40),1))</f>
        <v>#DIV/0!</v>
      </c>
      <c r="U42" s="3683"/>
      <c r="V42" s="3683" t="e">
        <f>IF(E1="售价",ROUND(PRODUCT(V41,AC7:AC40),0),ROUND(PRODUCT(V41,AC7:AC40),1))</f>
        <v>#DIV/0!</v>
      </c>
      <c r="W42" s="3683"/>
      <c r="X42" s="618"/>
      <c r="Y42" s="618"/>
      <c r="Z42" s="618"/>
      <c r="AA42" s="618"/>
      <c r="AB42" s="618"/>
      <c r="AC42" s="618"/>
    </row>
    <row r="43" spans="1:29" ht="15" thickBot="1">
      <c r="A43" s="378" t="s">
        <v>2154</v>
      </c>
      <c r="B43" s="379"/>
      <c r="C43" s="1090" t="e">
        <f>R43</f>
        <v>#DIV/0!</v>
      </c>
      <c r="D43" s="1090"/>
      <c r="E43" s="1090"/>
      <c r="F43" s="1090"/>
      <c r="G43" s="1090"/>
      <c r="H43" s="1090"/>
      <c r="I43" s="1090"/>
      <c r="J43" s="1090"/>
      <c r="K43" s="641"/>
      <c r="L43" s="2951"/>
      <c r="P43" s="3684" t="str">
        <f>A43</f>
        <v>估价对象XX用房的比较价值（楼面单价，元/平方米）</v>
      </c>
      <c r="Q43" s="3685"/>
      <c r="R43" s="3686" t="e">
        <f>IF(E1="售价",ROUND(IF(D42="简单平均",AVERAGE(R42:V42),R42*F42+T42*H42+V42*J42),0),ROUND(IF(D42="简单平均",AVERAGE(R42:V42),R42*F42+T42*H42+V42*J42),1))</f>
        <v>#DIV/0!</v>
      </c>
      <c r="S43" s="3686"/>
      <c r="T43" s="3686"/>
      <c r="U43" s="3686"/>
      <c r="V43" s="3686"/>
      <c r="W43" s="3686"/>
      <c r="X43" s="618"/>
      <c r="Y43" s="618"/>
      <c r="Z43" s="618"/>
      <c r="AA43" s="618"/>
      <c r="AB43" s="618"/>
      <c r="AC43" s="618"/>
    </row>
    <row r="44" spans="1:29">
      <c r="G44" s="295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2.2" thickBot="1">
      <c r="A51" s="620" t="s">
        <v>2136</v>
      </c>
      <c r="B51" s="618"/>
      <c r="C51" s="621"/>
      <c r="D51" s="621"/>
      <c r="E51" s="621"/>
      <c r="F51" s="622"/>
      <c r="G51" s="622"/>
      <c r="H51" s="621"/>
      <c r="I51" s="621"/>
      <c r="J51" s="621"/>
      <c r="K51" s="623"/>
      <c r="L51" s="624"/>
      <c r="M51" s="621"/>
      <c r="N51" s="2957"/>
      <c r="O51" s="2957"/>
      <c r="P51" s="389"/>
      <c r="Q51" s="390"/>
    </row>
    <row r="52" spans="1:17" s="394" customFormat="1" ht="14.4">
      <c r="A52" s="391" t="s">
        <v>2018</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2056</v>
      </c>
      <c r="B54" s="401"/>
      <c r="C54" s="402"/>
      <c r="D54" s="403"/>
      <c r="E54" s="403"/>
      <c r="F54" s="403"/>
      <c r="G54" s="403"/>
      <c r="H54" s="403"/>
      <c r="I54" s="403"/>
      <c r="J54" s="403"/>
      <c r="K54" s="403"/>
      <c r="L54" s="403"/>
      <c r="M54" s="404"/>
      <c r="N54" s="403"/>
      <c r="O54" s="405"/>
      <c r="P54" s="390"/>
      <c r="Q54" s="390"/>
    </row>
    <row r="55" spans="1:17" s="25" customFormat="1" ht="14.4">
      <c r="A55" s="406" t="s">
        <v>2020</v>
      </c>
      <c r="B55" s="396"/>
      <c r="C55" s="407" t="s">
        <v>2021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2059</v>
      </c>
      <c r="B57" s="413" t="s">
        <v>2024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497"/>
      <c r="B87" s="457"/>
      <c r="C87" s="458"/>
      <c r="D87" s="458"/>
      <c r="E87" s="458"/>
      <c r="F87" s="458"/>
      <c r="G87" s="479"/>
      <c r="H87" s="479"/>
      <c r="I87" s="479"/>
      <c r="J87" s="479"/>
      <c r="K87" s="479"/>
      <c r="L87" s="479"/>
      <c r="M87" s="480"/>
      <c r="N87" s="424"/>
      <c r="O87" s="424"/>
      <c r="P87" s="18"/>
      <c r="Q87" s="390"/>
    </row>
    <row r="88" spans="1:17" ht="14.4">
      <c r="A88" s="412" t="s">
        <v>2034</v>
      </c>
      <c r="B88" s="413" t="s">
        <v>2083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49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07"/>
      <c r="C1" s="1150"/>
      <c r="D1" s="1151"/>
      <c r="E1" s="1484"/>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5"/>
      <c r="E2" s="885" t="e">
        <f ca="1">SUMIF(INDIRECT("'"&amp;G2&amp;"'"&amp;"!A:A"),"承租人权益价值",INDIRECT("'"&amp;G2&amp;"'"&amp;"!c:c"))</f>
        <v>#REF!</v>
      </c>
      <c r="F2" s="1486" t="str">
        <f>C2</f>
        <v>元</v>
      </c>
      <c r="G2" s="1487"/>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262.86</v>
      </c>
      <c r="E3" s="797" t="s">
        <v>2166</v>
      </c>
      <c r="F3" s="293">
        <f>'数据-取费表'!B42</f>
        <v>0</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2005</v>
      </c>
      <c r="B4" s="295"/>
      <c r="C4" s="3657" t="s">
        <v>2006</v>
      </c>
      <c r="D4" s="3658"/>
      <c r="E4" s="3659" t="s">
        <v>2007</v>
      </c>
      <c r="F4" s="3660"/>
      <c r="G4" s="3657" t="s">
        <v>2008</v>
      </c>
      <c r="H4" s="3658"/>
      <c r="I4" s="3657" t="s">
        <v>2009</v>
      </c>
      <c r="J4" s="3658"/>
      <c r="K4" s="496" t="s">
        <v>2010</v>
      </c>
      <c r="L4" s="2939"/>
      <c r="M4" s="2940"/>
      <c r="N4" s="2940"/>
      <c r="O4" s="2940"/>
      <c r="P4" s="3661" t="s">
        <v>2011</v>
      </c>
      <c r="Q4" s="3662"/>
      <c r="R4" s="3667" t="s">
        <v>2007</v>
      </c>
      <c r="S4" s="3668"/>
      <c r="T4" s="3667" t="s">
        <v>2008</v>
      </c>
      <c r="U4" s="3668"/>
      <c r="V4" s="3673" t="s">
        <v>2009</v>
      </c>
      <c r="W4" s="3673"/>
      <c r="X4" s="1263"/>
      <c r="Y4" s="3667" t="s">
        <v>2011</v>
      </c>
      <c r="Z4" s="3668"/>
      <c r="AA4" s="3654" t="s">
        <v>2007</v>
      </c>
      <c r="AB4" s="3655" t="s">
        <v>2008</v>
      </c>
      <c r="AC4" s="3654" t="s">
        <v>2009</v>
      </c>
    </row>
    <row r="5" spans="1:29">
      <c r="A5" s="297"/>
      <c r="B5" s="298"/>
      <c r="C5" s="3650" t="s">
        <v>2012</v>
      </c>
      <c r="D5" s="3651"/>
      <c r="E5" s="3674" t="s">
        <v>2013</v>
      </c>
      <c r="F5" s="3675"/>
      <c r="G5" s="3650" t="s">
        <v>2014</v>
      </c>
      <c r="H5" s="3651"/>
      <c r="I5" s="3650" t="s">
        <v>2015</v>
      </c>
      <c r="J5" s="3651"/>
      <c r="K5" s="496"/>
      <c r="L5" s="2939"/>
      <c r="M5" s="2940"/>
      <c r="N5" s="2940"/>
      <c r="O5" s="2940"/>
      <c r="P5" s="3663"/>
      <c r="Q5" s="3664"/>
      <c r="R5" s="3669"/>
      <c r="S5" s="3670"/>
      <c r="T5" s="3669"/>
      <c r="U5" s="3670"/>
      <c r="V5" s="3673"/>
      <c r="W5" s="3673"/>
      <c r="X5" s="1263"/>
      <c r="Y5" s="3669"/>
      <c r="Z5" s="3670"/>
      <c r="AA5" s="3655"/>
      <c r="AB5" s="3655"/>
      <c r="AC5" s="3655"/>
    </row>
    <row r="6" spans="1:29" ht="15" thickBot="1">
      <c r="A6" s="299"/>
      <c r="B6" s="300"/>
      <c r="C6" s="3647" t="s">
        <v>2016</v>
      </c>
      <c r="D6" s="3648"/>
      <c r="E6" s="3645" t="s">
        <v>2016</v>
      </c>
      <c r="F6" s="3646"/>
      <c r="G6" s="3647" t="s">
        <v>2016</v>
      </c>
      <c r="H6" s="3648"/>
      <c r="I6" s="3647" t="s">
        <v>2016</v>
      </c>
      <c r="J6" s="3648"/>
      <c r="K6" s="496" t="s">
        <v>2017</v>
      </c>
      <c r="L6" s="2939"/>
      <c r="M6" s="2940"/>
      <c r="N6" s="2940"/>
      <c r="O6" s="2940"/>
      <c r="P6" s="3665"/>
      <c r="Q6" s="3666"/>
      <c r="R6" s="3669"/>
      <c r="S6" s="3670"/>
      <c r="T6" s="3671"/>
      <c r="U6" s="3672"/>
      <c r="V6" s="3673"/>
      <c r="W6" s="3673"/>
      <c r="X6" s="1263"/>
      <c r="Y6" s="3671"/>
      <c r="Z6" s="3672"/>
      <c r="AA6" s="3656"/>
      <c r="AB6" s="3656"/>
      <c r="AC6" s="3656"/>
    </row>
    <row r="7" spans="1:29" s="25" customFormat="1" ht="15" thickBot="1">
      <c r="A7" s="301" t="s">
        <v>2018</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52" t="s">
        <v>2019</v>
      </c>
      <c r="Q7" s="3676"/>
      <c r="R7" s="627" t="s">
        <v>25</v>
      </c>
      <c r="S7" s="628">
        <f t="shared" ref="S7:S14" si="0">F7</f>
        <v>0</v>
      </c>
      <c r="T7" s="627" t="s">
        <v>25</v>
      </c>
      <c r="U7" s="628">
        <f t="shared" ref="U7:U14" si="1">H7</f>
        <v>0</v>
      </c>
      <c r="V7" s="627" t="s">
        <v>25</v>
      </c>
      <c r="W7" s="628">
        <f t="shared" ref="W7:W14" si="2">J7</f>
        <v>0</v>
      </c>
      <c r="X7" s="629"/>
      <c r="Y7" s="3652" t="s">
        <v>2019</v>
      </c>
      <c r="Z7" s="3653"/>
      <c r="AA7" s="630" t="e">
        <f>D7/F7</f>
        <v>#DIV/0!</v>
      </c>
      <c r="AB7" s="630" t="e">
        <f>D7/H7</f>
        <v>#DIV/0!</v>
      </c>
      <c r="AC7" s="630" t="e">
        <f>D7/J7</f>
        <v>#DIV/0!</v>
      </c>
    </row>
    <row r="8" spans="1:29" s="25" customFormat="1" ht="1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52" t="s">
        <v>2022</v>
      </c>
      <c r="Q8" s="3653"/>
      <c r="R8" s="627" t="s">
        <v>25</v>
      </c>
      <c r="S8" s="628">
        <f t="shared" si="0"/>
        <v>0</v>
      </c>
      <c r="T8" s="627" t="s">
        <v>25</v>
      </c>
      <c r="U8" s="628">
        <f t="shared" si="1"/>
        <v>0</v>
      </c>
      <c r="V8" s="627" t="s">
        <v>25</v>
      </c>
      <c r="W8" s="628">
        <f t="shared" si="2"/>
        <v>0</v>
      </c>
      <c r="X8" s="629"/>
      <c r="Y8" s="3652" t="s">
        <v>2022</v>
      </c>
      <c r="Z8" s="3653"/>
      <c r="AA8" s="630" t="e">
        <f t="shared" ref="AA8:AA36" si="3">D8/F8</f>
        <v>#DIV/0!</v>
      </c>
      <c r="AB8" s="630" t="e">
        <f t="shared" ref="AB8:AB36" si="4">D8/H8</f>
        <v>#DIV/0!</v>
      </c>
      <c r="AC8" s="630" t="e">
        <f t="shared" ref="AC8:AC36" si="5">D8/J8</f>
        <v>#DIV/0!</v>
      </c>
    </row>
    <row r="9" spans="1:29" s="25" customFormat="1" ht="14.4">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49" t="s">
        <v>2025</v>
      </c>
      <c r="Q9" s="1255" t="str">
        <f t="shared" ref="Q9:Q14" si="6">B9</f>
        <v>用途</v>
      </c>
      <c r="R9" s="627" t="s">
        <v>25</v>
      </c>
      <c r="S9" s="628">
        <f t="shared" si="0"/>
        <v>100</v>
      </c>
      <c r="T9" s="627" t="s">
        <v>25</v>
      </c>
      <c r="U9" s="628">
        <f t="shared" si="1"/>
        <v>100</v>
      </c>
      <c r="V9" s="627" t="s">
        <v>25</v>
      </c>
      <c r="W9" s="628">
        <f t="shared" si="2"/>
        <v>100</v>
      </c>
      <c r="X9" s="629"/>
      <c r="Y9" s="3679" t="s">
        <v>2026</v>
      </c>
      <c r="Z9" s="19" t="str">
        <f t="shared" ref="Z9:Z14" si="7">Q9</f>
        <v>用途</v>
      </c>
      <c r="AA9" s="630">
        <f t="shared" si="3"/>
        <v>1</v>
      </c>
      <c r="AB9" s="630">
        <f t="shared" si="4"/>
        <v>1</v>
      </c>
      <c r="AC9" s="630">
        <f t="shared" si="5"/>
        <v>1</v>
      </c>
    </row>
    <row r="10" spans="1:29" s="317" customFormat="1" ht="28.8">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96.6">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77" t="s">
        <v>2030</v>
      </c>
      <c r="Q14" s="1262" t="str">
        <f t="shared" si="6"/>
        <v>交通便捷度</v>
      </c>
      <c r="R14" s="631" t="s">
        <v>25</v>
      </c>
      <c r="S14" s="632">
        <f t="shared" si="0"/>
        <v>100</v>
      </c>
      <c r="T14" s="631" t="s">
        <v>25</v>
      </c>
      <c r="U14" s="632">
        <f t="shared" si="1"/>
        <v>100</v>
      </c>
      <c r="V14" s="631" t="s">
        <v>25</v>
      </c>
      <c r="W14" s="632">
        <f t="shared" si="2"/>
        <v>100</v>
      </c>
      <c r="X14" s="1263"/>
      <c r="Y14" s="3677"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78"/>
      <c r="Q15" s="1262"/>
      <c r="R15" s="631"/>
      <c r="S15" s="632"/>
      <c r="T15" s="631"/>
      <c r="U15" s="632"/>
      <c r="V15" s="631"/>
      <c r="W15" s="632"/>
      <c r="X15" s="1263"/>
      <c r="Y15" s="3678"/>
      <c r="Z15" s="1264"/>
      <c r="AA15" s="1265">
        <v>1</v>
      </c>
      <c r="AB15" s="1265">
        <v>1</v>
      </c>
      <c r="AC15" s="1265">
        <v>1</v>
      </c>
    </row>
    <row r="16" spans="1:29" ht="41.4">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78"/>
      <c r="Q17" s="1262"/>
      <c r="R17" s="631"/>
      <c r="S17" s="632"/>
      <c r="T17" s="631"/>
      <c r="U17" s="632"/>
      <c r="V17" s="631"/>
      <c r="W17" s="632"/>
      <c r="X17" s="1263"/>
      <c r="Y17" s="3678"/>
      <c r="Z17" s="1264"/>
      <c r="AA17" s="1265">
        <v>1</v>
      </c>
      <c r="AB17" s="1265">
        <v>1</v>
      </c>
      <c r="AC17" s="1265">
        <v>1</v>
      </c>
    </row>
    <row r="18" spans="1:29" ht="41.4">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78"/>
      <c r="Q19" s="1262"/>
      <c r="R19" s="631"/>
      <c r="S19" s="632"/>
      <c r="T19" s="631"/>
      <c r="U19" s="632"/>
      <c r="V19" s="631"/>
      <c r="W19" s="632"/>
      <c r="X19" s="1263"/>
      <c r="Y19" s="3678"/>
      <c r="Z19" s="1264"/>
      <c r="AA19" s="1265">
        <v>1</v>
      </c>
      <c r="AB19" s="1265">
        <v>1</v>
      </c>
      <c r="AC19" s="1265">
        <v>1</v>
      </c>
    </row>
    <row r="20" spans="1:29" ht="55.2">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78"/>
      <c r="Q21" s="1262"/>
      <c r="R21" s="631"/>
      <c r="S21" s="632"/>
      <c r="T21" s="631"/>
      <c r="U21" s="632"/>
      <c r="V21" s="631"/>
      <c r="W21" s="632"/>
      <c r="X21" s="1263"/>
      <c r="Y21" s="3678"/>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78"/>
      <c r="Q24" s="1262">
        <f t="shared" ref="Q24:Q36"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30">
      <c r="A26" s="533" t="s">
        <v>2034</v>
      </c>
      <c r="B26" s="23" t="s">
        <v>2170</v>
      </c>
      <c r="C26" s="1508"/>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80"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1"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81"/>
      <c r="Q27" s="633" t="str">
        <f t="shared" si="11"/>
        <v>项目停车位配比</v>
      </c>
      <c r="R27" s="634" t="s">
        <v>25</v>
      </c>
      <c r="S27" s="635">
        <f t="shared" si="12"/>
        <v>100</v>
      </c>
      <c r="T27" s="634" t="s">
        <v>25</v>
      </c>
      <c r="U27" s="635">
        <f t="shared" si="13"/>
        <v>100</v>
      </c>
      <c r="V27" s="634" t="s">
        <v>25</v>
      </c>
      <c r="W27" s="635">
        <f t="shared" si="14"/>
        <v>100</v>
      </c>
      <c r="X27" s="636"/>
      <c r="Y27" s="3681"/>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81"/>
      <c r="Q28" s="1262" t="str">
        <f t="shared" si="11"/>
        <v>公共部分装修</v>
      </c>
      <c r="R28" s="631" t="s">
        <v>25</v>
      </c>
      <c r="S28" s="632">
        <f t="shared" si="12"/>
        <v>100</v>
      </c>
      <c r="T28" s="631" t="s">
        <v>25</v>
      </c>
      <c r="U28" s="632">
        <f t="shared" si="13"/>
        <v>100</v>
      </c>
      <c r="V28" s="631" t="s">
        <v>25</v>
      </c>
      <c r="W28" s="632">
        <f t="shared" si="14"/>
        <v>100</v>
      </c>
      <c r="X28" s="1263"/>
      <c r="Y28" s="3681"/>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81"/>
      <c r="Q29" s="1262" t="str">
        <f t="shared" si="11"/>
        <v>成新率</v>
      </c>
      <c r="R29" s="631" t="s">
        <v>25</v>
      </c>
      <c r="S29" s="632" t="e">
        <f t="shared" si="12"/>
        <v>#N/A</v>
      </c>
      <c r="T29" s="631" t="s">
        <v>25</v>
      </c>
      <c r="U29" s="632" t="e">
        <f t="shared" si="13"/>
        <v>#N/A</v>
      </c>
      <c r="V29" s="631" t="s">
        <v>25</v>
      </c>
      <c r="W29" s="632" t="e">
        <f t="shared" si="14"/>
        <v>#N/A</v>
      </c>
      <c r="X29" s="1263"/>
      <c r="Y29" s="3681"/>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81"/>
      <c r="Q30" s="1262" t="str">
        <f t="shared" si="11"/>
        <v>物业等级</v>
      </c>
      <c r="R30" s="631" t="s">
        <v>25</v>
      </c>
      <c r="S30" s="632">
        <f t="shared" si="12"/>
        <v>100</v>
      </c>
      <c r="T30" s="631" t="s">
        <v>25</v>
      </c>
      <c r="U30" s="632">
        <f t="shared" si="13"/>
        <v>100</v>
      </c>
      <c r="V30" s="631" t="s">
        <v>25</v>
      </c>
      <c r="W30" s="632">
        <f t="shared" si="14"/>
        <v>100</v>
      </c>
      <c r="X30" s="1263"/>
      <c r="Y30" s="3681"/>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81"/>
      <c r="Q31" s="1255" t="str">
        <f t="shared" si="11"/>
        <v>停车位面积</v>
      </c>
      <c r="R31" s="627" t="s">
        <v>25</v>
      </c>
      <c r="S31" s="628" t="e">
        <f t="shared" si="12"/>
        <v>#N/A</v>
      </c>
      <c r="T31" s="627" t="s">
        <v>25</v>
      </c>
      <c r="U31" s="628" t="e">
        <f t="shared" si="13"/>
        <v>#N/A</v>
      </c>
      <c r="V31" s="627" t="s">
        <v>25</v>
      </c>
      <c r="W31" s="628" t="e">
        <f t="shared" si="14"/>
        <v>#N/A</v>
      </c>
      <c r="X31" s="629"/>
      <c r="Y31" s="3681"/>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81" t="s">
        <v>2036</v>
      </c>
      <c r="Q32" s="1262" t="str">
        <f t="shared" si="11"/>
        <v>车位类型</v>
      </c>
      <c r="R32" s="631" t="s">
        <v>25</v>
      </c>
      <c r="S32" s="632">
        <f t="shared" si="12"/>
        <v>100</v>
      </c>
      <c r="T32" s="631" t="s">
        <v>25</v>
      </c>
      <c r="U32" s="632">
        <f t="shared" si="13"/>
        <v>100</v>
      </c>
      <c r="V32" s="631" t="s">
        <v>25</v>
      </c>
      <c r="W32" s="632">
        <f t="shared" si="14"/>
        <v>100</v>
      </c>
      <c r="X32" s="1263"/>
      <c r="Y32" s="3681"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81"/>
      <c r="Q33" s="1262" t="str">
        <f t="shared" si="11"/>
        <v>是否直接入户</v>
      </c>
      <c r="R33" s="631" t="s">
        <v>25</v>
      </c>
      <c r="S33" s="632">
        <f t="shared" si="12"/>
        <v>100</v>
      </c>
      <c r="T33" s="631" t="s">
        <v>25</v>
      </c>
      <c r="U33" s="632">
        <f t="shared" si="13"/>
        <v>100</v>
      </c>
      <c r="V33" s="631" t="s">
        <v>25</v>
      </c>
      <c r="W33" s="632">
        <f t="shared" si="14"/>
        <v>100</v>
      </c>
      <c r="X33" s="1263"/>
      <c r="Y33" s="368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81"/>
      <c r="Q35" s="633">
        <f t="shared" si="11"/>
        <v>111</v>
      </c>
      <c r="R35" s="634" t="s">
        <v>25</v>
      </c>
      <c r="S35" s="635">
        <f t="shared" si="12"/>
        <v>100</v>
      </c>
      <c r="T35" s="634" t="s">
        <v>25</v>
      </c>
      <c r="U35" s="635">
        <f t="shared" si="13"/>
        <v>100</v>
      </c>
      <c r="V35" s="634" t="s">
        <v>25</v>
      </c>
      <c r="W35" s="635">
        <f t="shared" si="14"/>
        <v>100</v>
      </c>
      <c r="X35" s="636"/>
      <c r="Y35" s="3681"/>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81"/>
      <c r="Q36" s="1262">
        <f t="shared" si="11"/>
        <v>111</v>
      </c>
      <c r="R36" s="631" t="s">
        <v>25</v>
      </c>
      <c r="S36" s="632">
        <f t="shared" si="12"/>
        <v>100</v>
      </c>
      <c r="T36" s="631" t="s">
        <v>25</v>
      </c>
      <c r="U36" s="632">
        <f t="shared" si="13"/>
        <v>100</v>
      </c>
      <c r="V36" s="631" t="s">
        <v>25</v>
      </c>
      <c r="W36" s="632">
        <f t="shared" si="14"/>
        <v>100</v>
      </c>
      <c r="X36" s="1263"/>
      <c r="Y36" s="3681"/>
      <c r="Z36" s="1264">
        <f t="shared" si="15"/>
        <v>111</v>
      </c>
      <c r="AA36" s="1265">
        <f t="shared" si="3"/>
        <v>1</v>
      </c>
      <c r="AB36" s="1265">
        <f t="shared" si="4"/>
        <v>1</v>
      </c>
      <c r="AC36" s="1265">
        <f t="shared" si="5"/>
        <v>1</v>
      </c>
    </row>
    <row r="37" spans="1:29" ht="14.4">
      <c r="A37" s="367" t="s">
        <v>2178</v>
      </c>
      <c r="B37" s="798" t="s">
        <v>2179</v>
      </c>
      <c r="C37" s="1082" t="s">
        <v>1</v>
      </c>
      <c r="D37" s="1083"/>
      <c r="E37" s="1084"/>
      <c r="F37" s="1085"/>
      <c r="G37" s="1086"/>
      <c r="H37" s="1087"/>
      <c r="I37" s="1084"/>
      <c r="J37" s="1087"/>
      <c r="K37" s="503"/>
      <c r="L37" s="2951"/>
      <c r="N37" s="2940"/>
      <c r="P37" s="3649" t="str">
        <f>A37</f>
        <v>成交单价</v>
      </c>
      <c r="Q37" s="3649"/>
      <c r="R37" s="3683">
        <f>E37</f>
        <v>0</v>
      </c>
      <c r="S37" s="3683"/>
      <c r="T37" s="3683">
        <f>G37</f>
        <v>0</v>
      </c>
      <c r="U37" s="3683"/>
      <c r="V37" s="3683">
        <f>I37</f>
        <v>0</v>
      </c>
      <c r="W37" s="3683"/>
      <c r="X37" s="618"/>
      <c r="Y37" s="638"/>
      <c r="Z37" s="618"/>
      <c r="AA37" s="618"/>
      <c r="AB37" s="618"/>
      <c r="AC37" s="618"/>
    </row>
    <row r="38" spans="1:29" ht="15" thickBot="1">
      <c r="A38" s="374" t="s">
        <v>2180</v>
      </c>
      <c r="B38" s="375" t="str">
        <f>B37</f>
        <v>元/平方米</v>
      </c>
      <c r="C38" s="1088" t="e">
        <f>R39</f>
        <v>#DIV/0!</v>
      </c>
      <c r="D38" s="1722" t="s">
        <v>2499</v>
      </c>
      <c r="E38" s="1089" t="e">
        <f>R38</f>
        <v>#DIV/0!</v>
      </c>
      <c r="F38" s="1724"/>
      <c r="G38" s="1088" t="e">
        <f>T38</f>
        <v>#DIV/0!</v>
      </c>
      <c r="H38" s="1724"/>
      <c r="I38" s="1089" t="e">
        <f>V38</f>
        <v>#DIV/0!</v>
      </c>
      <c r="J38" s="1724"/>
      <c r="K38" s="2426">
        <f>F38+H38+J38</f>
        <v>0</v>
      </c>
      <c r="L38" s="2951"/>
      <c r="P38" s="3649" t="str">
        <f>A38</f>
        <v>比较价值</v>
      </c>
      <c r="Q38" s="3649"/>
      <c r="R38" s="3683" t="e">
        <f>IF(E1="售价",ROUND(PRODUCT(R37,AA7:AA36),0),ROUND(PRODUCT(R37,AA7:AA36),1))</f>
        <v>#DIV/0!</v>
      </c>
      <c r="S38" s="3683"/>
      <c r="T38" s="3683" t="e">
        <f>IF(E1="售价",ROUND(PRODUCT(T37,AB7:AB36),0),ROUND(PRODUCT(T37,AB7:AB36),1))</f>
        <v>#DIV/0!</v>
      </c>
      <c r="U38" s="3683"/>
      <c r="V38" s="3683" t="e">
        <f>IF(E1="售价",ROUND(PRODUCT(V37,AC7:AC36),0),ROUND(PRODUCT(V37,AC7:AC36),1))</f>
        <v>#DIV/0!</v>
      </c>
      <c r="W38" s="3683"/>
      <c r="X38" s="618"/>
      <c r="Y38" s="618"/>
      <c r="Z38" s="618"/>
      <c r="AA38" s="618"/>
      <c r="AB38" s="618"/>
      <c r="AC38" s="618"/>
    </row>
    <row r="39" spans="1:29" ht="15" thickBot="1">
      <c r="A39" s="378" t="s">
        <v>2181</v>
      </c>
      <c r="B39" s="379"/>
      <c r="C39" s="1090" t="e">
        <f>R39</f>
        <v>#DIV/0!</v>
      </c>
      <c r="D39" s="1090"/>
      <c r="E39" s="1090"/>
      <c r="F39" s="1090"/>
      <c r="G39" s="1090"/>
      <c r="H39" s="1090"/>
      <c r="I39" s="1090"/>
      <c r="J39" s="1090"/>
      <c r="K39" s="504"/>
      <c r="L39" s="2951"/>
      <c r="P39" s="3684" t="str">
        <f>A39</f>
        <v>估价对象XX用房的比较价值（楼面单价，元/平方米）</v>
      </c>
      <c r="Q39" s="3685"/>
      <c r="R39" s="3686" t="e">
        <f>IF(E1="售价",ROUND(IF(D38="简单平均",AVERAGE(R38:W38),R38*F38+T38*H38+V38*J38),0),ROUND(IF(D38="简单平均",AVERAGE(R38:V38),R38*F38+T38*H38+V38*J38),1))</f>
        <v>#DIV/0!</v>
      </c>
      <c r="S39" s="3686"/>
      <c r="T39" s="3686"/>
      <c r="U39" s="3686"/>
      <c r="V39" s="3686"/>
      <c r="W39" s="3686"/>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2.2"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2186</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2056</v>
      </c>
      <c r="B50" s="401"/>
      <c r="C50" s="402"/>
      <c r="D50" s="403"/>
      <c r="E50" s="403"/>
      <c r="F50" s="403"/>
      <c r="G50" s="403"/>
      <c r="H50" s="403"/>
      <c r="I50" s="403"/>
      <c r="J50" s="403"/>
      <c r="K50" s="403"/>
      <c r="L50" s="403"/>
      <c r="M50" s="404"/>
      <c r="N50" s="403"/>
      <c r="O50" s="405"/>
      <c r="P50" s="390"/>
      <c r="Q50" s="390"/>
    </row>
    <row r="51" spans="1:17" s="25" customFormat="1" ht="14.4">
      <c r="A51" s="406" t="s">
        <v>2020</v>
      </c>
      <c r="B51" s="396"/>
      <c r="C51" s="407" t="s">
        <v>2021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2059</v>
      </c>
      <c r="B53" s="413" t="s">
        <v>2024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2034</v>
      </c>
      <c r="B79" s="413" t="s">
        <v>2188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07"/>
      <c r="C1" s="1150"/>
      <c r="D1" s="1160"/>
      <c r="E1" s="1484" t="s">
        <v>2500</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5"/>
      <c r="E2" s="1159" t="e">
        <f ca="1">SUMIF(INDIRECT("'"&amp;G2&amp;"'"&amp;"!A:A"),"承租人权益价值",INDIRECT("'"&amp;G2&amp;"'"&amp;"!c:c"))</f>
        <v>#REF!</v>
      </c>
      <c r="F2" s="1486" t="str">
        <f>C2</f>
        <v>元</v>
      </c>
      <c r="G2" s="1487"/>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262.86</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2005</v>
      </c>
      <c r="B4" s="295"/>
      <c r="C4" s="3657" t="s">
        <v>2006</v>
      </c>
      <c r="D4" s="3658"/>
      <c r="E4" s="3659" t="s">
        <v>2007</v>
      </c>
      <c r="F4" s="3660"/>
      <c r="G4" s="3657" t="s">
        <v>2008</v>
      </c>
      <c r="H4" s="3658"/>
      <c r="I4" s="3657" t="s">
        <v>2009</v>
      </c>
      <c r="J4" s="3658"/>
      <c r="K4" s="496" t="s">
        <v>2010</v>
      </c>
      <c r="L4" s="2939"/>
      <c r="M4" s="2940"/>
      <c r="N4" s="2940"/>
      <c r="O4" s="2940"/>
      <c r="P4" s="3661" t="s">
        <v>2011</v>
      </c>
      <c r="Q4" s="3662"/>
      <c r="R4" s="3667" t="s">
        <v>2007</v>
      </c>
      <c r="S4" s="3668"/>
      <c r="T4" s="3667" t="s">
        <v>2008</v>
      </c>
      <c r="U4" s="3668"/>
      <c r="V4" s="3673" t="s">
        <v>2009</v>
      </c>
      <c r="W4" s="3673"/>
      <c r="X4" s="1263"/>
      <c r="Y4" s="3667" t="s">
        <v>2011</v>
      </c>
      <c r="Z4" s="3668"/>
      <c r="AA4" s="3654" t="s">
        <v>2007</v>
      </c>
      <c r="AB4" s="3655" t="s">
        <v>2008</v>
      </c>
      <c r="AC4" s="3654" t="s">
        <v>2009</v>
      </c>
    </row>
    <row r="5" spans="1:29">
      <c r="A5" s="297"/>
      <c r="B5" s="298"/>
      <c r="C5" s="3650" t="s">
        <v>2012</v>
      </c>
      <c r="D5" s="3651"/>
      <c r="E5" s="3674" t="s">
        <v>2013</v>
      </c>
      <c r="F5" s="3675"/>
      <c r="G5" s="3650" t="s">
        <v>2014</v>
      </c>
      <c r="H5" s="3651"/>
      <c r="I5" s="3650" t="s">
        <v>2015</v>
      </c>
      <c r="J5" s="3651"/>
      <c r="K5" s="496"/>
      <c r="L5" s="2939"/>
      <c r="M5" s="2940"/>
      <c r="N5" s="2940"/>
      <c r="O5" s="2940"/>
      <c r="P5" s="3663"/>
      <c r="Q5" s="3664"/>
      <c r="R5" s="3669"/>
      <c r="S5" s="3670"/>
      <c r="T5" s="3669"/>
      <c r="U5" s="3670"/>
      <c r="V5" s="3673"/>
      <c r="W5" s="3673"/>
      <c r="X5" s="1263"/>
      <c r="Y5" s="3669"/>
      <c r="Z5" s="3670"/>
      <c r="AA5" s="3655"/>
      <c r="AB5" s="3655"/>
      <c r="AC5" s="3655"/>
    </row>
    <row r="6" spans="1:29" ht="15" thickBot="1">
      <c r="A6" s="299"/>
      <c r="B6" s="300"/>
      <c r="C6" s="3647" t="s">
        <v>2016</v>
      </c>
      <c r="D6" s="3648"/>
      <c r="E6" s="3645" t="s">
        <v>2016</v>
      </c>
      <c r="F6" s="3646"/>
      <c r="G6" s="3647" t="s">
        <v>2016</v>
      </c>
      <c r="H6" s="3648"/>
      <c r="I6" s="3647" t="s">
        <v>2016</v>
      </c>
      <c r="J6" s="3648"/>
      <c r="K6" s="496" t="s">
        <v>2017</v>
      </c>
      <c r="L6" s="2939"/>
      <c r="M6" s="2940"/>
      <c r="N6" s="2940"/>
      <c r="O6" s="2940"/>
      <c r="P6" s="3665"/>
      <c r="Q6" s="3666"/>
      <c r="R6" s="3669"/>
      <c r="S6" s="3670"/>
      <c r="T6" s="3671"/>
      <c r="U6" s="3672"/>
      <c r="V6" s="3673"/>
      <c r="W6" s="3673"/>
      <c r="X6" s="1263"/>
      <c r="Y6" s="3671"/>
      <c r="Z6" s="3672"/>
      <c r="AA6" s="3656"/>
      <c r="AB6" s="3656"/>
      <c r="AC6" s="3656"/>
    </row>
    <row r="7" spans="1:29" s="25" customFormat="1" ht="15" thickBot="1">
      <c r="A7" s="301" t="s">
        <v>2018</v>
      </c>
      <c r="B7" s="302"/>
      <c r="C7" s="303">
        <f>'数据-取费表'!B2</f>
        <v>44701</v>
      </c>
      <c r="D7" s="304">
        <v>100</v>
      </c>
      <c r="E7" s="1500"/>
      <c r="F7" s="304">
        <f>SUMIF(46:46,YEAR(E7)&amp;"-"&amp;MONTH(E7),47:47)</f>
        <v>0</v>
      </c>
      <c r="G7" s="305"/>
      <c r="H7" s="304">
        <f>SUMIF(46:46,YEAR(G7)&amp;"-"&amp;MONTH(G7),47:47)</f>
        <v>0</v>
      </c>
      <c r="I7" s="305"/>
      <c r="J7" s="304">
        <f>SUMIF(46:46,YEAR(I7)&amp;"-"&amp;MONTH(I7),47:47)</f>
        <v>0</v>
      </c>
      <c r="K7" s="497"/>
      <c r="L7" s="2941"/>
      <c r="M7" s="2942"/>
      <c r="N7" s="2942"/>
      <c r="O7" s="2942"/>
      <c r="P7" s="3652" t="s">
        <v>2019</v>
      </c>
      <c r="Q7" s="3676"/>
      <c r="R7" s="627" t="s">
        <v>25</v>
      </c>
      <c r="S7" s="628">
        <f t="shared" ref="S7:S14" si="0">F7</f>
        <v>0</v>
      </c>
      <c r="T7" s="627" t="s">
        <v>25</v>
      </c>
      <c r="U7" s="628">
        <f t="shared" ref="U7:U14" si="1">H7</f>
        <v>0</v>
      </c>
      <c r="V7" s="627" t="s">
        <v>25</v>
      </c>
      <c r="W7" s="628">
        <f t="shared" ref="W7:W14" si="2">J7</f>
        <v>0</v>
      </c>
      <c r="X7" s="629"/>
      <c r="Y7" s="3652" t="s">
        <v>2019</v>
      </c>
      <c r="Z7" s="3653"/>
      <c r="AA7" s="630" t="e">
        <f>D7/F7</f>
        <v>#DIV/0!</v>
      </c>
      <c r="AB7" s="630" t="e">
        <f>D7/H7</f>
        <v>#DIV/0!</v>
      </c>
      <c r="AC7" s="630" t="e">
        <f>D7/J7</f>
        <v>#DIV/0!</v>
      </c>
    </row>
    <row r="8" spans="1:29" s="25" customFormat="1" ht="1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52" t="s">
        <v>2022</v>
      </c>
      <c r="Q8" s="3653"/>
      <c r="R8" s="627" t="s">
        <v>25</v>
      </c>
      <c r="S8" s="628">
        <f t="shared" si="0"/>
        <v>0</v>
      </c>
      <c r="T8" s="627" t="s">
        <v>25</v>
      </c>
      <c r="U8" s="628">
        <f t="shared" si="1"/>
        <v>0</v>
      </c>
      <c r="V8" s="627" t="s">
        <v>25</v>
      </c>
      <c r="W8" s="628">
        <f t="shared" si="2"/>
        <v>0</v>
      </c>
      <c r="X8" s="629"/>
      <c r="Y8" s="3652" t="s">
        <v>2022</v>
      </c>
      <c r="Z8" s="3653"/>
      <c r="AA8" s="630" t="e">
        <f t="shared" ref="AA8:AA34" si="3">D8/F8</f>
        <v>#DIV/0!</v>
      </c>
      <c r="AB8" s="630" t="e">
        <f t="shared" ref="AB8:AB34" si="4">D8/H8</f>
        <v>#DIV/0!</v>
      </c>
      <c r="AC8" s="630" t="e">
        <f t="shared" ref="AC8:AC34" si="5">D8/J8</f>
        <v>#DIV/0!</v>
      </c>
    </row>
    <row r="9" spans="1:29" s="25" customFormat="1" ht="14.4">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49" t="s">
        <v>2025</v>
      </c>
      <c r="Q9" s="1255" t="str">
        <f t="shared" ref="Q9:Q14" si="6">B9</f>
        <v>用途</v>
      </c>
      <c r="R9" s="627" t="s">
        <v>25</v>
      </c>
      <c r="S9" s="628">
        <f t="shared" si="0"/>
        <v>100</v>
      </c>
      <c r="T9" s="627" t="s">
        <v>25</v>
      </c>
      <c r="U9" s="628">
        <f t="shared" si="1"/>
        <v>100</v>
      </c>
      <c r="V9" s="627" t="s">
        <v>25</v>
      </c>
      <c r="W9" s="628">
        <f t="shared" si="2"/>
        <v>100</v>
      </c>
      <c r="X9" s="629"/>
      <c r="Y9" s="3679" t="s">
        <v>2026</v>
      </c>
      <c r="Z9" s="19" t="str">
        <f t="shared" ref="Z9:Z14" si="7">Q9</f>
        <v>用途</v>
      </c>
      <c r="AA9" s="630">
        <f t="shared" si="3"/>
        <v>1</v>
      </c>
      <c r="AB9" s="630">
        <f t="shared" si="4"/>
        <v>1</v>
      </c>
      <c r="AC9" s="630">
        <f t="shared" si="5"/>
        <v>1</v>
      </c>
    </row>
    <row r="10" spans="1:29" s="317" customFormat="1" ht="28.8">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1488">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321"/>
      <c r="B12" s="1488">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6" thickBot="1">
      <c r="A13" s="318"/>
      <c r="B13" s="1488">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96.6">
      <c r="A14" s="329" t="s">
        <v>2029</v>
      </c>
      <c r="B14" s="22" t="s">
        <v>2167</v>
      </c>
      <c r="C14" s="150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77" t="s">
        <v>2030</v>
      </c>
      <c r="Q14" s="1262" t="str">
        <f t="shared" si="6"/>
        <v>交通便捷度</v>
      </c>
      <c r="R14" s="631" t="s">
        <v>25</v>
      </c>
      <c r="S14" s="632">
        <f t="shared" si="0"/>
        <v>100</v>
      </c>
      <c r="T14" s="631" t="s">
        <v>25</v>
      </c>
      <c r="U14" s="632">
        <f t="shared" si="1"/>
        <v>100</v>
      </c>
      <c r="V14" s="631" t="s">
        <v>25</v>
      </c>
      <c r="W14" s="632">
        <f t="shared" si="2"/>
        <v>100</v>
      </c>
      <c r="X14" s="1263"/>
      <c r="Y14" s="3677"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78"/>
      <c r="Q15" s="1262"/>
      <c r="R15" s="631"/>
      <c r="S15" s="632"/>
      <c r="T15" s="631"/>
      <c r="U15" s="632"/>
      <c r="V15" s="631"/>
      <c r="W15" s="632"/>
      <c r="X15" s="1263"/>
      <c r="Y15" s="3678"/>
      <c r="Z15" s="1264"/>
      <c r="AA15" s="1265">
        <v>1</v>
      </c>
      <c r="AB15" s="1265">
        <v>1</v>
      </c>
      <c r="AC15" s="1265">
        <v>1</v>
      </c>
    </row>
    <row r="16" spans="1:29" ht="41.4">
      <c r="A16" s="318"/>
      <c r="B16" s="513" t="s">
        <v>2145</v>
      </c>
      <c r="C16" s="1492"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78"/>
      <c r="Q17" s="1262"/>
      <c r="R17" s="631"/>
      <c r="S17" s="632"/>
      <c r="T17" s="631"/>
      <c r="U17" s="632"/>
      <c r="V17" s="631"/>
      <c r="W17" s="632"/>
      <c r="X17" s="1263"/>
      <c r="Y17" s="3678"/>
      <c r="Z17" s="1264"/>
      <c r="AA17" s="1265">
        <v>1</v>
      </c>
      <c r="AB17" s="1265">
        <v>1</v>
      </c>
      <c r="AC17" s="1265">
        <v>1</v>
      </c>
    </row>
    <row r="18" spans="1:29" ht="41.4">
      <c r="A18" s="318"/>
      <c r="B18" s="515" t="s">
        <v>2146</v>
      </c>
      <c r="C18" s="1492"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78"/>
      <c r="Q19" s="1262"/>
      <c r="R19" s="631"/>
      <c r="S19" s="632"/>
      <c r="T19" s="631"/>
      <c r="U19" s="632"/>
      <c r="V19" s="631"/>
      <c r="W19" s="632"/>
      <c r="X19" s="1263"/>
      <c r="Y19" s="3678"/>
      <c r="Z19" s="1264"/>
      <c r="AA19" s="1265">
        <v>1</v>
      </c>
      <c r="AB19" s="1265">
        <v>1</v>
      </c>
      <c r="AC19" s="1265">
        <v>1</v>
      </c>
    </row>
    <row r="20" spans="1:29" ht="55.2">
      <c r="A20" s="318"/>
      <c r="B20" s="340" t="s">
        <v>2168</v>
      </c>
      <c r="C20" s="1492"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78"/>
      <c r="Q21" s="1262"/>
      <c r="R21" s="631"/>
      <c r="S21" s="632"/>
      <c r="T21" s="631"/>
      <c r="U21" s="632"/>
      <c r="V21" s="631"/>
      <c r="W21" s="632"/>
      <c r="X21" s="1263"/>
      <c r="Y21" s="3678"/>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1488">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318"/>
      <c r="B24" s="1488">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78"/>
      <c r="Q24" s="1262">
        <f t="shared" ref="Q24:Q34"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6" thickBot="1">
      <c r="A25" s="321"/>
      <c r="B25" s="1488">
        <v>111</v>
      </c>
      <c r="C25" s="1509"/>
      <c r="D25" s="546">
        <v>100</v>
      </c>
      <c r="E25" s="1509"/>
      <c r="F25" s="547">
        <f>SUMIF(75:75,E25,76:76)-SUMIF(75:75,C25,76:76)+100</f>
        <v>100</v>
      </c>
      <c r="G25" s="1509"/>
      <c r="H25" s="546">
        <f>SUMIF(75:75,G25,76:76)-SUMIF(75:75,C25,76:76)+100</f>
        <v>100</v>
      </c>
      <c r="I25" s="1509"/>
      <c r="J25" s="546">
        <f>SUMIF(75:75,I25,76:76)-SUMIF(75:75,C25,76:76)+100</f>
        <v>100</v>
      </c>
      <c r="K25" s="499"/>
      <c r="L25" s="2941"/>
      <c r="M25" s="2942"/>
      <c r="N25" s="2942"/>
      <c r="O25" s="2943"/>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30">
      <c r="A26" s="354" t="s">
        <v>2034</v>
      </c>
      <c r="B26" s="24" t="s">
        <v>2172</v>
      </c>
      <c r="C26" s="1502"/>
      <c r="D26" s="355">
        <v>100</v>
      </c>
      <c r="E26" s="1502"/>
      <c r="F26" s="548">
        <f>SUMIF(77:77,E26,78:78)-SUMIF(77:77,C26,78:78)+100</f>
        <v>100</v>
      </c>
      <c r="G26" s="1502"/>
      <c r="H26" s="355">
        <f>SUMIF(77:77,G26,78:78)-SUMIF(77:77,C26,78:78)+100</f>
        <v>100</v>
      </c>
      <c r="I26" s="1502"/>
      <c r="J26" s="355">
        <f>SUMIF(77:77,I26,78:78)-SUMIF(77:77,C26,78:78)+100</f>
        <v>100</v>
      </c>
      <c r="K26" s="498"/>
      <c r="L26" s="2949"/>
      <c r="M26" s="2940"/>
      <c r="N26" s="2940"/>
      <c r="O26" s="2948"/>
      <c r="P26" s="3680"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1"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81"/>
      <c r="Q27" s="633" t="str">
        <f t="shared" si="11"/>
        <v>成新率</v>
      </c>
      <c r="R27" s="634" t="s">
        <v>25</v>
      </c>
      <c r="S27" s="635" t="e">
        <f t="shared" si="12"/>
        <v>#N/A</v>
      </c>
      <c r="T27" s="634" t="s">
        <v>25</v>
      </c>
      <c r="U27" s="635" t="e">
        <f t="shared" si="13"/>
        <v>#N/A</v>
      </c>
      <c r="V27" s="634" t="s">
        <v>25</v>
      </c>
      <c r="W27" s="635" t="e">
        <f t="shared" si="14"/>
        <v>#N/A</v>
      </c>
      <c r="X27" s="636"/>
      <c r="Y27" s="3681"/>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81"/>
      <c r="Q28" s="1262" t="str">
        <f t="shared" si="11"/>
        <v>物业等级</v>
      </c>
      <c r="R28" s="631" t="s">
        <v>25</v>
      </c>
      <c r="S28" s="632">
        <f t="shared" si="12"/>
        <v>100</v>
      </c>
      <c r="T28" s="631" t="s">
        <v>25</v>
      </c>
      <c r="U28" s="632">
        <f t="shared" si="13"/>
        <v>100</v>
      </c>
      <c r="V28" s="631" t="s">
        <v>25</v>
      </c>
      <c r="W28" s="632">
        <f t="shared" si="14"/>
        <v>100</v>
      </c>
      <c r="X28" s="1263"/>
      <c r="Y28" s="3681"/>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81"/>
      <c r="Q29" s="1262" t="str">
        <f t="shared" si="11"/>
        <v>有无电梯</v>
      </c>
      <c r="R29" s="631" t="s">
        <v>25</v>
      </c>
      <c r="S29" s="632">
        <f t="shared" si="12"/>
        <v>100</v>
      </c>
      <c r="T29" s="631" t="s">
        <v>25</v>
      </c>
      <c r="U29" s="632">
        <f t="shared" si="13"/>
        <v>100</v>
      </c>
      <c r="V29" s="631" t="s">
        <v>25</v>
      </c>
      <c r="W29" s="632">
        <f t="shared" si="14"/>
        <v>100</v>
      </c>
      <c r="X29" s="1263"/>
      <c r="Y29" s="3681"/>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81"/>
      <c r="Q30" s="1262" t="str">
        <f t="shared" si="11"/>
        <v>建筑面积</v>
      </c>
      <c r="R30" s="631" t="s">
        <v>25</v>
      </c>
      <c r="S30" s="632" t="e">
        <f t="shared" si="12"/>
        <v>#N/A</v>
      </c>
      <c r="T30" s="631" t="s">
        <v>25</v>
      </c>
      <c r="U30" s="632" t="e">
        <f t="shared" si="13"/>
        <v>#N/A</v>
      </c>
      <c r="V30" s="631" t="s">
        <v>25</v>
      </c>
      <c r="W30" s="632" t="e">
        <f t="shared" si="14"/>
        <v>#N/A</v>
      </c>
      <c r="X30" s="1263"/>
      <c r="Y30" s="3681"/>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81"/>
      <c r="Q31" s="1255" t="str">
        <f t="shared" si="11"/>
        <v>是否封闭</v>
      </c>
      <c r="R31" s="627" t="s">
        <v>25</v>
      </c>
      <c r="S31" s="628">
        <f t="shared" si="12"/>
        <v>100</v>
      </c>
      <c r="T31" s="627" t="s">
        <v>25</v>
      </c>
      <c r="U31" s="628">
        <f t="shared" si="13"/>
        <v>100</v>
      </c>
      <c r="V31" s="627" t="s">
        <v>25</v>
      </c>
      <c r="W31" s="628">
        <f t="shared" si="14"/>
        <v>100</v>
      </c>
      <c r="X31" s="629"/>
      <c r="Y31" s="3681"/>
      <c r="Z31" s="19" t="str">
        <f t="shared" si="15"/>
        <v>是否封闭</v>
      </c>
      <c r="AA31" s="630">
        <f t="shared" si="3"/>
        <v>1</v>
      </c>
      <c r="AB31" s="630">
        <f t="shared" si="4"/>
        <v>1</v>
      </c>
      <c r="AC31" s="630">
        <f t="shared" si="5"/>
        <v>1</v>
      </c>
    </row>
    <row r="32" spans="1:29" ht="15">
      <c r="A32" s="360"/>
      <c r="B32" s="1488">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81" t="s">
        <v>2036</v>
      </c>
      <c r="Q32" s="1262">
        <f t="shared" si="11"/>
        <v>111</v>
      </c>
      <c r="R32" s="631" t="s">
        <v>25</v>
      </c>
      <c r="S32" s="632">
        <f t="shared" si="12"/>
        <v>100</v>
      </c>
      <c r="T32" s="631" t="s">
        <v>25</v>
      </c>
      <c r="U32" s="632">
        <f t="shared" si="13"/>
        <v>100</v>
      </c>
      <c r="V32" s="631" t="s">
        <v>25</v>
      </c>
      <c r="W32" s="632">
        <f t="shared" si="14"/>
        <v>100</v>
      </c>
      <c r="X32" s="1263"/>
      <c r="Y32" s="3681" t="s">
        <v>2036</v>
      </c>
      <c r="Z32" s="1264">
        <f t="shared" si="15"/>
        <v>111</v>
      </c>
      <c r="AA32" s="1265">
        <f t="shared" si="3"/>
        <v>1</v>
      </c>
      <c r="AB32" s="1265">
        <f t="shared" si="4"/>
        <v>1</v>
      </c>
      <c r="AC32" s="1265">
        <f t="shared" si="5"/>
        <v>1</v>
      </c>
    </row>
    <row r="33" spans="1:29" ht="15">
      <c r="A33" s="360"/>
      <c r="B33" s="1488">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81"/>
      <c r="Q33" s="1262">
        <f t="shared" si="11"/>
        <v>111</v>
      </c>
      <c r="R33" s="631" t="s">
        <v>25</v>
      </c>
      <c r="S33" s="632">
        <f t="shared" si="12"/>
        <v>100</v>
      </c>
      <c r="T33" s="631" t="s">
        <v>25</v>
      </c>
      <c r="U33" s="632">
        <f t="shared" si="13"/>
        <v>100</v>
      </c>
      <c r="V33" s="631" t="s">
        <v>25</v>
      </c>
      <c r="W33" s="632">
        <f t="shared" si="14"/>
        <v>100</v>
      </c>
      <c r="X33" s="1263"/>
      <c r="Y33" s="3681"/>
      <c r="Z33" s="1264">
        <f t="shared" si="15"/>
        <v>111</v>
      </c>
      <c r="AA33" s="1265">
        <f t="shared" si="3"/>
        <v>1</v>
      </c>
      <c r="AB33" s="1265">
        <f t="shared" si="4"/>
        <v>1</v>
      </c>
      <c r="AC33" s="1265">
        <f t="shared" si="5"/>
        <v>1</v>
      </c>
    </row>
    <row r="34" spans="1:29" ht="15.6" thickBot="1">
      <c r="A34" s="366"/>
      <c r="B34" s="1489">
        <v>111</v>
      </c>
      <c r="C34" s="1490"/>
      <c r="D34" s="327">
        <v>100</v>
      </c>
      <c r="E34" s="1510"/>
      <c r="F34" s="328">
        <f>SUMIF(95:95,E34,96:96)-SUMIF(95:95,C34,96:96)+100</f>
        <v>100</v>
      </c>
      <c r="G34" s="1510"/>
      <c r="H34" s="327">
        <f>SUMIF(95:95,G34,96:96)-SUMIF(95:95,C34,96:96)+100</f>
        <v>100</v>
      </c>
      <c r="I34" s="1510"/>
      <c r="J34" s="327">
        <f>SUMIF(95:95,I34,96:96)-SUMIF(95:95,C34,96:96)+100</f>
        <v>100</v>
      </c>
      <c r="K34" s="499"/>
      <c r="L34" s="2949"/>
      <c r="M34" s="2940"/>
      <c r="N34" s="2940"/>
      <c r="O34" s="2948"/>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ht="14.4">
      <c r="A35" s="367" t="s">
        <v>2048</v>
      </c>
      <c r="B35" s="368"/>
      <c r="C35" s="1082" t="s">
        <v>1</v>
      </c>
      <c r="D35" s="1083"/>
      <c r="E35" s="1084"/>
      <c r="F35" s="1085"/>
      <c r="G35" s="1086"/>
      <c r="H35" s="1087"/>
      <c r="I35" s="1084"/>
      <c r="J35" s="1087"/>
      <c r="K35" s="640"/>
      <c r="L35" s="2951"/>
      <c r="N35" s="2940"/>
      <c r="P35" s="3649" t="str">
        <f>A35</f>
        <v>成交单价（元/平方米）</v>
      </c>
      <c r="Q35" s="3649"/>
      <c r="R35" s="3683">
        <f>E35</f>
        <v>0</v>
      </c>
      <c r="S35" s="3683"/>
      <c r="T35" s="3683">
        <f>G35</f>
        <v>0</v>
      </c>
      <c r="U35" s="3683"/>
      <c r="V35" s="3683">
        <f>I35</f>
        <v>0</v>
      </c>
      <c r="W35" s="3683"/>
      <c r="X35" s="618"/>
      <c r="Y35" s="638"/>
      <c r="Z35" s="618"/>
      <c r="AA35" s="618"/>
      <c r="AB35" s="618"/>
      <c r="AC35" s="618"/>
    </row>
    <row r="36" spans="1:29" ht="15" thickBot="1">
      <c r="A36" s="374" t="s">
        <v>2131</v>
      </c>
      <c r="B36" s="375"/>
      <c r="C36" s="1088" t="e">
        <f>R37</f>
        <v>#DIV/0!</v>
      </c>
      <c r="D36" s="1722" t="s">
        <v>2499</v>
      </c>
      <c r="E36" s="1089" t="e">
        <f>R36</f>
        <v>#DIV/0!</v>
      </c>
      <c r="F36" s="1724"/>
      <c r="G36" s="1088" t="e">
        <f>T36</f>
        <v>#DIV/0!</v>
      </c>
      <c r="H36" s="1724"/>
      <c r="I36" s="1089" t="e">
        <f>V36</f>
        <v>#DIV/0!</v>
      </c>
      <c r="J36" s="1724"/>
      <c r="K36" s="2426">
        <f>F36+H36+J36</f>
        <v>0</v>
      </c>
      <c r="L36" s="2951"/>
      <c r="N36" s="2940"/>
      <c r="P36" s="3649" t="str">
        <f>A36</f>
        <v>比较价值（元/平方米）</v>
      </c>
      <c r="Q36" s="3649"/>
      <c r="R36" s="3683" t="e">
        <f>IF(E1="售价",ROUND(PRODUCT(R35,AA7:AA34),0),ROUND(PRODUCT(R35,AA7:AA34),1))</f>
        <v>#DIV/0!</v>
      </c>
      <c r="S36" s="3683"/>
      <c r="T36" s="3683" t="e">
        <f>IF(E1="售价",ROUND(PRODUCT(T35,AB7:AB34),0),ROUND(PRODUCT(T35,AB7:AB34),1))</f>
        <v>#DIV/0!</v>
      </c>
      <c r="U36" s="3683"/>
      <c r="V36" s="3683" t="e">
        <f>IF(E1="售价",ROUND(PRODUCT(V35,AC7:AC34),0),ROUND(PRODUCT(V35,AC7:AC34),1))</f>
        <v>#DIV/0!</v>
      </c>
      <c r="W36" s="3683"/>
      <c r="X36" s="618"/>
      <c r="Y36" s="618"/>
      <c r="Z36" s="618"/>
      <c r="AA36" s="618"/>
      <c r="AB36" s="618"/>
      <c r="AC36" s="618"/>
    </row>
    <row r="37" spans="1:29" ht="15" thickBot="1">
      <c r="A37" s="378" t="s">
        <v>2154</v>
      </c>
      <c r="B37" s="379"/>
      <c r="C37" s="1090" t="e">
        <f>R37</f>
        <v>#DIV/0!</v>
      </c>
      <c r="D37" s="1090"/>
      <c r="E37" s="1090"/>
      <c r="F37" s="1090"/>
      <c r="G37" s="1090"/>
      <c r="H37" s="1090"/>
      <c r="I37" s="1090"/>
      <c r="J37" s="1090"/>
      <c r="K37" s="641"/>
      <c r="L37" s="2951"/>
      <c r="P37" s="3684" t="str">
        <f>A37</f>
        <v>估价对象XX用房的比较价值（楼面单价，元/平方米）</v>
      </c>
      <c r="Q37" s="3685"/>
      <c r="R37" s="3686" t="e">
        <f>IF(E1="售价",ROUND(IF(D36="简单平均",AVERAGE(R36:W36),R36*F36+T36*H36+V36*J36),0),ROUND(IF(D36="简单平均",AVERAGE(R36:V36),R36*F36+T36*H36+V36*J36),1))</f>
        <v>#DIV/0!</v>
      </c>
      <c r="S37" s="3686"/>
      <c r="T37" s="3686"/>
      <c r="U37" s="3686"/>
      <c r="V37" s="3686"/>
      <c r="W37" s="3686"/>
      <c r="X37" s="618"/>
      <c r="Y37" s="618"/>
      <c r="Z37" s="618"/>
      <c r="AA37" s="618"/>
      <c r="AB37" s="618"/>
      <c r="AC37" s="618"/>
    </row>
    <row r="38" spans="1:29">
      <c r="G38" s="2954"/>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2.2" thickBot="1">
      <c r="A45" s="620" t="s">
        <v>2136</v>
      </c>
      <c r="B45" s="618"/>
      <c r="C45" s="621"/>
      <c r="D45" s="621"/>
      <c r="E45" s="621"/>
      <c r="F45" s="622"/>
      <c r="G45" s="622"/>
      <c r="H45" s="621"/>
      <c r="I45" s="621"/>
      <c r="J45" s="621"/>
      <c r="K45" s="623"/>
      <c r="L45" s="624"/>
      <c r="M45" s="621"/>
      <c r="N45" s="2957"/>
      <c r="O45" s="2957"/>
      <c r="P45" s="389"/>
      <c r="Q45" s="390"/>
    </row>
    <row r="46" spans="1:29" s="394" customFormat="1" ht="14.4">
      <c r="A46" s="391" t="s">
        <v>2018</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2056</v>
      </c>
      <c r="B48" s="401"/>
      <c r="C48" s="402"/>
      <c r="D48" s="403"/>
      <c r="E48" s="403"/>
      <c r="F48" s="403"/>
      <c r="G48" s="403"/>
      <c r="H48" s="403"/>
      <c r="I48" s="403"/>
      <c r="J48" s="403"/>
      <c r="K48" s="403"/>
      <c r="L48" s="403"/>
      <c r="M48" s="404"/>
      <c r="N48" s="403"/>
      <c r="O48" s="405"/>
      <c r="P48" s="390"/>
      <c r="Q48" s="390"/>
    </row>
    <row r="49" spans="1:17" s="25" customFormat="1" ht="14.4">
      <c r="A49" s="406" t="s">
        <v>2020</v>
      </c>
      <c r="B49" s="396"/>
      <c r="C49" s="407" t="s">
        <v>2021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2059</v>
      </c>
      <c r="B51" s="413" t="s">
        <v>2024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3.8"/>
  <cols>
    <col min="1" max="1" width="11.88671875" style="1592" customWidth="1"/>
    <col min="2" max="2" width="15.77734375" style="1592" customWidth="1"/>
    <col min="3" max="3" width="14.33203125" style="1592" customWidth="1"/>
    <col min="4" max="4" width="12.21875" style="1592" customWidth="1"/>
    <col min="5" max="5" width="14.33203125" style="1592" customWidth="1"/>
    <col min="6" max="6" width="12.21875" style="1592" customWidth="1"/>
    <col min="7" max="7" width="14.44140625" style="1592" customWidth="1"/>
    <col min="8" max="8" width="12.21875" style="1592" customWidth="1"/>
    <col min="9" max="9" width="14.44140625" style="1592" customWidth="1"/>
    <col min="10" max="10" width="12.21875" style="1592" customWidth="1"/>
    <col min="11" max="11" width="12.21875" style="1835" customWidth="1"/>
    <col min="12" max="12" width="12.21875" style="1836" customWidth="1"/>
    <col min="13" max="15" width="12.21875" style="1592" customWidth="1"/>
    <col min="16" max="16" width="4.77734375" style="1592" customWidth="1"/>
    <col min="17" max="17" width="19.44140625" style="1592" customWidth="1"/>
    <col min="18" max="22" width="6.109375" style="1592" customWidth="1"/>
    <col min="23" max="23" width="5.77734375" style="1592" customWidth="1"/>
    <col min="24" max="24" width="4.21875" style="1592" customWidth="1"/>
    <col min="25" max="25" width="3.44140625" style="1592" customWidth="1"/>
    <col min="26" max="26" width="19.77734375" style="1592" customWidth="1"/>
    <col min="27" max="28" width="9.33203125" style="1592" customWidth="1"/>
    <col min="29" max="16384" width="9" style="1592"/>
  </cols>
  <sheetData>
    <row r="1" spans="1:30" s="1885" customFormat="1" ht="28.5" customHeight="1">
      <c r="A1" s="1876" t="s">
        <v>2201</v>
      </c>
      <c r="B1" s="1877"/>
      <c r="C1" s="1878" t="s">
        <v>2202</v>
      </c>
      <c r="D1" s="1877"/>
      <c r="E1" s="1877"/>
      <c r="F1" s="1879" t="s">
        <v>2003</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2" t="s">
        <v>2203</v>
      </c>
      <c r="D2" s="2926"/>
      <c r="E2" s="2926"/>
      <c r="F2" s="2925"/>
      <c r="G2" s="2926"/>
      <c r="H2" s="2926"/>
      <c r="I2" s="2926"/>
      <c r="J2" s="2926"/>
      <c r="K2" s="2927"/>
      <c r="L2" s="2928"/>
      <c r="M2" s="2926"/>
      <c r="N2" s="2926"/>
      <c r="O2" s="2926"/>
      <c r="P2" s="1882"/>
      <c r="Q2" s="1882"/>
      <c r="R2" s="1882"/>
      <c r="S2" s="1882"/>
      <c r="T2" s="1882"/>
      <c r="U2" s="1882"/>
      <c r="V2" s="1882"/>
      <c r="W2" s="1882"/>
      <c r="X2" s="1882"/>
      <c r="Y2" s="1882"/>
      <c r="Z2" s="1882"/>
      <c r="AA2" s="1882"/>
      <c r="AB2" s="1882"/>
      <c r="AC2" s="1883"/>
      <c r="AD2" s="1884"/>
    </row>
    <row r="3" spans="1:30" s="1885" customFormat="1" ht="28.5" customHeight="1" thickBot="1">
      <c r="A3" s="1584" t="s">
        <v>1675</v>
      </c>
      <c r="B3" s="1888" t="e">
        <f>ROUND(B2/'数据-取费表'!B5,0)</f>
        <v>#DIV/0!</v>
      </c>
      <c r="C3" s="1582" t="s">
        <v>2204</v>
      </c>
      <c r="D3" s="2926"/>
      <c r="E3" s="2926"/>
      <c r="F3" s="2925"/>
      <c r="G3" s="2926"/>
      <c r="H3" s="2926"/>
      <c r="I3" s="2926"/>
      <c r="J3" s="2926"/>
      <c r="K3" s="2927"/>
      <c r="L3" s="2928"/>
      <c r="M3" s="2926"/>
      <c r="N3" s="2926"/>
      <c r="O3" s="2926"/>
      <c r="P3" s="1882"/>
      <c r="Q3" s="1882"/>
      <c r="R3" s="1882"/>
      <c r="S3" s="1882"/>
      <c r="T3" s="1882"/>
      <c r="U3" s="1882"/>
      <c r="V3" s="1882"/>
      <c r="W3" s="1882"/>
      <c r="X3" s="1882"/>
      <c r="Y3" s="1882"/>
      <c r="Z3" s="1882"/>
      <c r="AA3" s="1882"/>
      <c r="AB3" s="1889"/>
      <c r="AC3" s="1890"/>
    </row>
    <row r="4" spans="1:30" ht="14.4">
      <c r="A4" s="1588" t="s">
        <v>2005</v>
      </c>
      <c r="B4" s="1589"/>
      <c r="C4" s="3597" t="s">
        <v>2006</v>
      </c>
      <c r="D4" s="3598"/>
      <c r="E4" s="3599" t="s">
        <v>2007</v>
      </c>
      <c r="F4" s="3600"/>
      <c r="G4" s="3597" t="s">
        <v>2008</v>
      </c>
      <c r="H4" s="3598"/>
      <c r="I4" s="3597" t="s">
        <v>2009</v>
      </c>
      <c r="J4" s="3598"/>
      <c r="K4" s="1891" t="s">
        <v>2010</v>
      </c>
      <c r="L4" s="2911"/>
      <c r="M4" s="2912"/>
      <c r="N4" s="2912"/>
      <c r="O4" s="2912"/>
      <c r="P4" s="3601" t="s">
        <v>2011</v>
      </c>
      <c r="Q4" s="3602"/>
      <c r="R4" s="3607" t="s">
        <v>2007</v>
      </c>
      <c r="S4" s="3608"/>
      <c r="T4" s="3607" t="s">
        <v>2008</v>
      </c>
      <c r="U4" s="3608"/>
      <c r="V4" s="3613" t="s">
        <v>2009</v>
      </c>
      <c r="W4" s="3613"/>
      <c r="X4" s="1591"/>
      <c r="Y4" s="3607" t="s">
        <v>2011</v>
      </c>
      <c r="Z4" s="3608"/>
      <c r="AA4" s="3594" t="s">
        <v>2007</v>
      </c>
      <c r="AB4" s="3595" t="s">
        <v>2008</v>
      </c>
      <c r="AC4" s="3594" t="s">
        <v>2009</v>
      </c>
    </row>
    <row r="5" spans="1:30">
      <c r="A5" s="1593"/>
      <c r="B5" s="1594"/>
      <c r="C5" s="3616" t="s">
        <v>2012</v>
      </c>
      <c r="D5" s="3617"/>
      <c r="E5" s="3614" t="s">
        <v>2013</v>
      </c>
      <c r="F5" s="3615"/>
      <c r="G5" s="3616" t="s">
        <v>2014</v>
      </c>
      <c r="H5" s="3617"/>
      <c r="I5" s="3616" t="s">
        <v>2015</v>
      </c>
      <c r="J5" s="3617"/>
      <c r="K5" s="1891"/>
      <c r="L5" s="2911"/>
      <c r="M5" s="2912"/>
      <c r="N5" s="2912"/>
      <c r="O5" s="2912"/>
      <c r="P5" s="3603"/>
      <c r="Q5" s="3604"/>
      <c r="R5" s="3609"/>
      <c r="S5" s="3610"/>
      <c r="T5" s="3609"/>
      <c r="U5" s="3610"/>
      <c r="V5" s="3613"/>
      <c r="W5" s="3613"/>
      <c r="X5" s="1591"/>
      <c r="Y5" s="3609"/>
      <c r="Z5" s="3610"/>
      <c r="AA5" s="3595"/>
      <c r="AB5" s="3595"/>
      <c r="AC5" s="3595"/>
    </row>
    <row r="6" spans="1:30" ht="15" thickBot="1">
      <c r="A6" s="1596"/>
      <c r="B6" s="1597"/>
      <c r="C6" s="3618" t="s">
        <v>2016</v>
      </c>
      <c r="D6" s="3619"/>
      <c r="E6" s="3620" t="s">
        <v>2016</v>
      </c>
      <c r="F6" s="3621"/>
      <c r="G6" s="3618" t="s">
        <v>2016</v>
      </c>
      <c r="H6" s="3619"/>
      <c r="I6" s="3618" t="s">
        <v>2016</v>
      </c>
      <c r="J6" s="3619"/>
      <c r="K6" s="1891" t="s">
        <v>2017</v>
      </c>
      <c r="L6" s="2911"/>
      <c r="M6" s="2912"/>
      <c r="N6" s="2912"/>
      <c r="O6" s="2912"/>
      <c r="P6" s="3605"/>
      <c r="Q6" s="3606"/>
      <c r="R6" s="3609"/>
      <c r="S6" s="3610"/>
      <c r="T6" s="3611"/>
      <c r="U6" s="3612"/>
      <c r="V6" s="3613"/>
      <c r="W6" s="3613"/>
      <c r="X6" s="1591"/>
      <c r="Y6" s="3611"/>
      <c r="Z6" s="3612"/>
      <c r="AA6" s="3596"/>
      <c r="AB6" s="3596"/>
      <c r="AC6" s="3596"/>
    </row>
    <row r="7" spans="1:30" s="1610" customFormat="1" ht="15" thickBot="1">
      <c r="A7" s="1598" t="s">
        <v>2018</v>
      </c>
      <c r="B7" s="1599"/>
      <c r="C7" s="1600">
        <f>'数据-取费表'!B2</f>
        <v>44701</v>
      </c>
      <c r="D7" s="1601">
        <v>100</v>
      </c>
      <c r="E7" s="1602"/>
      <c r="F7" s="1603">
        <f>SUMIF(69:69,YEAR(E7)&amp;"-"&amp;INT((MONTH(E7)+2)/3),70:70)</f>
        <v>0</v>
      </c>
      <c r="G7" s="1892"/>
      <c r="H7" s="1601">
        <f>SUMIF(69:69,YEAR(G7)&amp;"-"&amp;INT((MONTH(G7)+2)/3),70:70)</f>
        <v>0</v>
      </c>
      <c r="I7" s="1892"/>
      <c r="J7" s="1601">
        <f>SUMIF(69:69,YEAR(I7)&amp;"-"&amp;INT((MONTH(I7)+2)/3),70:70)</f>
        <v>0</v>
      </c>
      <c r="K7" s="1893"/>
      <c r="L7" s="2911"/>
      <c r="M7" s="2884"/>
      <c r="N7" s="2884"/>
      <c r="O7" s="2884"/>
      <c r="P7" s="3629" t="s">
        <v>2019</v>
      </c>
      <c r="Q7" s="3631"/>
      <c r="R7" s="1606" t="s">
        <v>25</v>
      </c>
      <c r="S7" s="1607">
        <f t="shared" ref="S7:S15" si="0">F7</f>
        <v>0</v>
      </c>
      <c r="T7" s="1606" t="s">
        <v>25</v>
      </c>
      <c r="U7" s="1607">
        <f t="shared" ref="U7:U15" si="1">H7</f>
        <v>0</v>
      </c>
      <c r="V7" s="1606" t="s">
        <v>25</v>
      </c>
      <c r="W7" s="1607">
        <f t="shared" ref="W7:W15" si="2">J7</f>
        <v>0</v>
      </c>
      <c r="X7" s="1608"/>
      <c r="Y7" s="3629" t="s">
        <v>2019</v>
      </c>
      <c r="Z7" s="3630"/>
      <c r="AA7" s="1609" t="e">
        <f>D7/F7</f>
        <v>#DIV/0!</v>
      </c>
      <c r="AB7" s="1609" t="e">
        <f>D7/H7</f>
        <v>#DIV/0!</v>
      </c>
      <c r="AC7" s="1609" t="e">
        <f>D7/J7</f>
        <v>#DIV/0!</v>
      </c>
    </row>
    <row r="8" spans="1:30" s="1610" customFormat="1" ht="15" thickBot="1">
      <c r="A8" s="1598" t="s">
        <v>2020</v>
      </c>
      <c r="B8" s="1599"/>
      <c r="C8" s="1611" t="s">
        <v>2205</v>
      </c>
      <c r="D8" s="1601">
        <v>100</v>
      </c>
      <c r="E8" s="1611"/>
      <c r="F8" s="1603">
        <f>SUMIF(72:72,E8,73:73)-SUMIF(72:72,C8,73:73)+100</f>
        <v>0</v>
      </c>
      <c r="G8" s="1611"/>
      <c r="H8" s="1601">
        <f>SUMIF(72:72,G8,73:73)-SUMIF(72:72,C8,73:73)+100</f>
        <v>0</v>
      </c>
      <c r="I8" s="1611"/>
      <c r="J8" s="1601">
        <f>SUMIF(72:72,I8,73:73)-SUMIF(72:72,C8,73:73)+100</f>
        <v>0</v>
      </c>
      <c r="K8" s="1893"/>
      <c r="L8" s="2911"/>
      <c r="M8" s="2884"/>
      <c r="N8" s="2884"/>
      <c r="O8" s="2884"/>
      <c r="P8" s="3629" t="s">
        <v>2022</v>
      </c>
      <c r="Q8" s="3630"/>
      <c r="R8" s="1606" t="s">
        <v>25</v>
      </c>
      <c r="S8" s="1607">
        <f t="shared" si="0"/>
        <v>0</v>
      </c>
      <c r="T8" s="1606" t="s">
        <v>25</v>
      </c>
      <c r="U8" s="1607">
        <f t="shared" si="1"/>
        <v>0</v>
      </c>
      <c r="V8" s="1606" t="s">
        <v>25</v>
      </c>
      <c r="W8" s="1607">
        <f t="shared" si="2"/>
        <v>0</v>
      </c>
      <c r="X8" s="1608"/>
      <c r="Y8" s="3629" t="s">
        <v>2022</v>
      </c>
      <c r="Z8" s="3630"/>
      <c r="AA8" s="1609" t="e">
        <f t="shared" ref="AA8:AA45" si="3">D8/F8</f>
        <v>#DIV/0!</v>
      </c>
      <c r="AB8" s="1609" t="e">
        <f t="shared" ref="AB8:AB45" si="4">D8/H8</f>
        <v>#DIV/0!</v>
      </c>
      <c r="AC8" s="1609" t="e">
        <f t="shared" ref="AC8:AC45" si="5">D8/J8</f>
        <v>#DIV/0!</v>
      </c>
    </row>
    <row r="9" spans="1:30" s="1610" customFormat="1" ht="14.4">
      <c r="A9" s="1561" t="s">
        <v>2023</v>
      </c>
      <c r="B9" s="1613" t="s">
        <v>2024</v>
      </c>
      <c r="C9" s="1894"/>
      <c r="D9" s="1615">
        <v>100</v>
      </c>
      <c r="E9" s="1894"/>
      <c r="F9" s="1615">
        <f>SUMIF(74:74,E9,75:75)-SUMIF(74:74,C9,75:75)+100</f>
        <v>100</v>
      </c>
      <c r="G9" s="1894"/>
      <c r="H9" s="1615">
        <f>SUMIF(74:74,G9,75:75)-SUMIF(74:74,C9,75:75)+100</f>
        <v>100</v>
      </c>
      <c r="I9" s="1894"/>
      <c r="J9" s="1615">
        <f>SUMIF(74:74,I9,75:75)-SUMIF(74:74,C9,75:75)+100</f>
        <v>100</v>
      </c>
      <c r="K9" s="1893"/>
      <c r="L9" s="2911"/>
      <c r="M9" s="2884"/>
      <c r="N9" s="2884"/>
      <c r="O9" s="2958"/>
      <c r="P9" s="3633" t="s">
        <v>2025</v>
      </c>
      <c r="Q9" s="1560" t="str">
        <f t="shared" ref="Q9:Q15" si="6">B9</f>
        <v>用途</v>
      </c>
      <c r="R9" s="1606" t="s">
        <v>25</v>
      </c>
      <c r="S9" s="1607">
        <f t="shared" si="0"/>
        <v>100</v>
      </c>
      <c r="T9" s="1606" t="s">
        <v>25</v>
      </c>
      <c r="U9" s="1607">
        <f t="shared" si="1"/>
        <v>100</v>
      </c>
      <c r="V9" s="1606" t="s">
        <v>25</v>
      </c>
      <c r="W9" s="1607">
        <f t="shared" si="2"/>
        <v>100</v>
      </c>
      <c r="X9" s="1608"/>
      <c r="Y9" s="3497" t="s">
        <v>2026</v>
      </c>
      <c r="Z9" s="1619" t="str">
        <f t="shared" ref="Z9:Z15" si="7">Q9</f>
        <v>用途</v>
      </c>
      <c r="AA9" s="1609">
        <f t="shared" si="3"/>
        <v>1</v>
      </c>
      <c r="AB9" s="1609">
        <f t="shared" si="4"/>
        <v>1</v>
      </c>
      <c r="AC9" s="1609">
        <f t="shared" si="5"/>
        <v>1</v>
      </c>
    </row>
    <row r="10" spans="1:30" s="1627" customFormat="1" ht="28.8">
      <c r="A10" s="1620"/>
      <c r="B10" s="1621" t="s">
        <v>2027</v>
      </c>
      <c r="C10" s="1633"/>
      <c r="D10" s="1623">
        <v>100</v>
      </c>
      <c r="E10" s="1685"/>
      <c r="F10" s="1623">
        <f>ROUND(100/'数据-取费表'!B14,0)</f>
        <v>113</v>
      </c>
      <c r="G10" s="1683"/>
      <c r="H10" s="1623">
        <f>ROUND(100/'数据-取费表'!B14,0)</f>
        <v>113</v>
      </c>
      <c r="I10" s="1683"/>
      <c r="J10" s="1623">
        <f>ROUND(100/'数据-取费表'!B14,0)</f>
        <v>113</v>
      </c>
      <c r="K10" s="1895"/>
      <c r="L10" s="2913"/>
      <c r="M10" s="2914"/>
      <c r="N10" s="2914"/>
      <c r="O10" s="2959"/>
      <c r="P10" s="3633"/>
      <c r="Q10" s="1560" t="str">
        <f t="shared" si="6"/>
        <v>土地使用年限（年）</v>
      </c>
      <c r="R10" s="1606" t="s">
        <v>25</v>
      </c>
      <c r="S10" s="1607">
        <f t="shared" si="0"/>
        <v>113</v>
      </c>
      <c r="T10" s="1606" t="s">
        <v>25</v>
      </c>
      <c r="U10" s="1607">
        <f t="shared" si="1"/>
        <v>113</v>
      </c>
      <c r="V10" s="1606" t="s">
        <v>25</v>
      </c>
      <c r="W10" s="1607">
        <f t="shared" si="2"/>
        <v>113</v>
      </c>
      <c r="X10" s="1608"/>
      <c r="Y10" s="3497"/>
      <c r="Z10" s="1619" t="str">
        <f t="shared" si="7"/>
        <v>土地使用年限（年）</v>
      </c>
      <c r="AA10" s="1609">
        <f t="shared" si="3"/>
        <v>0.88495575221238942</v>
      </c>
      <c r="AB10" s="1609">
        <f t="shared" si="4"/>
        <v>0.88495575221238942</v>
      </c>
      <c r="AC10" s="1609">
        <f t="shared" si="5"/>
        <v>0.88495575221238942</v>
      </c>
    </row>
    <row r="11" spans="1:30" ht="15">
      <c r="A11" s="1628"/>
      <c r="B11" s="1621" t="s">
        <v>2028</v>
      </c>
      <c r="C11" s="1629"/>
      <c r="D11" s="1623">
        <v>100</v>
      </c>
      <c r="E11" s="1629"/>
      <c r="F11" s="1623" t="e">
        <f>LOOKUP(E11,79:79,80:80)-LOOKUP(C11,79:79,80:80)+100</f>
        <v>#N/A</v>
      </c>
      <c r="G11" s="1630"/>
      <c r="H11" s="1623" t="e">
        <f>LOOKUP(G11,79:79,80:80)-LOOKUP(C11,79:79,80:80)+100</f>
        <v>#N/A</v>
      </c>
      <c r="I11" s="1629"/>
      <c r="J11" s="1623" t="e">
        <f>LOOKUP(I11,79:79,80:80)-LOOKUP(C11,79:79,80:80)+100</f>
        <v>#N/A</v>
      </c>
      <c r="K11" s="1896"/>
      <c r="L11" s="2915"/>
      <c r="M11" s="2912"/>
      <c r="N11" s="2912"/>
      <c r="O11" s="2960"/>
      <c r="P11" s="3633"/>
      <c r="Q11" s="1560" t="str">
        <f t="shared" si="6"/>
        <v>容积率</v>
      </c>
      <c r="R11" s="1606" t="s">
        <v>25</v>
      </c>
      <c r="S11" s="1607" t="e">
        <f t="shared" si="0"/>
        <v>#N/A</v>
      </c>
      <c r="T11" s="1606" t="s">
        <v>25</v>
      </c>
      <c r="U11" s="1607" t="e">
        <f t="shared" si="1"/>
        <v>#N/A</v>
      </c>
      <c r="V11" s="1606" t="s">
        <v>25</v>
      </c>
      <c r="W11" s="1607" t="e">
        <f t="shared" si="2"/>
        <v>#N/A</v>
      </c>
      <c r="X11" s="1608"/>
      <c r="Y11" s="3497"/>
      <c r="Z11" s="1619" t="str">
        <f t="shared" si="7"/>
        <v>容积率</v>
      </c>
      <c r="AA11" s="1609" t="e">
        <f t="shared" si="3"/>
        <v>#N/A</v>
      </c>
      <c r="AB11" s="1609" t="e">
        <f t="shared" si="4"/>
        <v>#N/A</v>
      </c>
      <c r="AC11" s="1609" t="e">
        <f t="shared" si="5"/>
        <v>#N/A</v>
      </c>
    </row>
    <row r="12" spans="1:30" s="1610" customFormat="1" ht="15">
      <c r="A12" s="1631"/>
      <c r="B12" s="1632" t="s">
        <v>2206</v>
      </c>
      <c r="C12" s="1633"/>
      <c r="D12" s="1634">
        <v>100</v>
      </c>
      <c r="E12" s="1685"/>
      <c r="F12" s="1623">
        <f>SUMIF(81:81,E12,82:82)-SUMIF(81:81,C12,82:82)+100</f>
        <v>100</v>
      </c>
      <c r="G12" s="1683"/>
      <c r="H12" s="1623">
        <f>SUMIF(81:81,G12,82:82)-SUMIF(81:81,C12,82:82)+100</f>
        <v>100</v>
      </c>
      <c r="I12" s="1685"/>
      <c r="J12" s="1623">
        <f>SUMIF(81:81,I12,82:82)-SUMIF(81:81,C12,82:82)+100</f>
        <v>100</v>
      </c>
      <c r="K12" s="1895"/>
      <c r="L12" s="2911"/>
      <c r="M12" s="2884"/>
      <c r="N12" s="2884"/>
      <c r="O12" s="2958"/>
      <c r="P12" s="3633"/>
      <c r="Q12" s="1560" t="str">
        <f t="shared" si="6"/>
        <v>配建</v>
      </c>
      <c r="R12" s="1606" t="s">
        <v>25</v>
      </c>
      <c r="S12" s="1607">
        <f t="shared" si="0"/>
        <v>100</v>
      </c>
      <c r="T12" s="1606" t="s">
        <v>25</v>
      </c>
      <c r="U12" s="1607">
        <f t="shared" si="1"/>
        <v>100</v>
      </c>
      <c r="V12" s="1606" t="s">
        <v>25</v>
      </c>
      <c r="W12" s="1607">
        <f t="shared" si="2"/>
        <v>100</v>
      </c>
      <c r="X12" s="1608"/>
      <c r="Y12" s="3497"/>
      <c r="Z12" s="1619" t="str">
        <f t="shared" si="7"/>
        <v>配建</v>
      </c>
      <c r="AA12" s="1609">
        <f>D12/F12</f>
        <v>1</v>
      </c>
      <c r="AB12" s="1609">
        <f>D12/H12</f>
        <v>1</v>
      </c>
      <c r="AC12" s="1609">
        <f>D12/J12</f>
        <v>1</v>
      </c>
    </row>
    <row r="13" spans="1:30" ht="15">
      <c r="A13" s="1628"/>
      <c r="B13" s="1632">
        <v>111</v>
      </c>
      <c r="C13" s="1636"/>
      <c r="D13" s="1637">
        <v>100</v>
      </c>
      <c r="E13" s="1793"/>
      <c r="F13" s="1623">
        <f>SUMIF(83:83,E13,84:84)-SUMIF(83:83,C13,84:84)+100</f>
        <v>100</v>
      </c>
      <c r="G13" s="1897"/>
      <c r="H13" s="1637">
        <f>SUMIF(83:83,G13,84:84)-SUMIF(83:83,C13,84:84)+100</f>
        <v>100</v>
      </c>
      <c r="I13" s="1897"/>
      <c r="J13" s="1637">
        <f>SUMIF(83:83,I13,84:84)-SUMIF(83:83,C13,84:84)+100</f>
        <v>100</v>
      </c>
      <c r="K13" s="1895"/>
      <c r="L13" s="2916"/>
      <c r="M13" s="2912"/>
      <c r="N13" s="2912"/>
      <c r="O13" s="2960"/>
      <c r="P13" s="3633"/>
      <c r="Q13" s="1560">
        <f t="shared" si="6"/>
        <v>111</v>
      </c>
      <c r="R13" s="1606" t="s">
        <v>25</v>
      </c>
      <c r="S13" s="1607">
        <f t="shared" si="0"/>
        <v>100</v>
      </c>
      <c r="T13" s="1606" t="s">
        <v>25</v>
      </c>
      <c r="U13" s="1607">
        <f t="shared" si="1"/>
        <v>100</v>
      </c>
      <c r="V13" s="1606" t="s">
        <v>25</v>
      </c>
      <c r="W13" s="1607">
        <f t="shared" si="2"/>
        <v>100</v>
      </c>
      <c r="X13" s="1608"/>
      <c r="Y13" s="3497"/>
      <c r="Z13" s="1619">
        <f t="shared" si="7"/>
        <v>111</v>
      </c>
      <c r="AA13" s="1609">
        <f>D13/F13</f>
        <v>1</v>
      </c>
      <c r="AB13" s="1609">
        <f>D13/H13</f>
        <v>1</v>
      </c>
      <c r="AC13" s="1609">
        <f>D13/J13</f>
        <v>1</v>
      </c>
    </row>
    <row r="14" spans="1:30" ht="15.6" thickBot="1">
      <c r="A14" s="1638"/>
      <c r="B14" s="1639">
        <v>111</v>
      </c>
      <c r="C14" s="1640"/>
      <c r="D14" s="1641">
        <v>100</v>
      </c>
      <c r="E14" s="1793"/>
      <c r="F14" s="1641">
        <f>SUMIF(85:85,E14,86:86)-SUMIF(85:85,C14,86:86)+100</f>
        <v>100</v>
      </c>
      <c r="G14" s="1897"/>
      <c r="H14" s="1641">
        <f>SUMIF(85:85,G14,86:86)-SUMIF(85:85,C14,86:86)+100</f>
        <v>100</v>
      </c>
      <c r="I14" s="1897"/>
      <c r="J14" s="1641">
        <f>SUMIF(85:85,I14,86:86)-SUMIF(85:85,C14,86:86)+100</f>
        <v>100</v>
      </c>
      <c r="K14" s="1895"/>
      <c r="L14" s="2916"/>
      <c r="M14" s="2912"/>
      <c r="N14" s="2912"/>
      <c r="O14" s="2960"/>
      <c r="P14" s="3633"/>
      <c r="Q14" s="1560">
        <f t="shared" si="6"/>
        <v>111</v>
      </c>
      <c r="R14" s="1606" t="s">
        <v>25</v>
      </c>
      <c r="S14" s="1607">
        <f t="shared" si="0"/>
        <v>100</v>
      </c>
      <c r="T14" s="1606" t="s">
        <v>25</v>
      </c>
      <c r="U14" s="1607">
        <f t="shared" si="1"/>
        <v>100</v>
      </c>
      <c r="V14" s="1606" t="s">
        <v>25</v>
      </c>
      <c r="W14" s="1607">
        <f t="shared" si="2"/>
        <v>100</v>
      </c>
      <c r="X14" s="1608"/>
      <c r="Y14" s="3497"/>
      <c r="Z14" s="1619">
        <f t="shared" si="7"/>
        <v>111</v>
      </c>
      <c r="AA14" s="1609">
        <f>D14/F14</f>
        <v>1</v>
      </c>
      <c r="AB14" s="1609">
        <f>D14/H14</f>
        <v>1</v>
      </c>
      <c r="AC14" s="1609">
        <f>D14/J14</f>
        <v>1</v>
      </c>
    </row>
    <row r="15" spans="1:30" ht="96.6">
      <c r="A15" s="1588" t="s">
        <v>2029</v>
      </c>
      <c r="B15" s="1898" t="s">
        <v>1464</v>
      </c>
      <c r="C15" s="1899" t="str">
        <f>估价对象房地状况!C15</f>
        <v>估价对象周边居住用地比例、居住小区规模和社区发展完善程度，综合评价居住社区成熟度一般</v>
      </c>
      <c r="D15" s="1646">
        <v>100</v>
      </c>
      <c r="E15" s="1647"/>
      <c r="F15" s="1646">
        <f>SUMIF(87:87,E16,88:88)-SUMIF(87:87,C16,88:88)+100</f>
        <v>100</v>
      </c>
      <c r="G15" s="1647"/>
      <c r="H15" s="1646">
        <f>SUMIF(87:87,G16,88:88)-SUMIF(87:87,C16,88:88)+100</f>
        <v>100</v>
      </c>
      <c r="I15" s="1649"/>
      <c r="J15" s="1646">
        <f>SUMIF(87:87,I16,88:88)-SUMIF(87:87,C16,88:88)+100</f>
        <v>100</v>
      </c>
      <c r="K15" s="1896"/>
      <c r="L15" s="2916"/>
      <c r="M15" s="2912"/>
      <c r="N15" s="2912"/>
      <c r="O15" s="2960"/>
      <c r="P15" s="3622" t="s">
        <v>2030</v>
      </c>
      <c r="Q15" s="1541" t="str">
        <f t="shared" si="6"/>
        <v>居住社区成熟度</v>
      </c>
      <c r="R15" s="1651" t="s">
        <v>25</v>
      </c>
      <c r="S15" s="1652">
        <f t="shared" si="0"/>
        <v>100</v>
      </c>
      <c r="T15" s="1651" t="s">
        <v>25</v>
      </c>
      <c r="U15" s="1652">
        <f t="shared" si="1"/>
        <v>100</v>
      </c>
      <c r="V15" s="1651" t="s">
        <v>25</v>
      </c>
      <c r="W15" s="1652">
        <f t="shared" si="2"/>
        <v>100</v>
      </c>
      <c r="X15" s="1591"/>
      <c r="Y15" s="3622" t="s">
        <v>2030</v>
      </c>
      <c r="Z15" s="1653" t="str">
        <f t="shared" si="7"/>
        <v>居住社区成熟度</v>
      </c>
      <c r="AA15" s="1654">
        <f t="shared" si="3"/>
        <v>1</v>
      </c>
      <c r="AB15" s="1654">
        <f t="shared" si="4"/>
        <v>1</v>
      </c>
      <c r="AC15" s="1654">
        <f t="shared" si="5"/>
        <v>1</v>
      </c>
    </row>
    <row r="16" spans="1:30" ht="15">
      <c r="A16" s="1593"/>
      <c r="B16" s="1900"/>
      <c r="C16" s="1901"/>
      <c r="D16" s="1657"/>
      <c r="E16" s="1658"/>
      <c r="F16" s="1657"/>
      <c r="G16" s="1658"/>
      <c r="H16" s="1661"/>
      <c r="I16" s="1660"/>
      <c r="J16" s="1657"/>
      <c r="K16" s="1895"/>
      <c r="L16" s="2916"/>
      <c r="M16" s="2912"/>
      <c r="N16" s="2912"/>
      <c r="O16" s="2960"/>
      <c r="P16" s="3623"/>
      <c r="Q16" s="1541"/>
      <c r="R16" s="1651"/>
      <c r="S16" s="1652"/>
      <c r="T16" s="1651"/>
      <c r="U16" s="1652"/>
      <c r="V16" s="1651"/>
      <c r="W16" s="1652"/>
      <c r="X16" s="1591"/>
      <c r="Y16" s="3623"/>
      <c r="Z16" s="1653"/>
      <c r="AA16" s="1654">
        <v>1</v>
      </c>
      <c r="AB16" s="1654">
        <v>1</v>
      </c>
      <c r="AC16" s="1654">
        <v>1</v>
      </c>
    </row>
    <row r="17" spans="1:29" ht="82.8">
      <c r="A17" s="1593"/>
      <c r="B17" s="1902" t="s">
        <v>2115</v>
      </c>
      <c r="C17" s="1903" t="str">
        <f>估价对象房地状况!C16</f>
        <v>估价对象位于XX商圈，周边商业氛围成熟，人流量大，商业繁华度好</v>
      </c>
      <c r="D17" s="1661">
        <v>100</v>
      </c>
      <c r="E17" s="1665"/>
      <c r="F17" s="1661">
        <f>SUMIF(89:89,E18,90:90)-SUMIF(89:89,C18,90:90)+100</f>
        <v>100</v>
      </c>
      <c r="G17" s="1665"/>
      <c r="H17" s="1668">
        <f>SUMIF(89:89,G18,90:90)-SUMIF(89:89,C18,90:90)+100</f>
        <v>100</v>
      </c>
      <c r="I17" s="1667"/>
      <c r="J17" s="1668">
        <f>SUMIF(89:89,I18,90:90)-SUMIF(89:89,C18,90:90)+100</f>
        <v>100</v>
      </c>
      <c r="K17" s="1896"/>
      <c r="L17" s="2916"/>
      <c r="M17" s="2912"/>
      <c r="N17" s="2912"/>
      <c r="O17" s="2960"/>
      <c r="P17" s="3623"/>
      <c r="Q17" s="1541" t="str">
        <f>B17</f>
        <v>商业繁华度</v>
      </c>
      <c r="R17" s="1651" t="s">
        <v>25</v>
      </c>
      <c r="S17" s="1652">
        <f>F17</f>
        <v>100</v>
      </c>
      <c r="T17" s="1651" t="s">
        <v>25</v>
      </c>
      <c r="U17" s="1652">
        <f>H17</f>
        <v>100</v>
      </c>
      <c r="V17" s="1651" t="s">
        <v>25</v>
      </c>
      <c r="W17" s="1652">
        <f>J17</f>
        <v>100</v>
      </c>
      <c r="X17" s="1591"/>
      <c r="Y17" s="3623"/>
      <c r="Z17" s="1653" t="str">
        <f>Q17</f>
        <v>商业繁华度</v>
      </c>
      <c r="AA17" s="1654">
        <f t="shared" si="3"/>
        <v>1</v>
      </c>
      <c r="AB17" s="1654">
        <f t="shared" si="4"/>
        <v>1</v>
      </c>
      <c r="AC17" s="1654">
        <f t="shared" si="5"/>
        <v>1</v>
      </c>
    </row>
    <row r="18" spans="1:29" ht="15">
      <c r="A18" s="1593"/>
      <c r="B18" s="1904"/>
      <c r="C18" s="1905"/>
      <c r="D18" s="1661"/>
      <c r="E18" s="1671"/>
      <c r="F18" s="1661"/>
      <c r="G18" s="1671"/>
      <c r="H18" s="1657"/>
      <c r="I18" s="1672"/>
      <c r="J18" s="1657"/>
      <c r="K18" s="1895"/>
      <c r="L18" s="2916"/>
      <c r="M18" s="2912"/>
      <c r="N18" s="2912"/>
      <c r="O18" s="2960"/>
      <c r="P18" s="3623"/>
      <c r="Q18" s="1541"/>
      <c r="R18" s="1651"/>
      <c r="S18" s="1652"/>
      <c r="T18" s="1651"/>
      <c r="U18" s="1652"/>
      <c r="V18" s="1651"/>
      <c r="W18" s="1652"/>
      <c r="X18" s="1591"/>
      <c r="Y18" s="3623"/>
      <c r="Z18" s="1653"/>
      <c r="AA18" s="1654">
        <v>1</v>
      </c>
      <c r="AB18" s="1654">
        <v>1</v>
      </c>
      <c r="AC18" s="1654">
        <v>1</v>
      </c>
    </row>
    <row r="19" spans="1:29" ht="82.8">
      <c r="A19" s="1593"/>
      <c r="B19" s="1902" t="s">
        <v>2144</v>
      </c>
      <c r="C19" s="1903" t="str">
        <f>估价对象房地状况!C17</f>
        <v>估价对象位于XX商圈，周边办公楼项目较多，入驻率高，办公集聚程度较好</v>
      </c>
      <c r="D19" s="1668">
        <v>100</v>
      </c>
      <c r="E19" s="1673"/>
      <c r="F19" s="1668">
        <f>SUMIF(91:91,E20,92:92)-SUMIF(91:91,C20,92:92)+100</f>
        <v>100</v>
      </c>
      <c r="G19" s="1673"/>
      <c r="H19" s="1661">
        <f>SUMIF(91:91,G20,92:92)-SUMIF(91:91,C20,92:92)+100</f>
        <v>100</v>
      </c>
      <c r="I19" s="1675"/>
      <c r="J19" s="1661">
        <f>SUMIF(91:91,I20,92:92)-SUMIF(91:91,C20,92:92)+100</f>
        <v>100</v>
      </c>
      <c r="K19" s="1896"/>
      <c r="L19" s="2916"/>
      <c r="M19" s="2912"/>
      <c r="N19" s="2912"/>
      <c r="O19" s="2960"/>
      <c r="P19" s="3623"/>
      <c r="Q19" s="1541" t="str">
        <f>B19</f>
        <v>办公集聚程度</v>
      </c>
      <c r="R19" s="1651" t="s">
        <v>25</v>
      </c>
      <c r="S19" s="1652">
        <f>F19</f>
        <v>100</v>
      </c>
      <c r="T19" s="1651" t="s">
        <v>25</v>
      </c>
      <c r="U19" s="1652">
        <f>H19</f>
        <v>100</v>
      </c>
      <c r="V19" s="1651" t="s">
        <v>25</v>
      </c>
      <c r="W19" s="1652">
        <f>J19</f>
        <v>100</v>
      </c>
      <c r="X19" s="1591"/>
      <c r="Y19" s="3623"/>
      <c r="Z19" s="1653" t="str">
        <f>Q19</f>
        <v>办公集聚程度</v>
      </c>
      <c r="AA19" s="1654">
        <f t="shared" si="3"/>
        <v>1</v>
      </c>
      <c r="AB19" s="1654">
        <f t="shared" si="4"/>
        <v>1</v>
      </c>
      <c r="AC19" s="1654">
        <f t="shared" si="5"/>
        <v>1</v>
      </c>
    </row>
    <row r="20" spans="1:29" ht="15">
      <c r="A20" s="1593"/>
      <c r="B20" s="1904"/>
      <c r="C20" s="1901"/>
      <c r="D20" s="1657"/>
      <c r="E20" s="1658"/>
      <c r="F20" s="1657"/>
      <c r="G20" s="1658"/>
      <c r="H20" s="1657"/>
      <c r="I20" s="1660"/>
      <c r="J20" s="1657"/>
      <c r="K20" s="1895"/>
      <c r="L20" s="2916"/>
      <c r="M20" s="2912"/>
      <c r="N20" s="2912"/>
      <c r="O20" s="2960"/>
      <c r="P20" s="3623"/>
      <c r="Q20" s="1541"/>
      <c r="R20" s="1651"/>
      <c r="S20" s="1652"/>
      <c r="T20" s="1651"/>
      <c r="U20" s="1652"/>
      <c r="V20" s="1651"/>
      <c r="W20" s="1652"/>
      <c r="X20" s="1591"/>
      <c r="Y20" s="3623"/>
      <c r="Z20" s="1653"/>
      <c r="AA20" s="1654">
        <v>1</v>
      </c>
      <c r="AB20" s="1654">
        <v>1</v>
      </c>
      <c r="AC20" s="1654">
        <v>1</v>
      </c>
    </row>
    <row r="21" spans="1:29" ht="96.6">
      <c r="A21" s="1593"/>
      <c r="B21" s="1902" t="s">
        <v>2167</v>
      </c>
      <c r="C21" s="1906" t="str">
        <f>估价对象房地状况!C18</f>
        <v>估价对象周边道路状况、公共交通通达情况、停车便捷程度，综合评价交通便捷度较好</v>
      </c>
      <c r="D21" s="1661">
        <v>100</v>
      </c>
      <c r="E21" s="1665"/>
      <c r="F21" s="1668">
        <f>SUMIF(93:93,E22,94:94)-SUMIF(93:93,C22,94:94)+100</f>
        <v>100</v>
      </c>
      <c r="G21" s="1665"/>
      <c r="H21" s="1661">
        <f>SUMIF(93:93,G22,94:94)-SUMIF(93:93,C22,94:94)+100</f>
        <v>100</v>
      </c>
      <c r="I21" s="1667"/>
      <c r="J21" s="1661">
        <f>SUMIF(93:93,I22,94:94)-SUMIF(93:93,C22,94:94)+100</f>
        <v>100</v>
      </c>
      <c r="K21" s="1896"/>
      <c r="L21" s="2916"/>
      <c r="M21" s="2912"/>
      <c r="N21" s="2912"/>
      <c r="O21" s="2960"/>
      <c r="P21" s="3623"/>
      <c r="Q21" s="1541" t="str">
        <f>B21</f>
        <v>交通便捷度</v>
      </c>
      <c r="R21" s="1651" t="s">
        <v>25</v>
      </c>
      <c r="S21" s="1652">
        <f>F21</f>
        <v>100</v>
      </c>
      <c r="T21" s="1651" t="s">
        <v>25</v>
      </c>
      <c r="U21" s="1652">
        <f>H21</f>
        <v>100</v>
      </c>
      <c r="V21" s="1651" t="s">
        <v>25</v>
      </c>
      <c r="W21" s="1652">
        <f>J21</f>
        <v>100</v>
      </c>
      <c r="X21" s="1591"/>
      <c r="Y21" s="3623"/>
      <c r="Z21" s="1653" t="str">
        <f>Q21</f>
        <v>交通便捷度</v>
      </c>
      <c r="AA21" s="1654">
        <f t="shared" si="3"/>
        <v>1</v>
      </c>
      <c r="AB21" s="1654">
        <f t="shared" si="4"/>
        <v>1</v>
      </c>
      <c r="AC21" s="1654">
        <f t="shared" si="5"/>
        <v>1</v>
      </c>
    </row>
    <row r="22" spans="1:29" ht="15">
      <c r="A22" s="1593"/>
      <c r="B22" s="1907"/>
      <c r="C22" s="1901"/>
      <c r="D22" s="1661"/>
      <c r="E22" s="1658"/>
      <c r="F22" s="1657"/>
      <c r="G22" s="1658"/>
      <c r="H22" s="1657"/>
      <c r="I22" s="1660"/>
      <c r="J22" s="1657"/>
      <c r="K22" s="1895"/>
      <c r="L22" s="2916"/>
      <c r="M22" s="2912"/>
      <c r="N22" s="2912"/>
      <c r="O22" s="2960"/>
      <c r="P22" s="3623"/>
      <c r="Q22" s="1541"/>
      <c r="R22" s="1651"/>
      <c r="S22" s="1652"/>
      <c r="T22" s="1651"/>
      <c r="U22" s="1652"/>
      <c r="V22" s="1651"/>
      <c r="W22" s="1652"/>
      <c r="X22" s="1591"/>
      <c r="Y22" s="3623"/>
      <c r="Z22" s="1653"/>
      <c r="AA22" s="1654">
        <v>1</v>
      </c>
      <c r="AB22" s="1654">
        <v>1</v>
      </c>
      <c r="AC22" s="1654">
        <v>1</v>
      </c>
    </row>
    <row r="23" spans="1:29" ht="28.8">
      <c r="A23" s="1593"/>
      <c r="B23" s="1383" t="s">
        <v>2207</v>
      </c>
      <c r="C23" s="1908">
        <f>估价对象房地状况!C19</f>
        <v>0</v>
      </c>
      <c r="D23" s="1668">
        <v>100</v>
      </c>
      <c r="E23" s="1665"/>
      <c r="F23" s="1668">
        <f>SUMIF(95:95,E24,96:96)-SUMIF(95:95,C24,96:96)+100</f>
        <v>100</v>
      </c>
      <c r="G23" s="1667"/>
      <c r="H23" s="1668">
        <f>SUMIF(95:95,G24,96:96)-SUMIF(95:95,C24,96:96)+100</f>
        <v>100</v>
      </c>
      <c r="I23" s="1667"/>
      <c r="J23" s="1668">
        <f>SUMIF(95:95,I24,96:96)-SUMIF(95:95,C24,96:96)+100</f>
        <v>100</v>
      </c>
      <c r="K23" s="1896"/>
      <c r="L23" s="2916"/>
      <c r="M23" s="2912"/>
      <c r="N23" s="2912"/>
      <c r="O23" s="2960"/>
      <c r="P23" s="3623"/>
      <c r="Q23" s="1541" t="str">
        <f t="shared" ref="Q23:Q37" si="8">B23</f>
        <v>区域土地利用方向</v>
      </c>
      <c r="R23" s="1651" t="s">
        <v>25</v>
      </c>
      <c r="S23" s="1652">
        <f>F23</f>
        <v>100</v>
      </c>
      <c r="T23" s="1651" t="s">
        <v>25</v>
      </c>
      <c r="U23" s="1652">
        <f>H23</f>
        <v>100</v>
      </c>
      <c r="V23" s="1651" t="s">
        <v>25</v>
      </c>
      <c r="W23" s="1652">
        <f>J23</f>
        <v>100</v>
      </c>
      <c r="X23" s="1591"/>
      <c r="Y23" s="3623"/>
      <c r="Z23" s="1653" t="str">
        <f>Q23</f>
        <v>区域土地利用方向</v>
      </c>
      <c r="AA23" s="1654">
        <f t="shared" si="3"/>
        <v>1</v>
      </c>
      <c r="AB23" s="1654">
        <f t="shared" si="4"/>
        <v>1</v>
      </c>
      <c r="AC23" s="1654">
        <f t="shared" si="5"/>
        <v>1</v>
      </c>
    </row>
    <row r="24" spans="1:29" ht="15">
      <c r="A24" s="1593"/>
      <c r="B24" s="1384"/>
      <c r="C24" s="1909"/>
      <c r="D24" s="1657"/>
      <c r="E24" s="1658"/>
      <c r="F24" s="1657"/>
      <c r="G24" s="1660"/>
      <c r="H24" s="1657"/>
      <c r="I24" s="1660"/>
      <c r="J24" s="1657"/>
      <c r="K24" s="1910"/>
      <c r="L24" s="2916"/>
      <c r="M24" s="2912"/>
      <c r="N24" s="2912"/>
      <c r="O24" s="2960"/>
      <c r="P24" s="3623"/>
      <c r="Q24" s="1541"/>
      <c r="R24" s="1651"/>
      <c r="S24" s="1652"/>
      <c r="T24" s="1651"/>
      <c r="U24" s="1652"/>
      <c r="V24" s="1651"/>
      <c r="W24" s="1652"/>
      <c r="X24" s="1591"/>
      <c r="Y24" s="3623"/>
      <c r="Z24" s="1653"/>
      <c r="AA24" s="1654"/>
      <c r="AB24" s="1654"/>
      <c r="AC24" s="1654"/>
    </row>
    <row r="25" spans="1:29" ht="55.2">
      <c r="A25" s="1593"/>
      <c r="B25" s="1907" t="s">
        <v>2208</v>
      </c>
      <c r="C25" s="1903" t="str">
        <f>估价对象房地状况!C20</f>
        <v>区域自然环境：；人文环境；综合评价环境状况一般</v>
      </c>
      <c r="D25" s="1661">
        <v>100</v>
      </c>
      <c r="E25" s="1665"/>
      <c r="F25" s="1661">
        <f>SUMIF(97:97,E26,98:98)-SUMIF(97:97,C26,98:98)+100</f>
        <v>100</v>
      </c>
      <c r="G25" s="1665"/>
      <c r="H25" s="1661">
        <f>SUMIF(97:97,G26,98:98)-SUMIF(97:97,C26,98:98)+100</f>
        <v>100</v>
      </c>
      <c r="I25" s="1667"/>
      <c r="J25" s="1661">
        <f>SUMIF(97:97,I26,98:98)-SUMIF(97:97,C26,98:98)+100</f>
        <v>100</v>
      </c>
      <c r="K25" s="1896"/>
      <c r="L25" s="2916"/>
      <c r="M25" s="2912"/>
      <c r="N25" s="2912"/>
      <c r="O25" s="2960"/>
      <c r="P25" s="3623"/>
      <c r="Q25" s="1541" t="str">
        <f t="shared" si="8"/>
        <v>自然及人文环境状况</v>
      </c>
      <c r="R25" s="1651" t="s">
        <v>25</v>
      </c>
      <c r="S25" s="1652">
        <f>F25</f>
        <v>100</v>
      </c>
      <c r="T25" s="1651" t="s">
        <v>25</v>
      </c>
      <c r="U25" s="1652">
        <f>H25</f>
        <v>100</v>
      </c>
      <c r="V25" s="1651" t="s">
        <v>25</v>
      </c>
      <c r="W25" s="1652">
        <f>J25</f>
        <v>100</v>
      </c>
      <c r="X25" s="1591"/>
      <c r="Y25" s="3623"/>
      <c r="Z25" s="1653" t="str">
        <f>Q25</f>
        <v>自然及人文环境状况</v>
      </c>
      <c r="AA25" s="1654">
        <f t="shared" si="3"/>
        <v>1</v>
      </c>
      <c r="AB25" s="1654">
        <f t="shared" si="4"/>
        <v>1</v>
      </c>
      <c r="AC25" s="1654">
        <f t="shared" si="5"/>
        <v>1</v>
      </c>
    </row>
    <row r="26" spans="1:29" ht="15">
      <c r="A26" s="1593"/>
      <c r="B26" s="1904"/>
      <c r="C26" s="1901"/>
      <c r="D26" s="1657"/>
      <c r="E26" s="1901"/>
      <c r="F26" s="1657"/>
      <c r="G26" s="1901"/>
      <c r="H26" s="1657"/>
      <c r="I26" s="1656"/>
      <c r="J26" s="1657"/>
      <c r="K26" s="1895"/>
      <c r="L26" s="2916"/>
      <c r="M26" s="2912"/>
      <c r="N26" s="2912"/>
      <c r="O26" s="2960"/>
      <c r="P26" s="3623"/>
      <c r="Q26" s="1541"/>
      <c r="R26" s="1651"/>
      <c r="S26" s="1652"/>
      <c r="T26" s="1651"/>
      <c r="U26" s="1652"/>
      <c r="V26" s="1651"/>
      <c r="W26" s="1652"/>
      <c r="X26" s="1591"/>
      <c r="Y26" s="3623"/>
      <c r="Z26" s="1653"/>
      <c r="AA26" s="1654">
        <v>1</v>
      </c>
      <c r="AB26" s="1654">
        <v>1</v>
      </c>
      <c r="AC26" s="1654">
        <v>1</v>
      </c>
    </row>
    <row r="27" spans="1:29" ht="41.4">
      <c r="A27" s="1593"/>
      <c r="B27" s="1907" t="s">
        <v>2116</v>
      </c>
      <c r="C27" s="1906" t="str">
        <f>估价对象房地状况!C21</f>
        <v>估价对象所在区域公共配套设施齐备情况</v>
      </c>
      <c r="D27" s="1661">
        <v>100</v>
      </c>
      <c r="E27" s="1665"/>
      <c r="F27" s="1661">
        <f>SUMIF(99:99,E28,100:100)-SUMIF(99:99,C28,100:100)+100</f>
        <v>100</v>
      </c>
      <c r="G27" s="1665"/>
      <c r="H27" s="1661">
        <f>SUMIF(99:99,G28,100:100)-SUMIF(99:99,C28,100:100)+100</f>
        <v>100</v>
      </c>
      <c r="I27" s="1667"/>
      <c r="J27" s="1661">
        <f>SUMIF(99:99,I28,100:100)-SUMIF(99:99,C28,100:100)+100</f>
        <v>100</v>
      </c>
      <c r="K27" s="1911"/>
      <c r="L27" s="2916"/>
      <c r="M27" s="2912"/>
      <c r="N27" s="2912"/>
      <c r="O27" s="2960"/>
      <c r="P27" s="3623"/>
      <c r="Q27" s="1560" t="str">
        <f t="shared" ref="Q27" si="9">B27</f>
        <v>公共配套设施</v>
      </c>
      <c r="R27" s="1606" t="s">
        <v>25</v>
      </c>
      <c r="S27" s="1607">
        <f>F27</f>
        <v>100</v>
      </c>
      <c r="T27" s="1606" t="s">
        <v>25</v>
      </c>
      <c r="U27" s="1607">
        <f>H27</f>
        <v>100</v>
      </c>
      <c r="V27" s="1606" t="s">
        <v>25</v>
      </c>
      <c r="W27" s="1607">
        <f>J27</f>
        <v>100</v>
      </c>
      <c r="X27" s="1591"/>
      <c r="Y27" s="3623"/>
      <c r="Z27" s="1619" t="str">
        <f>Q27</f>
        <v>公共配套设施</v>
      </c>
      <c r="AA27" s="1654">
        <f>D27/F27</f>
        <v>1</v>
      </c>
      <c r="AB27" s="1654">
        <f>D27/H27</f>
        <v>1</v>
      </c>
      <c r="AC27" s="1654">
        <f>D27/J27</f>
        <v>1</v>
      </c>
    </row>
    <row r="28" spans="1:29" ht="15">
      <c r="A28" s="1593"/>
      <c r="B28" s="1904"/>
      <c r="C28" s="1912"/>
      <c r="D28" s="1657"/>
      <c r="E28" s="1912"/>
      <c r="F28" s="1657"/>
      <c r="G28" s="1912"/>
      <c r="H28" s="1657"/>
      <c r="I28" s="1912"/>
      <c r="J28" s="1657"/>
      <c r="K28" s="1895"/>
      <c r="L28" s="2916"/>
      <c r="M28" s="2912"/>
      <c r="N28" s="2912"/>
      <c r="O28" s="2960"/>
      <c r="P28" s="3623"/>
      <c r="Q28" s="1541"/>
      <c r="R28" s="1651"/>
      <c r="S28" s="1652"/>
      <c r="T28" s="1651"/>
      <c r="U28" s="1652"/>
      <c r="V28" s="1651"/>
      <c r="W28" s="1652"/>
      <c r="X28" s="1591"/>
      <c r="Y28" s="3623"/>
      <c r="Z28" s="1619"/>
      <c r="AA28" s="1654">
        <v>1</v>
      </c>
      <c r="AB28" s="1654">
        <v>1</v>
      </c>
      <c r="AC28" s="1654">
        <v>1</v>
      </c>
    </row>
    <row r="29" spans="1:29" s="1610" customFormat="1" ht="41.4">
      <c r="A29" s="1913"/>
      <c r="B29" s="1907" t="s">
        <v>2117</v>
      </c>
      <c r="C29" s="1914" t="str">
        <f>估价对象房地状况!C22</f>
        <v>估价对象所在区域基础设施水平</v>
      </c>
      <c r="D29" s="1661">
        <v>100</v>
      </c>
      <c r="E29" s="1665"/>
      <c r="F29" s="1661">
        <f>SUMIF(101:101,E30,102:102)-SUMIF(101:101,C30,102:102)+100</f>
        <v>100</v>
      </c>
      <c r="G29" s="1665"/>
      <c r="H29" s="1661">
        <f>SUMIF(101:101,G30,102:102)-SUMIF(101:101,C30,102:102)+100</f>
        <v>100</v>
      </c>
      <c r="I29" s="1667"/>
      <c r="J29" s="1661">
        <f>SUMIF(101:101,I30,102:102)-SUMIF(101:101,C30,102:102)+100</f>
        <v>100</v>
      </c>
      <c r="K29" s="1911"/>
      <c r="L29" s="2911"/>
      <c r="M29" s="2884"/>
      <c r="N29" s="2884"/>
      <c r="O29" s="2958"/>
      <c r="P29" s="3623"/>
      <c r="Q29" s="1560" t="str">
        <f t="shared" si="8"/>
        <v>基础设施水平</v>
      </c>
      <c r="R29" s="1606" t="s">
        <v>25</v>
      </c>
      <c r="S29" s="1607">
        <f>F29</f>
        <v>100</v>
      </c>
      <c r="T29" s="1606" t="s">
        <v>25</v>
      </c>
      <c r="U29" s="1607">
        <f>H29</f>
        <v>100</v>
      </c>
      <c r="V29" s="1606" t="s">
        <v>25</v>
      </c>
      <c r="W29" s="1607">
        <f>J29</f>
        <v>100</v>
      </c>
      <c r="X29" s="1608"/>
      <c r="Y29" s="3623"/>
      <c r="Z29" s="1619" t="str">
        <f>Q29</f>
        <v>基础设施水平</v>
      </c>
      <c r="AA29" s="1654">
        <f>D29/F29</f>
        <v>1</v>
      </c>
      <c r="AB29" s="1654">
        <f>D29/H29</f>
        <v>1</v>
      </c>
      <c r="AC29" s="1654">
        <f>D29/J29</f>
        <v>1</v>
      </c>
    </row>
    <row r="30" spans="1:29" s="1610" customFormat="1" ht="15">
      <c r="A30" s="1913"/>
      <c r="B30" s="1904"/>
      <c r="C30" s="1912"/>
      <c r="D30" s="1657"/>
      <c r="E30" s="1912"/>
      <c r="F30" s="1657"/>
      <c r="G30" s="1912"/>
      <c r="H30" s="1657"/>
      <c r="I30" s="1912"/>
      <c r="J30" s="1657"/>
      <c r="K30" s="1895"/>
      <c r="L30" s="2911"/>
      <c r="M30" s="2884"/>
      <c r="N30" s="2884"/>
      <c r="O30" s="2958"/>
      <c r="P30" s="3623"/>
      <c r="Q30" s="1560"/>
      <c r="R30" s="1606"/>
      <c r="S30" s="1607"/>
      <c r="T30" s="1606"/>
      <c r="U30" s="1607"/>
      <c r="V30" s="1606"/>
      <c r="W30" s="1607"/>
      <c r="X30" s="1608"/>
      <c r="Y30" s="3623"/>
      <c r="Z30" s="1619"/>
      <c r="AA30" s="1654">
        <v>1</v>
      </c>
      <c r="AB30" s="1654">
        <v>1</v>
      </c>
      <c r="AC30" s="1654">
        <v>1</v>
      </c>
    </row>
    <row r="31" spans="1:29" ht="15">
      <c r="A31" s="1593"/>
      <c r="B31" s="1904" t="s">
        <v>2118</v>
      </c>
      <c r="C31" s="1909"/>
      <c r="D31" s="1637">
        <v>100</v>
      </c>
      <c r="E31" s="1909"/>
      <c r="F31" s="1637">
        <f>SUMIF(103:103,E31,104:104)-SUMIF(103:103,C31,104:104)+100</f>
        <v>100</v>
      </c>
      <c r="G31" s="1909"/>
      <c r="H31" s="1637">
        <f>SUMIF(103:103,G31,104:104)-SUMIF(103:103,C31,104:104)+100</f>
        <v>100</v>
      </c>
      <c r="I31" s="1909"/>
      <c r="J31" s="1637">
        <f>SUMIF(103:103,I31,104:104)-SUMIF(103:103,C31,104:104)+100</f>
        <v>100</v>
      </c>
      <c r="K31" s="1896"/>
      <c r="L31" s="2916"/>
      <c r="M31" s="2912"/>
      <c r="N31" s="2912"/>
      <c r="O31" s="2960"/>
      <c r="P31" s="3623"/>
      <c r="Q31" s="1541" t="str">
        <f t="shared" si="8"/>
        <v>临街状况</v>
      </c>
      <c r="R31" s="1651" t="s">
        <v>25</v>
      </c>
      <c r="S31" s="1652">
        <f t="shared" ref="S31:S45" si="10">F31</f>
        <v>100</v>
      </c>
      <c r="T31" s="1651" t="s">
        <v>25</v>
      </c>
      <c r="U31" s="1652">
        <f t="shared" ref="U31:U45" si="11">H31</f>
        <v>100</v>
      </c>
      <c r="V31" s="1651" t="s">
        <v>25</v>
      </c>
      <c r="W31" s="1652">
        <f t="shared" ref="W31:W45" si="12">J31</f>
        <v>100</v>
      </c>
      <c r="X31" s="1591"/>
      <c r="Y31" s="3623"/>
      <c r="Z31" s="1653" t="str">
        <f t="shared" ref="Z31:Z45" si="13">Q31</f>
        <v>临街状况</v>
      </c>
      <c r="AA31" s="1654">
        <f t="shared" si="3"/>
        <v>1</v>
      </c>
      <c r="AB31" s="1654">
        <f t="shared" si="4"/>
        <v>1</v>
      </c>
      <c r="AC31" s="1654">
        <f t="shared" si="5"/>
        <v>1</v>
      </c>
    </row>
    <row r="32" spans="1:29" ht="28.8">
      <c r="A32" s="1593"/>
      <c r="B32" s="1907" t="s">
        <v>2148</v>
      </c>
      <c r="C32" s="1665"/>
      <c r="D32" s="1661">
        <v>100</v>
      </c>
      <c r="E32" s="1665"/>
      <c r="F32" s="1661">
        <f>SUMIF(105:105,E33,106:106)-SUMIF(105:105,C33,106:106)+100</f>
        <v>100</v>
      </c>
      <c r="G32" s="1665"/>
      <c r="H32" s="1661">
        <f>SUMIF(105:105,G33,106:106)-SUMIF(105:105,C33,106:106)+100</f>
        <v>100</v>
      </c>
      <c r="I32" s="1667"/>
      <c r="J32" s="1661">
        <f>SUMIF(105:105,I33,106:106)-SUMIF(105:105,C33,106:106)+100</f>
        <v>100</v>
      </c>
      <c r="K32" s="1896"/>
      <c r="L32" s="2916"/>
      <c r="M32" s="2912"/>
      <c r="N32" s="2912"/>
      <c r="O32" s="2960"/>
      <c r="P32" s="3623"/>
      <c r="Q32" s="1541" t="str">
        <f t="shared" si="8"/>
        <v>毗邻道路的类型与等级</v>
      </c>
      <c r="R32" s="1651" t="s">
        <v>25</v>
      </c>
      <c r="S32" s="1652">
        <f t="shared" si="10"/>
        <v>100</v>
      </c>
      <c r="T32" s="1651" t="s">
        <v>25</v>
      </c>
      <c r="U32" s="1652">
        <f t="shared" si="11"/>
        <v>100</v>
      </c>
      <c r="V32" s="1651" t="s">
        <v>25</v>
      </c>
      <c r="W32" s="1652">
        <f t="shared" si="12"/>
        <v>100</v>
      </c>
      <c r="X32" s="1591"/>
      <c r="Y32" s="3623"/>
      <c r="Z32" s="1653" t="str">
        <f t="shared" si="13"/>
        <v>毗邻道路的类型与等级</v>
      </c>
      <c r="AA32" s="1654">
        <f t="shared" si="3"/>
        <v>1</v>
      </c>
      <c r="AB32" s="1654">
        <f t="shared" si="4"/>
        <v>1</v>
      </c>
      <c r="AC32" s="1654">
        <f t="shared" si="5"/>
        <v>1</v>
      </c>
    </row>
    <row r="33" spans="1:29" ht="15">
      <c r="A33" s="1593"/>
      <c r="B33" s="1904"/>
      <c r="C33" s="1901"/>
      <c r="D33" s="1657"/>
      <c r="E33" s="1901"/>
      <c r="F33" s="1657"/>
      <c r="G33" s="1901"/>
      <c r="H33" s="1657"/>
      <c r="I33" s="1656"/>
      <c r="J33" s="1657"/>
      <c r="K33" s="1915"/>
      <c r="L33" s="2916"/>
      <c r="M33" s="2912"/>
      <c r="N33" s="2912"/>
      <c r="O33" s="2960"/>
      <c r="P33" s="3623"/>
      <c r="Q33" s="1541"/>
      <c r="R33" s="1651"/>
      <c r="S33" s="1652"/>
      <c r="T33" s="1651"/>
      <c r="U33" s="1652"/>
      <c r="V33" s="1651"/>
      <c r="W33" s="1652"/>
      <c r="X33" s="1591"/>
      <c r="Y33" s="3623"/>
      <c r="Z33" s="1653"/>
      <c r="AA33" s="1654">
        <v>1</v>
      </c>
      <c r="AB33" s="1654">
        <v>1</v>
      </c>
      <c r="AC33" s="1654">
        <v>1</v>
      </c>
    </row>
    <row r="34" spans="1:29" ht="15">
      <c r="A34" s="1593"/>
      <c r="B34" s="1916" t="s">
        <v>2209</v>
      </c>
      <c r="C34" s="1909"/>
      <c r="D34" s="1637">
        <v>100</v>
      </c>
      <c r="E34" s="1909"/>
      <c r="F34" s="1637">
        <f>SUMIF(107:107,E34,108:108)-SUMIF(107:107,C34,108:108)+100</f>
        <v>100</v>
      </c>
      <c r="G34" s="1909"/>
      <c r="H34" s="1637">
        <f>SUMIF(107:107,G34,108:108)-SUMIF(107:107,C34,108:108)+100</f>
        <v>100</v>
      </c>
      <c r="I34" s="1917"/>
      <c r="J34" s="1637">
        <f>SUMIF(107:107,I34,108:108)-SUMIF(107:107,C34,108:108)+100</f>
        <v>100</v>
      </c>
      <c r="K34" s="1918"/>
      <c r="L34" s="2916"/>
      <c r="M34" s="2912"/>
      <c r="N34" s="2912"/>
      <c r="O34" s="2960"/>
      <c r="P34" s="3623"/>
      <c r="Q34" s="1541" t="str">
        <f t="shared" si="8"/>
        <v>土地级别</v>
      </c>
      <c r="R34" s="1651" t="s">
        <v>25</v>
      </c>
      <c r="S34" s="1652">
        <f t="shared" si="10"/>
        <v>100</v>
      </c>
      <c r="T34" s="1651" t="s">
        <v>25</v>
      </c>
      <c r="U34" s="1652">
        <f t="shared" si="11"/>
        <v>100</v>
      </c>
      <c r="V34" s="1651" t="s">
        <v>25</v>
      </c>
      <c r="W34" s="1652">
        <f t="shared" si="12"/>
        <v>100</v>
      </c>
      <c r="X34" s="1591"/>
      <c r="Y34" s="3623"/>
      <c r="Z34" s="1653" t="str">
        <f t="shared" si="13"/>
        <v>土地级别</v>
      </c>
      <c r="AA34" s="1654">
        <f t="shared" si="3"/>
        <v>1</v>
      </c>
      <c r="AB34" s="1654">
        <f t="shared" si="4"/>
        <v>1</v>
      </c>
      <c r="AC34" s="1654">
        <f t="shared" si="5"/>
        <v>1</v>
      </c>
    </row>
    <row r="35" spans="1:29" ht="15">
      <c r="A35" s="1593"/>
      <c r="B35" s="1919">
        <v>111</v>
      </c>
      <c r="C35" s="1705"/>
      <c r="D35" s="1637">
        <v>100</v>
      </c>
      <c r="E35" s="1705"/>
      <c r="F35" s="1637">
        <f>SUMIF(109:109,E35,110:110)-SUMIF(109:109,C35,110:110)+100</f>
        <v>100</v>
      </c>
      <c r="G35" s="1705"/>
      <c r="H35" s="1637">
        <f>SUMIF(109:109,G35,110:110)-SUMIF(109:109,C35,110:110)+100</f>
        <v>100</v>
      </c>
      <c r="I35" s="1897"/>
      <c r="J35" s="1637">
        <f>SUMIF(109:109,I35,110:110)-SUMIF(109:109,C35,110:110)+100</f>
        <v>100</v>
      </c>
      <c r="K35" s="1915"/>
      <c r="L35" s="2916"/>
      <c r="M35" s="2912"/>
      <c r="N35" s="2912"/>
      <c r="O35" s="2960"/>
      <c r="P35" s="3623"/>
      <c r="Q35" s="1541">
        <f t="shared" si="8"/>
        <v>111</v>
      </c>
      <c r="R35" s="1651" t="s">
        <v>25</v>
      </c>
      <c r="S35" s="1652">
        <f t="shared" si="10"/>
        <v>100</v>
      </c>
      <c r="T35" s="1651" t="s">
        <v>25</v>
      </c>
      <c r="U35" s="1652">
        <f t="shared" si="11"/>
        <v>100</v>
      </c>
      <c r="V35" s="1651" t="s">
        <v>25</v>
      </c>
      <c r="W35" s="1652">
        <f t="shared" si="12"/>
        <v>100</v>
      </c>
      <c r="X35" s="1591"/>
      <c r="Y35" s="3623"/>
      <c r="Z35" s="1653">
        <f t="shared" si="13"/>
        <v>111</v>
      </c>
      <c r="AA35" s="1654">
        <f t="shared" si="3"/>
        <v>1</v>
      </c>
      <c r="AB35" s="1654">
        <f t="shared" si="4"/>
        <v>1</v>
      </c>
      <c r="AC35" s="1654">
        <f t="shared" si="5"/>
        <v>1</v>
      </c>
    </row>
    <row r="36" spans="1:29" ht="15">
      <c r="A36" s="1920"/>
      <c r="B36" s="1921">
        <v>111</v>
      </c>
      <c r="C36" s="1705"/>
      <c r="D36" s="1637">
        <v>100</v>
      </c>
      <c r="E36" s="1705"/>
      <c r="F36" s="1637">
        <f>SUMIF(111:111,E37,112:112)-SUMIF(111:111,C37,112:112)+100</f>
        <v>100</v>
      </c>
      <c r="G36" s="1705"/>
      <c r="H36" s="1637">
        <f>SUMIF(111:111,G36,112:112)-SUMIF(111:111,C36,112:112)+100</f>
        <v>100</v>
      </c>
      <c r="I36" s="1897"/>
      <c r="J36" s="1637">
        <f>SUMIF(111:111,I36,112:112)-SUMIF(111:111,C36,112:112)+100</f>
        <v>100</v>
      </c>
      <c r="K36" s="1915"/>
      <c r="L36" s="2916"/>
      <c r="M36" s="2912"/>
      <c r="N36" s="2912"/>
      <c r="O36" s="2960"/>
      <c r="P36" s="3644" t="s">
        <v>2036</v>
      </c>
      <c r="Q36" s="1541">
        <f t="shared" si="8"/>
        <v>111</v>
      </c>
      <c r="R36" s="1651" t="s">
        <v>25</v>
      </c>
      <c r="S36" s="1652">
        <f t="shared" si="10"/>
        <v>100</v>
      </c>
      <c r="T36" s="1651" t="s">
        <v>25</v>
      </c>
      <c r="U36" s="1652">
        <f t="shared" si="11"/>
        <v>100</v>
      </c>
      <c r="V36" s="1651" t="s">
        <v>25</v>
      </c>
      <c r="W36" s="1652">
        <f t="shared" si="12"/>
        <v>100</v>
      </c>
      <c r="X36" s="1591"/>
      <c r="Y36" s="3627" t="s">
        <v>2036</v>
      </c>
      <c r="Z36" s="1653">
        <f t="shared" si="13"/>
        <v>111</v>
      </c>
      <c r="AA36" s="1654">
        <f t="shared" si="3"/>
        <v>1</v>
      </c>
      <c r="AB36" s="1654">
        <f t="shared" si="4"/>
        <v>1</v>
      </c>
      <c r="AC36" s="1654">
        <f t="shared" si="5"/>
        <v>1</v>
      </c>
    </row>
    <row r="37" spans="1:29" s="1697" customFormat="1" ht="15.6" thickBot="1">
      <c r="A37" s="1922"/>
      <c r="B37" s="1923">
        <v>111</v>
      </c>
      <c r="C37" s="1924"/>
      <c r="D37" s="1925">
        <v>100</v>
      </c>
      <c r="E37" s="1924"/>
      <c r="F37" s="1641">
        <f>SUMIF(113:113,E37,114:114)-SUMIF(113:113,C37,114:114)+100</f>
        <v>100</v>
      </c>
      <c r="G37" s="1924"/>
      <c r="H37" s="1641">
        <f>SUMIF(113:113,G37,114:114)-SUMIF(113:113,C37,114:114)+100</f>
        <v>100</v>
      </c>
      <c r="I37" s="1926"/>
      <c r="J37" s="1641">
        <f>SUMIF(113:113,I37,114:114)-SUMIF(113:113,C37,114:114)+100</f>
        <v>100</v>
      </c>
      <c r="K37" s="1915"/>
      <c r="L37" s="2915"/>
      <c r="M37" s="1985"/>
      <c r="N37" s="1985"/>
      <c r="O37" s="2961"/>
      <c r="P37" s="3627"/>
      <c r="Q37" s="1541">
        <f t="shared" si="8"/>
        <v>111</v>
      </c>
      <c r="R37" s="1693" t="s">
        <v>25</v>
      </c>
      <c r="S37" s="1694">
        <f t="shared" si="10"/>
        <v>100</v>
      </c>
      <c r="T37" s="1693" t="s">
        <v>25</v>
      </c>
      <c r="U37" s="1694">
        <f t="shared" si="11"/>
        <v>100</v>
      </c>
      <c r="V37" s="1693" t="s">
        <v>25</v>
      </c>
      <c r="W37" s="1694">
        <f t="shared" si="12"/>
        <v>100</v>
      </c>
      <c r="X37" s="1695"/>
      <c r="Y37" s="3627"/>
      <c r="Z37" s="1696">
        <f t="shared" si="13"/>
        <v>111</v>
      </c>
      <c r="AA37" s="1654">
        <f t="shared" si="3"/>
        <v>1</v>
      </c>
      <c r="AB37" s="1654">
        <f t="shared" si="4"/>
        <v>1</v>
      </c>
      <c r="AC37" s="1654">
        <f t="shared" si="5"/>
        <v>1</v>
      </c>
    </row>
    <row r="38" spans="1:29" ht="15">
      <c r="A38" s="1588" t="s">
        <v>2034</v>
      </c>
      <c r="B38" s="1669" t="s">
        <v>2210</v>
      </c>
      <c r="C38" s="1927"/>
      <c r="D38" s="1688">
        <v>100</v>
      </c>
      <c r="E38" s="1927"/>
      <c r="F38" s="1688" t="e">
        <f>LOOKUP(E38,116:116,117:117)-LOOKUP(C38,116:116,117:117)+100</f>
        <v>#N/A</v>
      </c>
      <c r="G38" s="1927"/>
      <c r="H38" s="1688" t="e">
        <f>LOOKUP(G38,116:116,117:117)-LOOKUP(C38,116:116,117:117)+100</f>
        <v>#N/A</v>
      </c>
      <c r="I38" s="1775"/>
      <c r="J38" s="1688" t="e">
        <f>LOOKUP(I38,116:116,117:117)-LOOKUP(C38,116:116,117:117)+100</f>
        <v>#N/A</v>
      </c>
      <c r="K38" s="1915"/>
      <c r="L38" s="2916"/>
      <c r="M38" s="2912"/>
      <c r="N38" s="2912"/>
      <c r="O38" s="2960"/>
      <c r="P38" s="3627"/>
      <c r="Q38" s="1541" t="str">
        <f>B38</f>
        <v>宗地面积</v>
      </c>
      <c r="R38" s="1651" t="s">
        <v>25</v>
      </c>
      <c r="S38" s="1652" t="e">
        <f t="shared" si="10"/>
        <v>#N/A</v>
      </c>
      <c r="T38" s="1651" t="s">
        <v>25</v>
      </c>
      <c r="U38" s="1652" t="e">
        <f t="shared" si="11"/>
        <v>#N/A</v>
      </c>
      <c r="V38" s="1651" t="s">
        <v>25</v>
      </c>
      <c r="W38" s="1652" t="e">
        <f t="shared" si="12"/>
        <v>#N/A</v>
      </c>
      <c r="X38" s="1591"/>
      <c r="Y38" s="3627"/>
      <c r="Z38" s="1653" t="str">
        <f t="shared" si="13"/>
        <v>宗地面积</v>
      </c>
      <c r="AA38" s="1654" t="e">
        <f t="shared" si="3"/>
        <v>#N/A</v>
      </c>
      <c r="AB38" s="1654" t="e">
        <f t="shared" si="4"/>
        <v>#N/A</v>
      </c>
      <c r="AC38" s="1654" t="e">
        <f t="shared" si="5"/>
        <v>#N/A</v>
      </c>
    </row>
    <row r="39" spans="1:29" ht="15">
      <c r="A39" s="1698"/>
      <c r="B39" s="1621" t="s">
        <v>2211</v>
      </c>
      <c r="C39" s="1681"/>
      <c r="D39" s="1637">
        <v>100</v>
      </c>
      <c r="E39" s="1681"/>
      <c r="F39" s="1637">
        <f>SUMIF(118:118,E39,119:119)-SUMIF(118:118,C39,119:119)+100</f>
        <v>100</v>
      </c>
      <c r="G39" s="1681"/>
      <c r="H39" s="1637">
        <f>SUMIF(118:118,G39,119:119)-SUMIF(118:118,C39,119:119)+100</f>
        <v>100</v>
      </c>
      <c r="I39" s="1681"/>
      <c r="J39" s="1637">
        <f>SUMIF(118:118,I39,119:119)-SUMIF(118:118,C39,119:119)+100</f>
        <v>100</v>
      </c>
      <c r="K39" s="1918"/>
      <c r="L39" s="2916"/>
      <c r="M39" s="2912"/>
      <c r="N39" s="2912"/>
      <c r="O39" s="2960"/>
      <c r="P39" s="3627"/>
      <c r="Q39" s="1541" t="str">
        <f t="shared" ref="Q39:Q45" si="14">B39</f>
        <v>宗地形状</v>
      </c>
      <c r="R39" s="1651" t="s">
        <v>25</v>
      </c>
      <c r="S39" s="1652">
        <f t="shared" si="10"/>
        <v>100</v>
      </c>
      <c r="T39" s="1651" t="s">
        <v>25</v>
      </c>
      <c r="U39" s="1652">
        <f t="shared" si="11"/>
        <v>100</v>
      </c>
      <c r="V39" s="1651" t="s">
        <v>25</v>
      </c>
      <c r="W39" s="1652">
        <f t="shared" si="12"/>
        <v>100</v>
      </c>
      <c r="X39" s="1591"/>
      <c r="Y39" s="3627"/>
      <c r="Z39" s="1653" t="str">
        <f t="shared" si="13"/>
        <v>宗地形状</v>
      </c>
      <c r="AA39" s="1654">
        <f t="shared" si="3"/>
        <v>1</v>
      </c>
      <c r="AB39" s="1654">
        <f t="shared" si="4"/>
        <v>1</v>
      </c>
      <c r="AC39" s="1654">
        <f t="shared" si="5"/>
        <v>1</v>
      </c>
    </row>
    <row r="40" spans="1:29" ht="15">
      <c r="A40" s="1698"/>
      <c r="B40" s="1621" t="s">
        <v>2212</v>
      </c>
      <c r="C40" s="1681"/>
      <c r="D40" s="1637">
        <v>100</v>
      </c>
      <c r="E40" s="1681"/>
      <c r="F40" s="1637">
        <f>SUMIF(120:120,E40,121:121)-SUMIF(120:120,C40,121:121)+100</f>
        <v>100</v>
      </c>
      <c r="G40" s="1681"/>
      <c r="H40" s="1637">
        <f>SUMIF(120:120,G40,121:121)-SUMIF(120:120,C40,121:121)+100</f>
        <v>100</v>
      </c>
      <c r="I40" s="1681"/>
      <c r="J40" s="1637">
        <f>SUMIF(120:120,I40,121:121)-SUMIF(120:120,C40,121:121)+100</f>
        <v>100</v>
      </c>
      <c r="K40" s="1918"/>
      <c r="L40" s="2916"/>
      <c r="M40" s="2912"/>
      <c r="N40" s="2912"/>
      <c r="O40" s="2960"/>
      <c r="P40" s="3627"/>
      <c r="Q40" s="1541" t="str">
        <f t="shared" si="14"/>
        <v>临街宽度及深度</v>
      </c>
      <c r="R40" s="1651" t="s">
        <v>25</v>
      </c>
      <c r="S40" s="1652">
        <f t="shared" si="10"/>
        <v>100</v>
      </c>
      <c r="T40" s="1651" t="s">
        <v>25</v>
      </c>
      <c r="U40" s="1652">
        <f t="shared" si="11"/>
        <v>100</v>
      </c>
      <c r="V40" s="1651" t="s">
        <v>25</v>
      </c>
      <c r="W40" s="1652">
        <f t="shared" si="12"/>
        <v>100</v>
      </c>
      <c r="X40" s="1591"/>
      <c r="Y40" s="3627"/>
      <c r="Z40" s="1653" t="str">
        <f t="shared" si="13"/>
        <v>临街宽度及深度</v>
      </c>
      <c r="AA40" s="1654">
        <f t="shared" si="3"/>
        <v>1</v>
      </c>
      <c r="AB40" s="1654">
        <f t="shared" si="4"/>
        <v>1</v>
      </c>
      <c r="AC40" s="1654">
        <f t="shared" si="5"/>
        <v>1</v>
      </c>
    </row>
    <row r="41" spans="1:29" s="1610" customFormat="1" ht="15">
      <c r="A41" s="1701"/>
      <c r="B41" s="1621" t="s">
        <v>2213</v>
      </c>
      <c r="C41" s="1928"/>
      <c r="D41" s="1623">
        <v>100</v>
      </c>
      <c r="E41" s="1928"/>
      <c r="F41" s="1637">
        <f>SUMIF(122:122,E41,123:123)-SUMIF(122:122,C41,123:123)+100</f>
        <v>100</v>
      </c>
      <c r="G41" s="1928"/>
      <c r="H41" s="1637">
        <f>SUMIF(122:122,G41,123:123)-SUMIF(122:122,C41,123:123)+100</f>
        <v>100</v>
      </c>
      <c r="I41" s="1928"/>
      <c r="J41" s="1637">
        <f>SUMIF(122:122,I41,123:123)-SUMIF(122:122,C41,123:123)+100</f>
        <v>100</v>
      </c>
      <c r="K41" s="1918"/>
      <c r="L41" s="2911"/>
      <c r="M41" s="2884"/>
      <c r="N41" s="2884"/>
      <c r="O41" s="2958"/>
      <c r="P41" s="3627"/>
      <c r="Q41" s="1541" t="str">
        <f t="shared" si="14"/>
        <v>宗地开发程度</v>
      </c>
      <c r="R41" s="1606" t="s">
        <v>25</v>
      </c>
      <c r="S41" s="1607">
        <f t="shared" si="10"/>
        <v>100</v>
      </c>
      <c r="T41" s="1606" t="s">
        <v>25</v>
      </c>
      <c r="U41" s="1607">
        <f t="shared" si="11"/>
        <v>100</v>
      </c>
      <c r="V41" s="1606" t="s">
        <v>25</v>
      </c>
      <c r="W41" s="1607">
        <f t="shared" si="12"/>
        <v>100</v>
      </c>
      <c r="X41" s="1608"/>
      <c r="Y41" s="3627"/>
      <c r="Z41" s="1619" t="str">
        <f t="shared" si="13"/>
        <v>宗地开发程度</v>
      </c>
      <c r="AA41" s="1609">
        <f t="shared" si="3"/>
        <v>1</v>
      </c>
      <c r="AB41" s="1609">
        <f t="shared" si="4"/>
        <v>1</v>
      </c>
      <c r="AC41" s="1609">
        <f t="shared" si="5"/>
        <v>1</v>
      </c>
    </row>
    <row r="42" spans="1:29" ht="15">
      <c r="A42" s="1698"/>
      <c r="B42" s="1621" t="s">
        <v>2214</v>
      </c>
      <c r="C42" s="1681"/>
      <c r="D42" s="1637">
        <v>100</v>
      </c>
      <c r="E42" s="1681"/>
      <c r="F42" s="1637">
        <f>SUMIF(124:124,E42,125:125)-SUMIF(124:124,C42,125:125)+100</f>
        <v>100</v>
      </c>
      <c r="G42" s="1681"/>
      <c r="H42" s="1637">
        <f>SUMIF(124:124,G42,125:125)-SUMIF(124:124,C42,125:125)+100</f>
        <v>100</v>
      </c>
      <c r="I42" s="1681"/>
      <c r="J42" s="1637">
        <f>SUMIF(124:124,I42,125:125)-SUMIF(124:124,C42,125:125)+100</f>
        <v>100</v>
      </c>
      <c r="K42" s="1918"/>
      <c r="L42" s="2916"/>
      <c r="M42" s="2912"/>
      <c r="N42" s="2912"/>
      <c r="O42" s="2960"/>
      <c r="P42" s="3627" t="s">
        <v>2036</v>
      </c>
      <c r="Q42" s="1541" t="str">
        <f t="shared" si="14"/>
        <v>工程地质条件</v>
      </c>
      <c r="R42" s="1651" t="s">
        <v>25</v>
      </c>
      <c r="S42" s="1652">
        <f t="shared" si="10"/>
        <v>100</v>
      </c>
      <c r="T42" s="1651" t="s">
        <v>25</v>
      </c>
      <c r="U42" s="1652">
        <f t="shared" si="11"/>
        <v>100</v>
      </c>
      <c r="V42" s="1651" t="s">
        <v>25</v>
      </c>
      <c r="W42" s="1652">
        <f t="shared" si="12"/>
        <v>100</v>
      </c>
      <c r="X42" s="1591"/>
      <c r="Y42" s="3627" t="s">
        <v>2036</v>
      </c>
      <c r="Z42" s="1653" t="str">
        <f t="shared" si="13"/>
        <v>工程地质条件</v>
      </c>
      <c r="AA42" s="1654">
        <f t="shared" si="3"/>
        <v>1</v>
      </c>
      <c r="AB42" s="1654">
        <f t="shared" si="4"/>
        <v>1</v>
      </c>
      <c r="AC42" s="1654">
        <f t="shared" si="5"/>
        <v>1</v>
      </c>
    </row>
    <row r="43" spans="1:29" ht="15">
      <c r="A43" s="1698"/>
      <c r="B43" s="1929">
        <v>111</v>
      </c>
      <c r="C43" s="1897"/>
      <c r="D43" s="1637">
        <v>100</v>
      </c>
      <c r="E43" s="1897"/>
      <c r="F43" s="1637">
        <f>SUMIF(126:126,E43,127:127)-SUMIF(126:126,C43,127:127)+100</f>
        <v>100</v>
      </c>
      <c r="G43" s="1897"/>
      <c r="H43" s="1637">
        <f>SUMIF(126:126,G43,127:127)-SUMIF(126:126,C43,127:127)+100</f>
        <v>100</v>
      </c>
      <c r="I43" s="1793"/>
      <c r="J43" s="1637">
        <f>SUMIF(126:126,I43,127:127)-SUMIF(126:126,C43,127:127)+100</f>
        <v>100</v>
      </c>
      <c r="K43" s="1915"/>
      <c r="L43" s="2916"/>
      <c r="M43" s="2912"/>
      <c r="N43" s="2912"/>
      <c r="O43" s="2960"/>
      <c r="P43" s="3627"/>
      <c r="Q43" s="1541">
        <f t="shared" si="14"/>
        <v>111</v>
      </c>
      <c r="R43" s="1651" t="s">
        <v>25</v>
      </c>
      <c r="S43" s="1652">
        <f t="shared" si="10"/>
        <v>100</v>
      </c>
      <c r="T43" s="1651" t="s">
        <v>25</v>
      </c>
      <c r="U43" s="1652">
        <f t="shared" si="11"/>
        <v>100</v>
      </c>
      <c r="V43" s="1651" t="s">
        <v>25</v>
      </c>
      <c r="W43" s="1652">
        <f t="shared" si="12"/>
        <v>100</v>
      </c>
      <c r="X43" s="1591"/>
      <c r="Y43" s="3627"/>
      <c r="Z43" s="1653">
        <f t="shared" si="13"/>
        <v>111</v>
      </c>
      <c r="AA43" s="1654">
        <f t="shared" si="3"/>
        <v>1</v>
      </c>
      <c r="AB43" s="1654">
        <f t="shared" si="4"/>
        <v>1</v>
      </c>
      <c r="AC43" s="1654">
        <f t="shared" si="5"/>
        <v>1</v>
      </c>
    </row>
    <row r="44" spans="1:29" ht="15">
      <c r="A44" s="1698"/>
      <c r="B44" s="1929">
        <v>111</v>
      </c>
      <c r="C44" s="1897"/>
      <c r="D44" s="1637">
        <v>100</v>
      </c>
      <c r="E44" s="1897"/>
      <c r="F44" s="1637">
        <f>SUMIF(128:128,E44,129:129)-SUMIF(128:128,C44,129:129)+100</f>
        <v>100</v>
      </c>
      <c r="G44" s="1897"/>
      <c r="H44" s="1637">
        <f>SUMIF(128:128,G44,129:129)-SUMIF(128:128,C44,129:129)+100</f>
        <v>100</v>
      </c>
      <c r="I44" s="1793"/>
      <c r="J44" s="1637">
        <f>SUMIF(128:128,I44,129:129)-SUMIF(128:128,C44,129:129)+100</f>
        <v>100</v>
      </c>
      <c r="K44" s="1915"/>
      <c r="L44" s="2916"/>
      <c r="M44" s="2912"/>
      <c r="N44" s="2912"/>
      <c r="O44" s="2960"/>
      <c r="P44" s="3627"/>
      <c r="Q44" s="1541">
        <f t="shared" si="14"/>
        <v>111</v>
      </c>
      <c r="R44" s="1651" t="s">
        <v>25</v>
      </c>
      <c r="S44" s="1652">
        <f t="shared" si="10"/>
        <v>100</v>
      </c>
      <c r="T44" s="1651" t="s">
        <v>25</v>
      </c>
      <c r="U44" s="1652">
        <f t="shared" si="11"/>
        <v>100</v>
      </c>
      <c r="V44" s="1651" t="s">
        <v>25</v>
      </c>
      <c r="W44" s="1652">
        <f t="shared" si="12"/>
        <v>100</v>
      </c>
      <c r="X44" s="1591"/>
      <c r="Y44" s="3627"/>
      <c r="Z44" s="1653">
        <f t="shared" si="13"/>
        <v>111</v>
      </c>
      <c r="AA44" s="1654">
        <f t="shared" si="3"/>
        <v>1</v>
      </c>
      <c r="AB44" s="1654">
        <f t="shared" si="4"/>
        <v>1</v>
      </c>
      <c r="AC44" s="1654">
        <f t="shared" si="5"/>
        <v>1</v>
      </c>
    </row>
    <row r="45" spans="1:29" s="1697" customFormat="1" ht="15.6" thickBot="1">
      <c r="A45" s="1690"/>
      <c r="B45" s="1929">
        <v>111</v>
      </c>
      <c r="C45" s="1930"/>
      <c r="D45" s="3061">
        <v>100</v>
      </c>
      <c r="E45" s="1897"/>
      <c r="F45" s="1641">
        <f>SUMIF(130:130,E45,131:131)-SUMIF(130:130,C45,131:131)+100</f>
        <v>100</v>
      </c>
      <c r="G45" s="1897"/>
      <c r="H45" s="1641">
        <f>SUMIF(130:130,G45,131:131)-SUMIF(130:130,C45,131:131)+100</f>
        <v>100</v>
      </c>
      <c r="I45" s="1897"/>
      <c r="J45" s="1641">
        <f>SUMIF(130:130,I45,131:131)-SUMIF(130:130,C45,131:131)+100</f>
        <v>100</v>
      </c>
      <c r="K45" s="1931"/>
      <c r="L45" s="2915"/>
      <c r="M45" s="1985"/>
      <c r="N45" s="1985"/>
      <c r="O45" s="2961"/>
      <c r="P45" s="3627"/>
      <c r="Q45" s="1541">
        <f t="shared" si="14"/>
        <v>111</v>
      </c>
      <c r="R45" s="1693" t="s">
        <v>25</v>
      </c>
      <c r="S45" s="1694">
        <f t="shared" si="10"/>
        <v>100</v>
      </c>
      <c r="T45" s="1693" t="s">
        <v>25</v>
      </c>
      <c r="U45" s="1694">
        <f t="shared" si="11"/>
        <v>100</v>
      </c>
      <c r="V45" s="1693" t="s">
        <v>25</v>
      </c>
      <c r="W45" s="1694">
        <f t="shared" si="12"/>
        <v>100</v>
      </c>
      <c r="X45" s="1695"/>
      <c r="Y45" s="3627"/>
      <c r="Z45" s="1696">
        <f t="shared" si="13"/>
        <v>111</v>
      </c>
      <c r="AA45" s="1654">
        <f t="shared" si="3"/>
        <v>1</v>
      </c>
      <c r="AB45" s="1654">
        <f t="shared" si="4"/>
        <v>1</v>
      </c>
      <c r="AC45" s="1654">
        <f t="shared" si="5"/>
        <v>1</v>
      </c>
    </row>
    <row r="46" spans="1:29" ht="14.4">
      <c r="A46" s="1707" t="s">
        <v>2178</v>
      </c>
      <c r="B46" s="1932" t="s">
        <v>2215</v>
      </c>
      <c r="C46" s="1933" t="s">
        <v>1</v>
      </c>
      <c r="D46" s="1934"/>
      <c r="E46" s="1935"/>
      <c r="F46" s="1936"/>
      <c r="G46" s="1937"/>
      <c r="H46" s="1938"/>
      <c r="I46" s="1935"/>
      <c r="J46" s="1938"/>
      <c r="K46" s="1939"/>
      <c r="L46" s="2917"/>
      <c r="N46" s="2912"/>
      <c r="P46" s="3633" t="str">
        <f>A46</f>
        <v>成交单价</v>
      </c>
      <c r="Q46" s="3633"/>
      <c r="R46" s="3613">
        <f>E46</f>
        <v>0</v>
      </c>
      <c r="S46" s="3613"/>
      <c r="T46" s="3613">
        <f>G46</f>
        <v>0</v>
      </c>
      <c r="U46" s="3613"/>
      <c r="V46" s="3613">
        <f>I46</f>
        <v>0</v>
      </c>
      <c r="W46" s="3613"/>
      <c r="X46" s="1717"/>
      <c r="Y46" s="1718"/>
      <c r="Z46" s="1717"/>
      <c r="AA46" s="1717"/>
      <c r="AB46" s="1717"/>
      <c r="AC46" s="1717"/>
    </row>
    <row r="47" spans="1:29" ht="15" thickBot="1">
      <c r="A47" s="1719" t="s">
        <v>2131</v>
      </c>
      <c r="B47" s="1940"/>
      <c r="C47" s="1941" t="e">
        <f>R48</f>
        <v>#DIV/0!</v>
      </c>
      <c r="D47" s="1722" t="s">
        <v>2499</v>
      </c>
      <c r="E47" s="1941" t="e">
        <f>R47</f>
        <v>#DIV/0!</v>
      </c>
      <c r="F47" s="1724"/>
      <c r="G47" s="1942" t="e">
        <f>T47</f>
        <v>#DIV/0!</v>
      </c>
      <c r="H47" s="1724"/>
      <c r="I47" s="1941" t="e">
        <f>V47</f>
        <v>#DIV/0!</v>
      </c>
      <c r="J47" s="1724"/>
      <c r="K47" s="2426">
        <f>F47+H47+J47</f>
        <v>0</v>
      </c>
      <c r="L47" s="2917"/>
      <c r="P47" s="3633" t="str">
        <f>A47</f>
        <v>比较价值（元/平方米）</v>
      </c>
      <c r="Q47" s="3633"/>
      <c r="R47" s="3687" t="e">
        <f>ROUND(PRODUCT(R46,AA7:AA45),0)</f>
        <v>#DIV/0!</v>
      </c>
      <c r="S47" s="3687"/>
      <c r="T47" s="3687" t="e">
        <f>ROUND(PRODUCT(T46,AB7:AB45),0)</f>
        <v>#DIV/0!</v>
      </c>
      <c r="U47" s="3687"/>
      <c r="V47" s="3687" t="e">
        <f>ROUND(PRODUCT(V46,AC7:AC45),0)</f>
        <v>#DIV/0!</v>
      </c>
      <c r="W47" s="3687"/>
      <c r="X47" s="1717"/>
      <c r="Y47" s="1717"/>
      <c r="Z47" s="1717"/>
      <c r="AA47" s="1717"/>
      <c r="AB47" s="1717"/>
      <c r="AC47" s="1717"/>
    </row>
    <row r="48" spans="1:29" ht="15" thickBot="1">
      <c r="A48" s="1725" t="s">
        <v>2154</v>
      </c>
      <c r="B48" s="1726"/>
      <c r="C48" s="1943" t="e">
        <f>R48</f>
        <v>#DIV/0!</v>
      </c>
      <c r="D48" s="1943"/>
      <c r="E48" s="1943"/>
      <c r="F48" s="1943"/>
      <c r="G48" s="1943"/>
      <c r="H48" s="1943"/>
      <c r="I48" s="1943"/>
      <c r="J48" s="1943"/>
      <c r="K48" s="1944"/>
      <c r="L48" s="2917"/>
      <c r="P48" s="3639" t="str">
        <f>A48</f>
        <v>估价对象XX用房的比较价值（楼面单价，元/平方米）</v>
      </c>
      <c r="Q48" s="3640"/>
      <c r="R48" s="3688" t="e">
        <f>ROUND(IF(D47="简单平均",AVERAGE(R47:W47),R47*F47+T47*H47+V47*J47),0)</f>
        <v>#DIV/0!</v>
      </c>
      <c r="S48" s="3688"/>
      <c r="T48" s="3688"/>
      <c r="U48" s="3688"/>
      <c r="V48" s="3688"/>
      <c r="W48" s="3688"/>
      <c r="X48" s="1717"/>
      <c r="Y48" s="1717"/>
      <c r="Z48" s="1717"/>
      <c r="AA48" s="1717"/>
      <c r="AB48" s="1717"/>
      <c r="AC48" s="1717"/>
    </row>
    <row r="49" spans="1:14">
      <c r="G49" s="2921"/>
    </row>
    <row r="51" spans="1:14" ht="13.5" customHeight="1">
      <c r="C51" s="383" t="s">
        <v>2133</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2134</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2135</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4"/>
      <c r="L53" s="2918"/>
    </row>
    <row r="54" spans="1:14" s="1739" customFormat="1" ht="14.4" thickBot="1">
      <c r="B54" s="2922"/>
      <c r="C54" s="2923"/>
      <c r="K54" s="2924"/>
      <c r="L54" s="2918"/>
    </row>
    <row r="55" spans="1:14" ht="28.8">
      <c r="A55" s="564" t="s">
        <v>2216</v>
      </c>
      <c r="B55" s="1945" t="s">
        <v>2217</v>
      </c>
      <c r="C55" s="1946" t="s">
        <v>2218</v>
      </c>
      <c r="D55" s="1947" t="s">
        <v>2219</v>
      </c>
      <c r="E55" s="1948" t="s">
        <v>2220</v>
      </c>
      <c r="F55" s="1949" t="s">
        <v>2221</v>
      </c>
      <c r="G55" s="1844" t="s">
        <v>2222</v>
      </c>
      <c r="H55" s="1844">
        <f>项目基本情况!G8</f>
        <v>0</v>
      </c>
      <c r="I55" s="1519" t="s">
        <v>2223</v>
      </c>
      <c r="J55" s="1950"/>
      <c r="K55" s="1731"/>
    </row>
    <row r="56" spans="1:14" s="1957" customFormat="1">
      <c r="A56" s="1951" t="s">
        <v>2224</v>
      </c>
      <c r="B56" s="1952" t="e">
        <f>C48</f>
        <v>#DIV/0!</v>
      </c>
      <c r="C56" s="280">
        <v>1</v>
      </c>
      <c r="D56" s="1953">
        <v>1</v>
      </c>
      <c r="E56" s="1954">
        <v>120</v>
      </c>
      <c r="F56" s="1955" t="e">
        <f t="shared" ref="F56:F64" si="15">ROUND(B56*E56,0)</f>
        <v>#DIV/0!</v>
      </c>
      <c r="G56" s="1956">
        <v>1</v>
      </c>
      <c r="H56" s="1956">
        <v>1</v>
      </c>
      <c r="I56" s="1739"/>
      <c r="J56" s="1739"/>
      <c r="K56" s="2924"/>
      <c r="L56" s="2918"/>
      <c r="M56" s="1739"/>
      <c r="N56" s="1739"/>
    </row>
    <row r="57" spans="1:14" s="1957" customFormat="1">
      <c r="A57" s="1958" t="s">
        <v>2225</v>
      </c>
      <c r="B57" s="1959" t="e">
        <f>ROUND($C$48*C57*D57,0)</f>
        <v>#DIV/0!</v>
      </c>
      <c r="C57" s="50">
        <f>IF($C$55="北京市系数",G57,H57)</f>
        <v>0.6</v>
      </c>
      <c r="D57" s="1960">
        <v>0.25</v>
      </c>
      <c r="E57" s="1954">
        <v>0</v>
      </c>
      <c r="F57" s="1955" t="e">
        <f t="shared" si="15"/>
        <v>#DIV/0!</v>
      </c>
      <c r="G57" s="1956">
        <f>SUMIF(修正!$A$57:$A$68,项目基本情况!$F$9,修正!B57:B68)</f>
        <v>0.6</v>
      </c>
      <c r="H57" s="1961"/>
      <c r="I57" s="1592"/>
      <c r="J57" s="1835"/>
      <c r="K57" s="1836"/>
      <c r="L57" s="1836"/>
      <c r="M57" s="1592"/>
      <c r="N57" s="1592"/>
    </row>
    <row r="58" spans="1:14" s="1957" customFormat="1">
      <c r="A58" s="1958" t="s">
        <v>2226</v>
      </c>
      <c r="B58" s="1959" t="e">
        <f t="shared" ref="B58:B64" si="16">ROUND($C$48*C58*D58,0)</f>
        <v>#DIV/0!</v>
      </c>
      <c r="C58" s="50">
        <f t="shared" ref="C58:C64" si="17">IF($C$55="北京市系数",G58,H58)</f>
        <v>0.3</v>
      </c>
      <c r="D58" s="1960">
        <v>0.25</v>
      </c>
      <c r="E58" s="1954">
        <v>0</v>
      </c>
      <c r="F58" s="1955" t="e">
        <f t="shared" si="15"/>
        <v>#DIV/0!</v>
      </c>
      <c r="G58" s="1956">
        <f>SUMIF(修正!$A$57:$A$68,项目基本情况!$F$9,修正!C57:C68)</f>
        <v>0.3</v>
      </c>
      <c r="H58" s="1961"/>
      <c r="I58" s="1739"/>
      <c r="J58" s="1739"/>
      <c r="K58" s="2924"/>
      <c r="L58" s="2918"/>
      <c r="M58" s="1739"/>
      <c r="N58" s="1739"/>
    </row>
    <row r="59" spans="1:14" s="1957" customFormat="1">
      <c r="A59" s="1958" t="s">
        <v>2227</v>
      </c>
      <c r="B59" s="1959" t="e">
        <f t="shared" si="16"/>
        <v>#DIV/0!</v>
      </c>
      <c r="C59" s="50">
        <f t="shared" si="17"/>
        <v>0.25</v>
      </c>
      <c r="D59" s="1960">
        <v>0.25</v>
      </c>
      <c r="E59" s="1954">
        <v>0</v>
      </c>
      <c r="F59" s="1955" t="e">
        <f t="shared" si="15"/>
        <v>#DIV/0!</v>
      </c>
      <c r="G59" s="1956">
        <f>SUMIF(修正!$A$57:$A$68,项目基本情况!$F$9,修正!D57:D68)</f>
        <v>0.25</v>
      </c>
      <c r="H59" s="1961"/>
      <c r="I59" s="1592"/>
      <c r="J59" s="1835"/>
      <c r="K59" s="1836"/>
      <c r="L59" s="1836"/>
      <c r="M59" s="1592"/>
      <c r="N59" s="1592"/>
    </row>
    <row r="60" spans="1:14" s="1957" customFormat="1">
      <c r="A60" s="1958" t="s">
        <v>2228</v>
      </c>
      <c r="B60" s="1959" t="e">
        <f t="shared" si="16"/>
        <v>#DIV/0!</v>
      </c>
      <c r="C60" s="50">
        <f t="shared" si="17"/>
        <v>0.25</v>
      </c>
      <c r="D60" s="1960">
        <v>0.25</v>
      </c>
      <c r="E60" s="1954">
        <v>0</v>
      </c>
      <c r="F60" s="1955" t="e">
        <f t="shared" si="15"/>
        <v>#DIV/0!</v>
      </c>
      <c r="G60" s="1956">
        <f>SUMIF(修正!A57:A68,项目基本情况!F9,修正!E57:E68)</f>
        <v>0.25</v>
      </c>
      <c r="H60" s="1961"/>
      <c r="I60" s="1592"/>
      <c r="J60" s="1835"/>
      <c r="K60" s="1836"/>
      <c r="L60" s="1836"/>
      <c r="M60" s="1592"/>
      <c r="N60" s="1592"/>
    </row>
    <row r="61" spans="1:14" s="1957" customFormat="1">
      <c r="A61" s="1958" t="s">
        <v>2229</v>
      </c>
      <c r="B61" s="1959" t="e">
        <f t="shared" si="16"/>
        <v>#DIV/0!</v>
      </c>
      <c r="C61" s="50">
        <f t="shared" si="17"/>
        <v>0.25</v>
      </c>
      <c r="D61" s="1960">
        <v>0.25</v>
      </c>
      <c r="E61" s="1954">
        <v>0</v>
      </c>
      <c r="F61" s="1955" t="e">
        <f t="shared" si="15"/>
        <v>#DIV/0!</v>
      </c>
      <c r="G61" s="1956">
        <f>SUMIF(修正!A57:A68,项目基本情况!F9,修正!F57:F68)</f>
        <v>0.25</v>
      </c>
      <c r="H61" s="1961"/>
      <c r="I61" s="1739"/>
      <c r="J61" s="1739"/>
      <c r="K61" s="2924"/>
      <c r="L61" s="2918"/>
      <c r="M61" s="1739"/>
      <c r="N61" s="1739"/>
    </row>
    <row r="62" spans="1:14" s="1957" customFormat="1">
      <c r="A62" s="1958" t="s">
        <v>2230</v>
      </c>
      <c r="B62" s="1959" t="e">
        <f t="shared" si="16"/>
        <v>#DIV/0!</v>
      </c>
      <c r="C62" s="50">
        <f>IF($C$55="北京市系数",G62,H62)</f>
        <v>0.15</v>
      </c>
      <c r="D62" s="1960">
        <v>0.25</v>
      </c>
      <c r="E62" s="1954">
        <v>0</v>
      </c>
      <c r="F62" s="1955" t="e">
        <f t="shared" si="15"/>
        <v>#DIV/0!</v>
      </c>
      <c r="G62" s="1956">
        <f>SUMIF(修正!A57:A68,项目基本情况!F9,修正!G57:G68)</f>
        <v>0.15</v>
      </c>
      <c r="H62" s="1961"/>
      <c r="I62" s="1592"/>
      <c r="J62" s="1835"/>
      <c r="K62" s="1836"/>
      <c r="L62" s="1836"/>
      <c r="M62" s="1592"/>
      <c r="N62" s="1592"/>
    </row>
    <row r="63" spans="1:14" s="1957" customFormat="1">
      <c r="A63" s="1958" t="s">
        <v>2231</v>
      </c>
      <c r="B63" s="1959" t="e">
        <f t="shared" si="16"/>
        <v>#DIV/0!</v>
      </c>
      <c r="C63" s="50">
        <f t="shared" si="17"/>
        <v>0.15</v>
      </c>
      <c r="D63" s="1960">
        <v>0.25</v>
      </c>
      <c r="E63" s="1954">
        <v>0</v>
      </c>
      <c r="F63" s="1955" t="e">
        <f t="shared" si="15"/>
        <v>#DIV/0!</v>
      </c>
      <c r="G63" s="1956">
        <f>G62</f>
        <v>0.15</v>
      </c>
      <c r="H63" s="1961"/>
      <c r="I63" s="1739"/>
      <c r="J63" s="1739"/>
      <c r="K63" s="2924"/>
      <c r="L63" s="2918"/>
      <c r="M63" s="1739"/>
      <c r="N63" s="1739"/>
    </row>
    <row r="64" spans="1:14" s="1957" customFormat="1">
      <c r="A64" s="1958" t="s">
        <v>2232</v>
      </c>
      <c r="B64" s="1959" t="e">
        <f t="shared" si="16"/>
        <v>#DIV/0!</v>
      </c>
      <c r="C64" s="50">
        <f t="shared" si="17"/>
        <v>0.15</v>
      </c>
      <c r="D64" s="1960">
        <v>0.25</v>
      </c>
      <c r="E64" s="1954">
        <v>0</v>
      </c>
      <c r="F64" s="1955" t="e">
        <f t="shared" si="15"/>
        <v>#DIV/0!</v>
      </c>
      <c r="G64" s="1956">
        <f>G62</f>
        <v>0.15</v>
      </c>
      <c r="H64" s="1961"/>
      <c r="I64" s="1592"/>
      <c r="J64" s="1835"/>
      <c r="K64" s="1836"/>
      <c r="L64" s="1836"/>
      <c r="M64" s="1592"/>
      <c r="N64" s="1592"/>
    </row>
    <row r="65" spans="1:17" s="1957" customFormat="1" thickBot="1">
      <c r="A65" s="1962" t="s">
        <v>2233</v>
      </c>
      <c r="B65" s="1963" t="s">
        <v>39</v>
      </c>
      <c r="C65" s="1963" t="s">
        <v>40</v>
      </c>
      <c r="D65" s="1963" t="s">
        <v>36</v>
      </c>
      <c r="E65" s="1963">
        <f>SUM(E56:E64)</f>
        <v>120</v>
      </c>
      <c r="F65" s="1964" t="e">
        <f>SUM(F56:F64)</f>
        <v>#DIV/0!</v>
      </c>
      <c r="G65" s="1965"/>
      <c r="H65" s="1965"/>
      <c r="I65" s="2962"/>
      <c r="J65" s="2962"/>
      <c r="K65" s="2962"/>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2022-5-1</v>
      </c>
      <c r="D67" s="1966">
        <f>EDATE(C67,-3)</f>
        <v>44593</v>
      </c>
      <c r="E67" s="1966">
        <f t="shared" ref="E67:O67" si="18">EDATE(D67,-3)</f>
        <v>44501</v>
      </c>
      <c r="F67" s="1966">
        <f t="shared" si="18"/>
        <v>44409</v>
      </c>
      <c r="G67" s="1966">
        <f t="shared" si="18"/>
        <v>44317</v>
      </c>
      <c r="H67" s="1966">
        <f t="shared" si="18"/>
        <v>44228</v>
      </c>
      <c r="I67" s="1966">
        <f t="shared" si="18"/>
        <v>44136</v>
      </c>
      <c r="J67" s="1966">
        <f t="shared" si="18"/>
        <v>44044</v>
      </c>
      <c r="K67" s="1966">
        <f t="shared" si="18"/>
        <v>43952</v>
      </c>
      <c r="L67" s="1966">
        <f t="shared" si="18"/>
        <v>43862</v>
      </c>
      <c r="M67" s="1966">
        <f t="shared" si="18"/>
        <v>43770</v>
      </c>
      <c r="N67" s="1966">
        <f t="shared" si="18"/>
        <v>43678</v>
      </c>
      <c r="O67" s="1966">
        <f t="shared" si="18"/>
        <v>43586</v>
      </c>
    </row>
    <row r="68" spans="1:17" ht="22.2" thickBot="1">
      <c r="A68" s="1742" t="s">
        <v>2136</v>
      </c>
      <c r="B68" s="1717"/>
      <c r="C68" s="1743"/>
      <c r="D68" s="1743"/>
      <c r="E68" s="1743"/>
      <c r="F68" s="1743"/>
      <c r="G68" s="1743"/>
      <c r="H68" s="1743"/>
      <c r="I68" s="1968"/>
      <c r="J68" s="1968"/>
      <c r="K68" s="1969"/>
      <c r="L68" s="1970"/>
      <c r="M68" s="1968"/>
      <c r="N68" s="1968"/>
      <c r="O68" s="1968"/>
      <c r="P68" s="1971"/>
      <c r="Q68" s="1747"/>
    </row>
    <row r="69" spans="1:17" s="1976" customFormat="1" ht="14.4">
      <c r="A69" s="1972" t="s">
        <v>2234</v>
      </c>
      <c r="B69" s="1973"/>
      <c r="C69" s="1974" t="str">
        <f>YEAR(C67)&amp;"-"&amp;ROUNDUP(MONTH(C67)/3,0)</f>
        <v>2022-2</v>
      </c>
      <c r="D69" s="1974" t="str">
        <f>YEAR(D67)&amp;"-"&amp;ROUNDUP(MONTH(D67)/3,0)</f>
        <v>2022-1</v>
      </c>
      <c r="E69" s="1974" t="str">
        <f t="shared" ref="E69:O69" si="19">YEAR(E67)&amp;"-"&amp;ROUNDUP(MONTH(E67)/3,0)</f>
        <v>2021-4</v>
      </c>
      <c r="F69" s="1974" t="str">
        <f t="shared" si="19"/>
        <v>2021-3</v>
      </c>
      <c r="G69" s="1974" t="str">
        <f t="shared" si="19"/>
        <v>2021-2</v>
      </c>
      <c r="H69" s="1974" t="str">
        <f t="shared" si="19"/>
        <v>2021-1</v>
      </c>
      <c r="I69" s="1974" t="str">
        <f t="shared" si="19"/>
        <v>2020-4</v>
      </c>
      <c r="J69" s="1974" t="str">
        <f t="shared" si="19"/>
        <v>2020-3</v>
      </c>
      <c r="K69" s="1974" t="str">
        <f t="shared" si="19"/>
        <v>2020-2</v>
      </c>
      <c r="L69" s="1974" t="str">
        <f t="shared" si="19"/>
        <v>2020-1</v>
      </c>
      <c r="M69" s="1974" t="str">
        <f t="shared" si="19"/>
        <v>2019-4</v>
      </c>
      <c r="N69" s="1974" t="str">
        <f t="shared" si="19"/>
        <v>2019-3</v>
      </c>
      <c r="O69" s="1974" t="str">
        <f t="shared" si="19"/>
        <v>2019-2</v>
      </c>
      <c r="P69" s="1975"/>
    </row>
    <row r="70" spans="1:17" s="1610" customFormat="1" ht="29.25" customHeight="1">
      <c r="A70" s="1977" t="s">
        <v>2235</v>
      </c>
      <c r="B70" s="1978" t="str">
        <f>"北京市平均增长率"&amp;TEXT(SUMIF(基准地价修正!N21:N25,A70,基准地价修正!P21:P25),"0.00%")</f>
        <v>北京市平均增长率1.00%</v>
      </c>
      <c r="C70" s="1831">
        <v>100</v>
      </c>
      <c r="D70" s="1827"/>
      <c r="E70" s="1827"/>
      <c r="F70" s="1827"/>
      <c r="G70" s="1827"/>
      <c r="H70" s="1827"/>
      <c r="I70" s="1827"/>
      <c r="J70" s="1827"/>
      <c r="K70" s="1827"/>
      <c r="L70" s="1827"/>
      <c r="M70" s="1979"/>
      <c r="N70" s="1827"/>
      <c r="O70" s="1980"/>
      <c r="P70" s="1747"/>
    </row>
    <row r="71" spans="1:17" s="1610" customFormat="1" ht="15" thickBot="1">
      <c r="A71" s="1760" t="s">
        <v>2056</v>
      </c>
      <c r="B71" s="1761"/>
      <c r="C71" s="1762"/>
      <c r="D71" s="1763"/>
      <c r="E71" s="1763"/>
      <c r="F71" s="1763"/>
      <c r="G71" s="1763"/>
      <c r="H71" s="1763"/>
      <c r="I71" s="1763"/>
      <c r="J71" s="1763"/>
      <c r="K71" s="1763"/>
      <c r="L71" s="1763"/>
      <c r="M71" s="1764"/>
      <c r="N71" s="1763"/>
      <c r="O71" s="1981"/>
      <c r="P71" s="1747"/>
      <c r="Q71" s="1747"/>
    </row>
    <row r="72" spans="1:17" s="1610" customFormat="1" ht="14.4">
      <c r="A72" s="1765" t="s">
        <v>2020</v>
      </c>
      <c r="B72" s="1755"/>
      <c r="C72" s="1766" t="s">
        <v>2021</v>
      </c>
      <c r="D72" s="409"/>
      <c r="E72" s="409"/>
      <c r="F72" s="409"/>
      <c r="G72" s="409"/>
      <c r="H72" s="409"/>
      <c r="I72" s="409"/>
      <c r="J72" s="409"/>
      <c r="K72" s="409"/>
      <c r="L72" s="409"/>
      <c r="M72" s="1767"/>
      <c r="N72" s="2929"/>
      <c r="O72" s="2929"/>
      <c r="P72" s="1982"/>
      <c r="Q72" s="1747"/>
    </row>
    <row r="73" spans="1:17" s="1610" customFormat="1" ht="14.4" thickBot="1">
      <c r="A73" s="1765"/>
      <c r="B73" s="1755"/>
      <c r="C73" s="1756">
        <v>100</v>
      </c>
      <c r="D73" s="1757"/>
      <c r="E73" s="1757"/>
      <c r="F73" s="1757"/>
      <c r="G73" s="1757"/>
      <c r="H73" s="1757"/>
      <c r="I73" s="1757"/>
      <c r="J73" s="1757"/>
      <c r="K73" s="1757"/>
      <c r="L73" s="1757"/>
      <c r="M73" s="1771"/>
      <c r="N73" s="2929"/>
      <c r="O73" s="2929"/>
      <c r="P73" s="1747"/>
      <c r="Q73" s="1747"/>
    </row>
    <row r="74" spans="1:17" ht="14.4">
      <c r="A74" s="1772" t="s">
        <v>2059</v>
      </c>
      <c r="B74" s="1773" t="s">
        <v>2024</v>
      </c>
      <c r="C74" s="1775"/>
      <c r="D74" s="1775"/>
      <c r="E74" s="1775"/>
      <c r="F74" s="1775"/>
      <c r="G74" s="1775"/>
      <c r="H74" s="1775"/>
      <c r="I74" s="1775"/>
      <c r="J74" s="1775"/>
      <c r="K74" s="417"/>
      <c r="L74" s="417"/>
      <c r="M74" s="1776"/>
      <c r="N74" s="2930"/>
      <c r="O74" s="2930"/>
      <c r="P74" s="1983"/>
      <c r="Q74" s="1747"/>
    </row>
    <row r="75" spans="1:17" ht="14.4" thickBot="1">
      <c r="A75" s="1779"/>
      <c r="B75" s="1780"/>
      <c r="C75" s="1781"/>
      <c r="D75" s="1781"/>
      <c r="E75" s="1781"/>
      <c r="F75" s="1781"/>
      <c r="G75" s="1781"/>
      <c r="H75" s="1781"/>
      <c r="I75" s="1781"/>
      <c r="J75" s="1781"/>
      <c r="K75" s="1781"/>
      <c r="L75" s="1781"/>
      <c r="M75" s="1782"/>
      <c r="N75" s="2931"/>
      <c r="O75" s="2931"/>
      <c r="P75" s="1983"/>
      <c r="Q75" s="1747"/>
    </row>
    <row r="76" spans="1:17" ht="29.4" thickTop="1">
      <c r="A76" s="1779"/>
      <c r="B76" s="1784" t="s">
        <v>2027</v>
      </c>
      <c r="C76" s="1785"/>
      <c r="D76" s="1785"/>
      <c r="E76" s="1785"/>
      <c r="F76" s="1785"/>
      <c r="G76" s="1785"/>
      <c r="H76" s="1785"/>
      <c r="I76" s="1785"/>
      <c r="J76" s="1785"/>
      <c r="K76" s="428"/>
      <c r="L76" s="428"/>
      <c r="M76" s="1786"/>
      <c r="N76" s="2930"/>
      <c r="O76" s="2930"/>
      <c r="P76" s="1983"/>
      <c r="Q76" s="1747"/>
    </row>
    <row r="77" spans="1:17" ht="14.4" thickBot="1">
      <c r="A77" s="1779"/>
      <c r="B77" s="1787"/>
      <c r="C77" s="1788"/>
      <c r="D77" s="1788"/>
      <c r="E77" s="1788"/>
      <c r="F77" s="1788"/>
      <c r="G77" s="1788"/>
      <c r="H77" s="1788"/>
      <c r="I77" s="1788"/>
      <c r="J77" s="1788"/>
      <c r="K77" s="1788"/>
      <c r="L77" s="1788"/>
      <c r="M77" s="1789"/>
      <c r="N77" s="2931"/>
      <c r="O77" s="2931"/>
      <c r="P77" s="1983"/>
      <c r="Q77" s="1747"/>
    </row>
    <row r="78" spans="1:17" ht="15" thickTop="1">
      <c r="A78" s="1779"/>
      <c r="B78" s="1790" t="s">
        <v>2028</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57" t="str">
        <f>M79&amp;"（含）"&amp;"-"&amp;P79</f>
        <v>（含）-</v>
      </c>
      <c r="N78" s="2931"/>
      <c r="O78" s="2931"/>
      <c r="P78" s="1983"/>
      <c r="Q78" s="1747"/>
    </row>
    <row r="79" spans="1:17">
      <c r="A79" s="1779"/>
      <c r="B79" s="1792"/>
      <c r="C79" s="1793"/>
      <c r="D79" s="1793"/>
      <c r="E79" s="1793"/>
      <c r="F79" s="1793"/>
      <c r="G79" s="1793"/>
      <c r="H79" s="1793"/>
      <c r="I79" s="1793"/>
      <c r="J79" s="1793"/>
      <c r="K79" s="438"/>
      <c r="L79" s="438"/>
      <c r="M79" s="1794"/>
      <c r="N79" s="2930"/>
      <c r="O79" s="2930"/>
      <c r="P79" s="1983"/>
      <c r="Q79" s="1747"/>
    </row>
    <row r="80" spans="1:17" ht="14.4"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1"/>
      <c r="O80" s="2931"/>
      <c r="P80" s="1983"/>
      <c r="Q80" s="1747"/>
    </row>
    <row r="81" spans="1:17" s="1697" customFormat="1" ht="14.4" thickTop="1">
      <c r="A81" s="1795"/>
      <c r="B81" s="1784" t="str">
        <f>B12</f>
        <v>配建</v>
      </c>
      <c r="C81" s="468"/>
      <c r="D81" s="468"/>
      <c r="E81" s="468"/>
      <c r="F81" s="468"/>
      <c r="G81" s="468"/>
      <c r="H81" s="443"/>
      <c r="I81" s="443"/>
      <c r="J81" s="443"/>
      <c r="K81" s="443"/>
      <c r="L81" s="443"/>
      <c r="M81" s="1796"/>
      <c r="N81" s="2932"/>
      <c r="O81" s="2932"/>
      <c r="P81" s="1984"/>
      <c r="Q81" s="1799"/>
    </row>
    <row r="82" spans="1:17" s="1697" customFormat="1" ht="14.4" thickBot="1">
      <c r="A82" s="1795"/>
      <c r="B82" s="1787"/>
      <c r="C82" s="1800"/>
      <c r="D82" s="1781"/>
      <c r="E82" s="1781"/>
      <c r="F82" s="1781"/>
      <c r="G82" s="1781"/>
      <c r="H82" s="1781"/>
      <c r="I82" s="1781"/>
      <c r="J82" s="1781"/>
      <c r="K82" s="1781"/>
      <c r="L82" s="1781"/>
      <c r="M82" s="1782"/>
      <c r="N82" s="2931"/>
      <c r="O82" s="2931"/>
      <c r="P82" s="1984"/>
      <c r="Q82" s="1799"/>
    </row>
    <row r="83" spans="1:17" s="1697" customFormat="1" ht="14.4" thickTop="1">
      <c r="A83" s="1795"/>
      <c r="B83" s="1784">
        <f>B13</f>
        <v>111</v>
      </c>
      <c r="C83" s="468"/>
      <c r="D83" s="468"/>
      <c r="E83" s="468"/>
      <c r="F83" s="468"/>
      <c r="G83" s="468"/>
      <c r="H83" s="443"/>
      <c r="I83" s="443"/>
      <c r="J83" s="443"/>
      <c r="K83" s="443"/>
      <c r="L83" s="443"/>
      <c r="M83" s="1796"/>
      <c r="N83" s="2932"/>
      <c r="O83" s="2932"/>
      <c r="P83" s="1985"/>
      <c r="Q83" s="1802"/>
    </row>
    <row r="84" spans="1:17" s="1697" customFormat="1" ht="14.4" thickBot="1">
      <c r="A84" s="1795"/>
      <c r="B84" s="1787"/>
      <c r="C84" s="1800"/>
      <c r="D84" s="1800"/>
      <c r="E84" s="1800"/>
      <c r="F84" s="1800"/>
      <c r="G84" s="1800"/>
      <c r="H84" s="1803"/>
      <c r="I84" s="1803"/>
      <c r="J84" s="1803"/>
      <c r="K84" s="1803"/>
      <c r="L84" s="1803"/>
      <c r="M84" s="1804"/>
      <c r="N84" s="2932"/>
      <c r="O84" s="2932"/>
      <c r="P84" s="1984"/>
      <c r="Q84" s="1799"/>
    </row>
    <row r="85" spans="1:17" s="1697" customFormat="1" ht="14.4" thickTop="1">
      <c r="A85" s="1795"/>
      <c r="B85" s="1790">
        <f>B14</f>
        <v>111</v>
      </c>
      <c r="C85" s="409"/>
      <c r="D85" s="409"/>
      <c r="E85" s="409"/>
      <c r="F85" s="409"/>
      <c r="G85" s="409"/>
      <c r="H85" s="453"/>
      <c r="I85" s="453"/>
      <c r="J85" s="453"/>
      <c r="K85" s="453"/>
      <c r="L85" s="453"/>
      <c r="M85" s="1805"/>
      <c r="N85" s="2932"/>
      <c r="O85" s="2932"/>
      <c r="P85" s="1984"/>
      <c r="Q85" s="1799"/>
    </row>
    <row r="86" spans="1:17" s="1697" customFormat="1" ht="14.4" thickBot="1">
      <c r="A86" s="1806"/>
      <c r="B86" s="1807"/>
      <c r="C86" s="1808"/>
      <c r="D86" s="1808"/>
      <c r="E86" s="1808"/>
      <c r="F86" s="1808"/>
      <c r="G86" s="1808"/>
      <c r="H86" s="1809"/>
      <c r="I86" s="1809"/>
      <c r="J86" s="1809"/>
      <c r="K86" s="1809"/>
      <c r="L86" s="1809"/>
      <c r="M86" s="1810"/>
      <c r="N86" s="2932"/>
      <c r="O86" s="2932"/>
      <c r="P86" s="1984"/>
      <c r="Q86" s="1799"/>
    </row>
    <row r="87" spans="1:17" ht="14.4">
      <c r="A87" s="1772" t="s">
        <v>2029</v>
      </c>
      <c r="B87" s="1773" t="s">
        <v>2067</v>
      </c>
      <c r="C87" s="1811" t="s">
        <v>2068</v>
      </c>
      <c r="D87" s="1811" t="s">
        <v>2069</v>
      </c>
      <c r="E87" s="1811" t="s">
        <v>2070</v>
      </c>
      <c r="F87" s="1811" t="s">
        <v>2071</v>
      </c>
      <c r="G87" s="1811" t="s">
        <v>2072</v>
      </c>
      <c r="H87" s="1774"/>
      <c r="I87" s="1774"/>
      <c r="J87" s="1774"/>
      <c r="K87" s="463"/>
      <c r="L87" s="463"/>
      <c r="M87" s="1812"/>
      <c r="N87" s="2930"/>
      <c r="O87" s="2930"/>
      <c r="P87" s="1983"/>
      <c r="Q87" s="1747"/>
    </row>
    <row r="88" spans="1:17" ht="14.4" thickBot="1">
      <c r="A88" s="1779"/>
      <c r="B88" s="1787"/>
      <c r="C88" s="1788">
        <v>100</v>
      </c>
      <c r="D88" s="1788">
        <f>C88-$K15</f>
        <v>100</v>
      </c>
      <c r="E88" s="1788">
        <f>D88-$K15</f>
        <v>100</v>
      </c>
      <c r="F88" s="1788">
        <f>E88-$K15</f>
        <v>100</v>
      </c>
      <c r="G88" s="1788">
        <f>F88-$K15</f>
        <v>100</v>
      </c>
      <c r="H88" s="1788"/>
      <c r="I88" s="1788"/>
      <c r="J88" s="1788"/>
      <c r="K88" s="1788"/>
      <c r="L88" s="1788"/>
      <c r="M88" s="1789"/>
      <c r="N88" s="2931"/>
      <c r="O88" s="2931"/>
      <c r="P88" s="1983"/>
      <c r="Q88" s="1747"/>
    </row>
    <row r="89" spans="1:17" ht="15" thickTop="1">
      <c r="A89" s="1779"/>
      <c r="B89" s="1784" t="s">
        <v>2236</v>
      </c>
      <c r="C89" s="579" t="s">
        <v>2068</v>
      </c>
      <c r="D89" s="579" t="s">
        <v>2069</v>
      </c>
      <c r="E89" s="579" t="s">
        <v>2070</v>
      </c>
      <c r="F89" s="579" t="s">
        <v>2071</v>
      </c>
      <c r="G89" s="579" t="s">
        <v>2072</v>
      </c>
      <c r="H89" s="1785"/>
      <c r="I89" s="1785"/>
      <c r="J89" s="1785"/>
      <c r="K89" s="428"/>
      <c r="L89" s="428"/>
      <c r="M89" s="1786"/>
      <c r="N89" s="2930"/>
      <c r="O89" s="2930"/>
      <c r="P89" s="1983"/>
      <c r="Q89" s="1747"/>
    </row>
    <row r="90" spans="1:17" ht="14.4" thickBot="1">
      <c r="A90" s="1779"/>
      <c r="B90" s="1787"/>
      <c r="C90" s="1788">
        <v>100</v>
      </c>
      <c r="D90" s="1788">
        <f>C90-$K17</f>
        <v>100</v>
      </c>
      <c r="E90" s="1788">
        <f>D90-$K17</f>
        <v>100</v>
      </c>
      <c r="F90" s="1788">
        <f>E90-$K17</f>
        <v>100</v>
      </c>
      <c r="G90" s="1788">
        <f>F90-$K17</f>
        <v>100</v>
      </c>
      <c r="H90" s="1788"/>
      <c r="I90" s="1788"/>
      <c r="J90" s="1788"/>
      <c r="K90" s="1788"/>
      <c r="L90" s="1788"/>
      <c r="M90" s="1789"/>
      <c r="N90" s="2931"/>
      <c r="O90" s="2931"/>
      <c r="P90" s="1983"/>
      <c r="Q90" s="1747"/>
    </row>
    <row r="91" spans="1:17" ht="15" thickTop="1">
      <c r="A91" s="1779"/>
      <c r="B91" s="1784" t="s">
        <v>2155</v>
      </c>
      <c r="C91" s="579" t="s">
        <v>2068</v>
      </c>
      <c r="D91" s="579" t="s">
        <v>2069</v>
      </c>
      <c r="E91" s="579" t="s">
        <v>2070</v>
      </c>
      <c r="F91" s="579" t="s">
        <v>2071</v>
      </c>
      <c r="G91" s="579" t="s">
        <v>2072</v>
      </c>
      <c r="H91" s="1785"/>
      <c r="I91" s="1785"/>
      <c r="J91" s="1785"/>
      <c r="K91" s="428"/>
      <c r="L91" s="428"/>
      <c r="M91" s="1786"/>
      <c r="N91" s="2930"/>
      <c r="O91" s="2930"/>
      <c r="P91" s="1983"/>
      <c r="Q91" s="1747"/>
    </row>
    <row r="92" spans="1:17" ht="14.4" thickBot="1">
      <c r="A92" s="1779"/>
      <c r="B92" s="1787"/>
      <c r="C92" s="1788">
        <v>100</v>
      </c>
      <c r="D92" s="1788">
        <f>C92-$K19</f>
        <v>100</v>
      </c>
      <c r="E92" s="1788">
        <f>D92-$K19</f>
        <v>100</v>
      </c>
      <c r="F92" s="1788">
        <f>E92-$K19</f>
        <v>100</v>
      </c>
      <c r="G92" s="1788">
        <f>F92-$K19</f>
        <v>100</v>
      </c>
      <c r="H92" s="1788"/>
      <c r="I92" s="1788"/>
      <c r="J92" s="1788"/>
      <c r="K92" s="1788"/>
      <c r="L92" s="1788"/>
      <c r="M92" s="1789"/>
      <c r="N92" s="2931"/>
      <c r="O92" s="2931"/>
      <c r="P92" s="1983"/>
      <c r="Q92" s="1747"/>
    </row>
    <row r="93" spans="1:17" ht="15" thickTop="1">
      <c r="A93" s="1779"/>
      <c r="B93" s="1784" t="s">
        <v>2073</v>
      </c>
      <c r="C93" s="579" t="s">
        <v>2068</v>
      </c>
      <c r="D93" s="579" t="s">
        <v>2069</v>
      </c>
      <c r="E93" s="579" t="s">
        <v>2070</v>
      </c>
      <c r="F93" s="579" t="s">
        <v>2071</v>
      </c>
      <c r="G93" s="579" t="s">
        <v>2072</v>
      </c>
      <c r="H93" s="1785"/>
      <c r="I93" s="1785"/>
      <c r="J93" s="1785"/>
      <c r="K93" s="428"/>
      <c r="L93" s="428"/>
      <c r="M93" s="1786"/>
      <c r="N93" s="2930"/>
      <c r="O93" s="2930"/>
      <c r="P93" s="1983"/>
      <c r="Q93" s="1747"/>
    </row>
    <row r="94" spans="1:17" ht="14.4" thickBot="1">
      <c r="A94" s="1779"/>
      <c r="B94" s="1787"/>
      <c r="C94" s="1788">
        <v>100</v>
      </c>
      <c r="D94" s="1788">
        <f>C94-$K21</f>
        <v>100</v>
      </c>
      <c r="E94" s="1788">
        <f>D94-$K21</f>
        <v>100</v>
      </c>
      <c r="F94" s="1788">
        <f>E94-$K21</f>
        <v>100</v>
      </c>
      <c r="G94" s="1788">
        <f>F94-$K21</f>
        <v>100</v>
      </c>
      <c r="H94" s="1788"/>
      <c r="I94" s="1788"/>
      <c r="J94" s="1788"/>
      <c r="K94" s="1788"/>
      <c r="L94" s="1788"/>
      <c r="M94" s="1789"/>
      <c r="N94" s="2931"/>
      <c r="O94" s="2931"/>
      <c r="P94" s="1983"/>
      <c r="Q94" s="1747"/>
    </row>
    <row r="95" spans="1:17" s="1610" customFormat="1" ht="29.4" thickTop="1">
      <c r="A95" s="1815"/>
      <c r="B95" s="1784" t="s">
        <v>2237</v>
      </c>
      <c r="C95" s="579" t="s">
        <v>2068</v>
      </c>
      <c r="D95" s="579" t="s">
        <v>2069</v>
      </c>
      <c r="E95" s="579" t="s">
        <v>2070</v>
      </c>
      <c r="F95" s="579" t="s">
        <v>2071</v>
      </c>
      <c r="G95" s="579" t="s">
        <v>2072</v>
      </c>
      <c r="H95" s="579"/>
      <c r="I95" s="579"/>
      <c r="J95" s="579"/>
      <c r="K95" s="579"/>
      <c r="L95" s="579"/>
      <c r="M95" s="1986"/>
      <c r="N95" s="2929"/>
      <c r="O95" s="2929"/>
      <c r="P95" s="1983"/>
      <c r="Q95" s="1747"/>
    </row>
    <row r="96" spans="1:17" s="1610" customFormat="1" ht="14.4" thickBot="1">
      <c r="A96" s="1815"/>
      <c r="B96" s="1787"/>
      <c r="C96" s="1817">
        <v>100</v>
      </c>
      <c r="D96" s="1788">
        <f>C96-$K23</f>
        <v>100</v>
      </c>
      <c r="E96" s="1788">
        <f>D96-$K23</f>
        <v>100</v>
      </c>
      <c r="F96" s="1788">
        <f>E96-$K23</f>
        <v>100</v>
      </c>
      <c r="G96" s="1788">
        <f>F96-$K23</f>
        <v>100</v>
      </c>
      <c r="H96" s="1788"/>
      <c r="I96" s="1788"/>
      <c r="J96" s="1788"/>
      <c r="K96" s="1788"/>
      <c r="L96" s="1788"/>
      <c r="M96" s="1789"/>
      <c r="N96" s="2931"/>
      <c r="O96" s="2931"/>
      <c r="P96" s="1983"/>
      <c r="Q96" s="1747"/>
    </row>
    <row r="97" spans="1:17" s="1610" customFormat="1" ht="29.4" thickTop="1">
      <c r="A97" s="1815"/>
      <c r="B97" s="1784" t="s">
        <v>2238</v>
      </c>
      <c r="C97" s="1811" t="s">
        <v>2068</v>
      </c>
      <c r="D97" s="1811" t="s">
        <v>2069</v>
      </c>
      <c r="E97" s="1811" t="s">
        <v>2070</v>
      </c>
      <c r="F97" s="1811" t="s">
        <v>2071</v>
      </c>
      <c r="G97" s="1811" t="s">
        <v>2072</v>
      </c>
      <c r="H97" s="579"/>
      <c r="I97" s="579"/>
      <c r="J97" s="579"/>
      <c r="K97" s="579"/>
      <c r="L97" s="579"/>
      <c r="M97" s="1986"/>
      <c r="N97" s="2929"/>
      <c r="O97" s="2929"/>
      <c r="P97" s="1983"/>
      <c r="Q97" s="1747"/>
    </row>
    <row r="98" spans="1:17" s="1610" customFormat="1" ht="14.4" thickBot="1">
      <c r="A98" s="1815"/>
      <c r="B98" s="1787"/>
      <c r="C98" s="1788">
        <v>100</v>
      </c>
      <c r="D98" s="1788">
        <f>C98-$K25</f>
        <v>100</v>
      </c>
      <c r="E98" s="1788">
        <f>D98-$K25</f>
        <v>100</v>
      </c>
      <c r="F98" s="1788">
        <f>E98-$K25</f>
        <v>100</v>
      </c>
      <c r="G98" s="1788">
        <f>F98-$K25</f>
        <v>100</v>
      </c>
      <c r="H98" s="1788"/>
      <c r="I98" s="1788"/>
      <c r="J98" s="1788"/>
      <c r="K98" s="1788"/>
      <c r="L98" s="1788"/>
      <c r="M98" s="1789"/>
      <c r="N98" s="2931"/>
      <c r="O98" s="2931"/>
      <c r="P98" s="1983"/>
      <c r="Q98" s="1747"/>
    </row>
    <row r="99" spans="1:17" s="1610" customFormat="1" ht="15" thickTop="1">
      <c r="A99" s="1815"/>
      <c r="B99" s="1790" t="s">
        <v>2116</v>
      </c>
      <c r="C99" s="1811" t="s">
        <v>2068</v>
      </c>
      <c r="D99" s="1811" t="s">
        <v>2069</v>
      </c>
      <c r="E99" s="1811" t="s">
        <v>2070</v>
      </c>
      <c r="F99" s="1811" t="s">
        <v>2071</v>
      </c>
      <c r="G99" s="1811" t="s">
        <v>2072</v>
      </c>
      <c r="H99" s="1785"/>
      <c r="I99" s="1785"/>
      <c r="J99" s="1785"/>
      <c r="K99" s="1785"/>
      <c r="L99" s="1785"/>
      <c r="M99" s="1813"/>
      <c r="N99" s="2931"/>
      <c r="O99" s="2931"/>
      <c r="P99" s="1983"/>
      <c r="Q99" s="1747"/>
    </row>
    <row r="100" spans="1:17" s="1610" customFormat="1" ht="14.4" thickBot="1">
      <c r="A100" s="1815"/>
      <c r="B100" s="1790"/>
      <c r="C100" s="1788">
        <v>100</v>
      </c>
      <c r="D100" s="1788">
        <f>C100-$K27</f>
        <v>100</v>
      </c>
      <c r="E100" s="1788">
        <f>D100-$K27</f>
        <v>100</v>
      </c>
      <c r="F100" s="1788">
        <f>E100-$K27</f>
        <v>100</v>
      </c>
      <c r="G100" s="1788">
        <f>F100-$K27</f>
        <v>100</v>
      </c>
      <c r="H100" s="1814"/>
      <c r="I100" s="1814"/>
      <c r="J100" s="1814"/>
      <c r="K100" s="1814"/>
      <c r="L100" s="1814"/>
      <c r="M100" s="1661"/>
      <c r="N100" s="2931"/>
      <c r="O100" s="2931"/>
      <c r="P100" s="1983"/>
      <c r="Q100" s="1747"/>
    </row>
    <row r="101" spans="1:17" s="1697" customFormat="1" ht="15" thickTop="1">
      <c r="A101" s="1795"/>
      <c r="B101" s="1784" t="s">
        <v>2117</v>
      </c>
      <c r="C101" s="1785" t="s">
        <v>2075</v>
      </c>
      <c r="D101" s="1785" t="s">
        <v>2076</v>
      </c>
      <c r="E101" s="1785" t="s">
        <v>2077</v>
      </c>
      <c r="F101" s="1785" t="s">
        <v>2078</v>
      </c>
      <c r="G101" s="1785" t="s">
        <v>2079</v>
      </c>
      <c r="H101" s="489"/>
      <c r="I101" s="489"/>
      <c r="J101" s="489"/>
      <c r="K101" s="489"/>
      <c r="L101" s="489"/>
      <c r="M101" s="1830"/>
      <c r="N101" s="2932"/>
      <c r="O101" s="2932"/>
      <c r="P101" s="1984"/>
      <c r="Q101" s="1799"/>
    </row>
    <row r="102" spans="1:17" s="1697" customFormat="1" ht="14.4"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2"/>
      <c r="O102" s="2932"/>
      <c r="P102" s="1984"/>
      <c r="Q102" s="1799"/>
    </row>
    <row r="103" spans="1:17" ht="15" thickTop="1">
      <c r="A103" s="1779"/>
      <c r="B103" s="1784" t="str">
        <f>B31</f>
        <v>临街状况</v>
      </c>
      <c r="C103" s="1785" t="s">
        <v>2239</v>
      </c>
      <c r="D103" s="1785" t="s">
        <v>2240</v>
      </c>
      <c r="E103" s="1785" t="s">
        <v>2241</v>
      </c>
      <c r="F103" s="1785" t="s">
        <v>2242</v>
      </c>
      <c r="G103" s="1785"/>
      <c r="H103" s="1785"/>
      <c r="I103" s="1785"/>
      <c r="J103" s="1785"/>
      <c r="K103" s="428"/>
      <c r="L103" s="428"/>
      <c r="M103" s="1786"/>
      <c r="N103" s="2930"/>
      <c r="O103" s="2930"/>
      <c r="P103" s="1983"/>
      <c r="Q103" s="1747"/>
    </row>
    <row r="104" spans="1:17" ht="14.4"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1"/>
      <c r="O104" s="2931"/>
      <c r="P104" s="1983"/>
      <c r="Q104" s="1747"/>
    </row>
    <row r="105" spans="1:17" ht="29.4" thickTop="1">
      <c r="A105" s="1779"/>
      <c r="B105" s="1784" t="s">
        <v>2148</v>
      </c>
      <c r="C105" s="468"/>
      <c r="D105" s="468"/>
      <c r="E105" s="468"/>
      <c r="F105" s="468"/>
      <c r="G105" s="468"/>
      <c r="H105" s="1503"/>
      <c r="I105" s="1503"/>
      <c r="J105" s="1503"/>
      <c r="K105" s="473"/>
      <c r="L105" s="473"/>
      <c r="M105" s="1819"/>
      <c r="N105" s="2930"/>
      <c r="O105" s="2930"/>
      <c r="P105" s="1983"/>
      <c r="Q105" s="1747"/>
    </row>
    <row r="106" spans="1:17" ht="14.4"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1"/>
      <c r="O106" s="2931"/>
      <c r="P106" s="1983"/>
      <c r="Q106" s="1747"/>
    </row>
    <row r="107" spans="1:17" ht="15" thickTop="1">
      <c r="A107" s="1779"/>
      <c r="B107" s="1784" t="s">
        <v>2209</v>
      </c>
      <c r="C107" s="1503"/>
      <c r="D107" s="1503"/>
      <c r="E107" s="1503"/>
      <c r="F107" s="1503"/>
      <c r="G107" s="1503"/>
      <c r="H107" s="1503"/>
      <c r="I107" s="1503"/>
      <c r="J107" s="1503"/>
      <c r="K107" s="473"/>
      <c r="L107" s="473"/>
      <c r="M107" s="1819"/>
      <c r="N107" s="2930"/>
      <c r="O107" s="2930"/>
      <c r="P107" s="1983"/>
      <c r="Q107" s="1747"/>
    </row>
    <row r="108" spans="1:17" ht="14.4"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1"/>
      <c r="O108" s="2931"/>
      <c r="P108" s="1983"/>
      <c r="Q108" s="1747"/>
    </row>
    <row r="109" spans="1:17" ht="14.4" thickTop="1">
      <c r="A109" s="1779"/>
      <c r="B109" s="1790">
        <f>B35</f>
        <v>111</v>
      </c>
      <c r="C109" s="468"/>
      <c r="D109" s="468"/>
      <c r="E109" s="468"/>
      <c r="F109" s="468"/>
      <c r="G109" s="1820"/>
      <c r="H109" s="1820"/>
      <c r="I109" s="1820"/>
      <c r="J109" s="1820"/>
      <c r="K109" s="477"/>
      <c r="L109" s="477"/>
      <c r="M109" s="1821"/>
      <c r="N109" s="2930"/>
      <c r="O109" s="2930"/>
      <c r="P109" s="1983"/>
      <c r="Q109" s="1747"/>
    </row>
    <row r="110" spans="1:17" ht="14.4" thickBot="1">
      <c r="A110" s="1779"/>
      <c r="B110" s="1807"/>
      <c r="C110" s="1800"/>
      <c r="D110" s="1800"/>
      <c r="E110" s="1800"/>
      <c r="F110" s="1800"/>
      <c r="G110" s="1823"/>
      <c r="H110" s="1823"/>
      <c r="I110" s="1823"/>
      <c r="J110" s="1823"/>
      <c r="K110" s="1823"/>
      <c r="L110" s="1823"/>
      <c r="M110" s="1824"/>
      <c r="N110" s="2931"/>
      <c r="O110" s="2931"/>
      <c r="P110" s="1983"/>
      <c r="Q110" s="1747"/>
    </row>
    <row r="111" spans="1:17" ht="14.4" thickTop="1">
      <c r="A111" s="1920"/>
      <c r="B111" s="1784">
        <f>B36</f>
        <v>111</v>
      </c>
      <c r="C111" s="409"/>
      <c r="D111" s="409"/>
      <c r="E111" s="409"/>
      <c r="F111" s="409"/>
      <c r="G111" s="1503"/>
      <c r="H111" s="1503"/>
      <c r="I111" s="1503"/>
      <c r="J111" s="1503"/>
      <c r="K111" s="473"/>
      <c r="L111" s="473"/>
      <c r="M111" s="1819"/>
      <c r="N111" s="2930"/>
      <c r="O111" s="2930"/>
      <c r="P111" s="1983"/>
      <c r="Q111" s="1747"/>
    </row>
    <row r="112" spans="1:17" ht="14.4" thickBot="1">
      <c r="A112" s="1779"/>
      <c r="B112" s="1787"/>
      <c r="C112" s="1808"/>
      <c r="D112" s="1808"/>
      <c r="E112" s="1808"/>
      <c r="F112" s="1808"/>
      <c r="G112" s="1781"/>
      <c r="H112" s="1781"/>
      <c r="I112" s="1781"/>
      <c r="J112" s="1781"/>
      <c r="K112" s="1781"/>
      <c r="L112" s="1781"/>
      <c r="M112" s="1782"/>
      <c r="N112" s="2931"/>
      <c r="O112" s="2931"/>
      <c r="P112" s="1983"/>
      <c r="Q112" s="1747"/>
    </row>
    <row r="113" spans="1:17" s="1697" customFormat="1" ht="14.4" thickTop="1">
      <c r="A113" s="1825"/>
      <c r="B113" s="1826">
        <f>B37</f>
        <v>111</v>
      </c>
      <c r="C113" s="1827"/>
      <c r="D113" s="1827"/>
      <c r="E113" s="1827"/>
      <c r="F113" s="1827"/>
      <c r="G113" s="1827"/>
      <c r="H113" s="1827"/>
      <c r="I113" s="1827"/>
      <c r="J113" s="485"/>
      <c r="K113" s="485"/>
      <c r="L113" s="485"/>
      <c r="M113" s="1828"/>
      <c r="N113" s="2932"/>
      <c r="O113" s="2932"/>
      <c r="P113" s="1984"/>
      <c r="Q113" s="1799"/>
    </row>
    <row r="114" spans="1:17" s="1697" customFormat="1" ht="14.4" thickBot="1">
      <c r="A114" s="1795"/>
      <c r="B114" s="1790"/>
      <c r="C114" s="1757"/>
      <c r="D114" s="1987"/>
      <c r="E114" s="1987"/>
      <c r="F114" s="1987"/>
      <c r="G114" s="1987"/>
      <c r="H114" s="1987"/>
      <c r="I114" s="1987"/>
      <c r="J114" s="1987"/>
      <c r="K114" s="1987"/>
      <c r="L114" s="1987"/>
      <c r="M114" s="1988"/>
      <c r="N114" s="2931"/>
      <c r="O114" s="2931"/>
      <c r="P114" s="1984"/>
      <c r="Q114" s="1799"/>
    </row>
    <row r="115" spans="1:17" ht="14.4">
      <c r="A115" s="1772" t="s">
        <v>2034</v>
      </c>
      <c r="B115" s="1773"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0"/>
      <c r="O115" s="2930"/>
      <c r="P115" s="1983"/>
      <c r="Q115" s="1747"/>
    </row>
    <row r="116" spans="1:17">
      <c r="A116" s="1779"/>
      <c r="B116" s="1790"/>
      <c r="C116" s="1827"/>
      <c r="D116" s="1827"/>
      <c r="E116" s="1827"/>
      <c r="F116" s="1827"/>
      <c r="G116" s="1827"/>
      <c r="H116" s="1827"/>
      <c r="I116" s="1827"/>
      <c r="J116" s="485"/>
      <c r="K116" s="485"/>
      <c r="L116" s="485"/>
      <c r="M116" s="1828"/>
      <c r="N116" s="2930"/>
      <c r="O116" s="2930"/>
      <c r="P116" s="1983"/>
      <c r="Q116" s="1747"/>
    </row>
    <row r="117" spans="1:17" ht="14.4" thickBot="1">
      <c r="A117" s="1779"/>
      <c r="B117" s="1787"/>
      <c r="C117" s="1808"/>
      <c r="D117" s="1823"/>
      <c r="E117" s="1823"/>
      <c r="F117" s="1823"/>
      <c r="G117" s="1823"/>
      <c r="H117" s="1823"/>
      <c r="I117" s="1823"/>
      <c r="J117" s="1823"/>
      <c r="K117" s="1823"/>
      <c r="L117" s="1823"/>
      <c r="M117" s="1824"/>
      <c r="N117" s="2931"/>
      <c r="O117" s="2931"/>
      <c r="P117" s="1983"/>
      <c r="Q117" s="1747"/>
    </row>
    <row r="118" spans="1:17" ht="15" thickTop="1">
      <c r="A118" s="1829"/>
      <c r="B118" s="1784" t="s">
        <v>2244</v>
      </c>
      <c r="C118" s="1503"/>
      <c r="D118" s="1503"/>
      <c r="E118" s="1503"/>
      <c r="F118" s="1503"/>
      <c r="G118" s="1503"/>
      <c r="H118" s="1503"/>
      <c r="I118" s="1503"/>
      <c r="J118" s="1503"/>
      <c r="K118" s="473"/>
      <c r="L118" s="473"/>
      <c r="M118" s="1819"/>
      <c r="N118" s="2930"/>
      <c r="O118" s="2930"/>
      <c r="P118" s="1983"/>
      <c r="Q118" s="1747"/>
    </row>
    <row r="119" spans="1:17" ht="14.4"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1"/>
      <c r="O119" s="2931"/>
      <c r="P119" s="1983"/>
      <c r="Q119" s="1747"/>
    </row>
    <row r="120" spans="1:17" ht="15" thickTop="1">
      <c r="A120" s="1829"/>
      <c r="B120" s="1784" t="s">
        <v>2245</v>
      </c>
      <c r="C120" s="468"/>
      <c r="D120" s="468"/>
      <c r="E120" s="468"/>
      <c r="F120" s="1503"/>
      <c r="G120" s="1503"/>
      <c r="H120" s="1503"/>
      <c r="I120" s="1503"/>
      <c r="J120" s="1503"/>
      <c r="K120" s="473"/>
      <c r="L120" s="473"/>
      <c r="M120" s="1819"/>
      <c r="N120" s="2930"/>
      <c r="O120" s="2930"/>
      <c r="P120" s="1983"/>
      <c r="Q120" s="1747"/>
    </row>
    <row r="121" spans="1:17" ht="14.4"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1"/>
      <c r="O121" s="2931"/>
      <c r="P121" s="1983"/>
      <c r="Q121" s="1747"/>
    </row>
    <row r="122" spans="1:17" s="1697" customFormat="1" ht="15" thickTop="1">
      <c r="A122" s="1825"/>
      <c r="B122" s="1784" t="s">
        <v>2246</v>
      </c>
      <c r="C122" s="468"/>
      <c r="D122" s="468"/>
      <c r="E122" s="468"/>
      <c r="F122" s="468"/>
      <c r="G122" s="468"/>
      <c r="H122" s="1503"/>
      <c r="I122" s="1503"/>
      <c r="J122" s="1503"/>
      <c r="K122" s="473"/>
      <c r="L122" s="473"/>
      <c r="M122" s="1819"/>
      <c r="N122" s="2932"/>
      <c r="O122" s="2932"/>
      <c r="P122" s="1984"/>
      <c r="Q122" s="1799"/>
    </row>
    <row r="123" spans="1:17" s="1697" customFormat="1" ht="14.4"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2"/>
      <c r="O123" s="2932"/>
      <c r="P123" s="1984"/>
      <c r="Q123" s="1799"/>
    </row>
    <row r="124" spans="1:17" ht="15" thickTop="1">
      <c r="A124" s="1829"/>
      <c r="B124" s="1784" t="s">
        <v>2247</v>
      </c>
      <c r="C124" s="468"/>
      <c r="D124" s="468"/>
      <c r="E124" s="1503"/>
      <c r="F124" s="1503"/>
      <c r="G124" s="1503"/>
      <c r="H124" s="1503"/>
      <c r="I124" s="1503"/>
      <c r="J124" s="1503"/>
      <c r="K124" s="473"/>
      <c r="L124" s="473"/>
      <c r="M124" s="1819"/>
      <c r="N124" s="2930"/>
      <c r="O124" s="2930"/>
      <c r="P124" s="1983"/>
      <c r="Q124" s="1747"/>
    </row>
    <row r="125" spans="1:17" ht="14.4"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1"/>
      <c r="O125" s="2931"/>
      <c r="P125" s="1983"/>
      <c r="Q125" s="1747"/>
    </row>
    <row r="126" spans="1:17" ht="14.4" thickTop="1">
      <c r="A126" s="1829"/>
      <c r="B126" s="1784">
        <f>B43</f>
        <v>111</v>
      </c>
      <c r="C126" s="468"/>
      <c r="D126" s="468"/>
      <c r="E126" s="468"/>
      <c r="F126" s="468"/>
      <c r="G126" s="468"/>
      <c r="H126" s="1503"/>
      <c r="I126" s="1503"/>
      <c r="J126" s="1503"/>
      <c r="K126" s="473"/>
      <c r="L126" s="473"/>
      <c r="M126" s="1819"/>
      <c r="N126" s="2930"/>
      <c r="O126" s="2930"/>
      <c r="P126" s="1983"/>
      <c r="Q126" s="1747"/>
    </row>
    <row r="127" spans="1:17" ht="14.4" thickBot="1">
      <c r="A127" s="1779"/>
      <c r="B127" s="1787"/>
      <c r="C127" s="1800"/>
      <c r="D127" s="1800"/>
      <c r="E127" s="1800"/>
      <c r="F127" s="1800"/>
      <c r="G127" s="1781"/>
      <c r="H127" s="1781"/>
      <c r="I127" s="1781"/>
      <c r="J127" s="1781"/>
      <c r="K127" s="1781"/>
      <c r="L127" s="1781"/>
      <c r="M127" s="1782"/>
      <c r="N127" s="2931"/>
      <c r="O127" s="2931"/>
      <c r="P127" s="1983"/>
      <c r="Q127" s="1747"/>
    </row>
    <row r="128" spans="1:17" ht="14.4" thickTop="1">
      <c r="A128" s="1829"/>
      <c r="B128" s="1784">
        <f>B44</f>
        <v>111</v>
      </c>
      <c r="C128" s="409"/>
      <c r="D128" s="409"/>
      <c r="E128" s="409"/>
      <c r="F128" s="409"/>
      <c r="G128" s="1503"/>
      <c r="H128" s="1503"/>
      <c r="I128" s="1503"/>
      <c r="J128" s="1503"/>
      <c r="K128" s="473"/>
      <c r="L128" s="473"/>
      <c r="M128" s="1819"/>
      <c r="N128" s="2930"/>
      <c r="O128" s="2930"/>
      <c r="P128" s="1983"/>
      <c r="Q128" s="1747"/>
    </row>
    <row r="129" spans="1:17" ht="14.4" thickBot="1">
      <c r="A129" s="1779"/>
      <c r="B129" s="1787"/>
      <c r="C129" s="1808"/>
      <c r="D129" s="1808"/>
      <c r="E129" s="1808"/>
      <c r="F129" s="1808"/>
      <c r="G129" s="1781"/>
      <c r="H129" s="1781"/>
      <c r="I129" s="1781"/>
      <c r="J129" s="1781"/>
      <c r="K129" s="1781"/>
      <c r="L129" s="1781"/>
      <c r="M129" s="1782"/>
      <c r="N129" s="2931"/>
      <c r="O129" s="2931"/>
      <c r="P129" s="1983"/>
      <c r="Q129" s="1747"/>
    </row>
    <row r="130" spans="1:17" s="1697" customFormat="1" ht="14.4" thickTop="1">
      <c r="A130" s="1825"/>
      <c r="B130" s="1784">
        <f>B45</f>
        <v>111</v>
      </c>
      <c r="C130" s="409"/>
      <c r="D130" s="409"/>
      <c r="E130" s="409"/>
      <c r="F130" s="409"/>
      <c r="G130" s="443"/>
      <c r="H130" s="443"/>
      <c r="I130" s="443"/>
      <c r="J130" s="443"/>
      <c r="K130" s="443"/>
      <c r="L130" s="443"/>
      <c r="M130" s="1796"/>
      <c r="N130" s="2932"/>
      <c r="O130" s="2932"/>
      <c r="P130" s="1984"/>
      <c r="Q130" s="1799"/>
    </row>
    <row r="131" spans="1:17" s="1697" customFormat="1" ht="14.4" thickBot="1">
      <c r="A131" s="1806"/>
      <c r="B131" s="1990"/>
      <c r="C131" s="1808"/>
      <c r="D131" s="1808"/>
      <c r="E131" s="1808"/>
      <c r="F131" s="1808"/>
      <c r="G131" s="1823"/>
      <c r="H131" s="1823"/>
      <c r="I131" s="1823"/>
      <c r="J131" s="1823"/>
      <c r="K131" s="1823"/>
      <c r="L131" s="1823"/>
      <c r="M131" s="1824"/>
      <c r="N131" s="2932"/>
      <c r="O131" s="2932"/>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上海浦东发展银行股份有限公司北京经济技术开发区支行：</v>
      </c>
      <c r="B3" s="1275"/>
      <c r="C3" s="1275"/>
      <c r="D3" s="1275"/>
      <c r="E3" s="1275"/>
      <c r="F3" s="1275"/>
      <c r="G3" s="1275"/>
    </row>
    <row r="4" spans="1:7" ht="34.799999999999997">
      <c r="A4" s="1277" t="str">
        <f>IF(ISNUMBER(FIND("公司",A3)),"受贵公司委托，我公司对"&amp;项目基本情况!I1&amp;"进行了预评估。","受您的委托，我公司对"&amp;项目基本情况!I1&amp;"进行了预评估。")</f>
        <v>受贵公司委托，我公司对北京市大兴区北京经济技术开发区荣华南路10号院4号楼1至2层107号商业用房房地产进行了预评估。</v>
      </c>
      <c r="B4" s="1277"/>
      <c r="C4" s="1277"/>
      <c r="D4" s="1277"/>
      <c r="E4" s="1277"/>
      <c r="F4" s="1277"/>
      <c r="G4" s="1277"/>
    </row>
    <row r="5" spans="1:7" ht="17.399999999999999">
      <c r="A5" s="1278" t="s">
        <v>1015</v>
      </c>
    </row>
    <row r="6" spans="1:7" s="1279" customFormat="1" ht="69.59999999999999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大兴区北京经济技术开发区荣华南路10号院4号楼1至2层107号商业用房房地产，为丁有金所有。根据《房屋所有权证》[]，估价对象建筑面积为262.86平方米。根据《》[]，估价对象（分摊）出让国有建设用地使用权面积为平方米。估价对象用途为。</v>
      </c>
      <c r="B6" s="1277"/>
      <c r="C6" s="1277"/>
      <c r="D6" s="1277"/>
      <c r="E6" s="1277"/>
      <c r="F6" s="1277"/>
      <c r="G6" s="1277"/>
    </row>
    <row r="7" spans="1:7" ht="17.399999999999999">
      <c r="A7" s="1278" t="s">
        <v>1016</v>
      </c>
    </row>
    <row r="8" spans="1:7" ht="104.4">
      <c r="A8" s="1280" t="str">
        <f>IF(项目基本情况!D4="抵押",IF(项目基本情况!B4=项目基本情况!B5,定义!C51,定义!B51),定义!D51)</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2022年5月20日（评估专业人员实地查勘之日）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52.2">
      <c r="A14" s="128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2005</v>
      </c>
      <c r="B4" s="295"/>
      <c r="C4" s="3657" t="s">
        <v>2006</v>
      </c>
      <c r="D4" s="3658"/>
      <c r="E4" s="3659" t="s">
        <v>2007</v>
      </c>
      <c r="F4" s="3660"/>
      <c r="G4" s="3657" t="s">
        <v>2008</v>
      </c>
      <c r="H4" s="3658"/>
      <c r="I4" s="3657" t="s">
        <v>2009</v>
      </c>
      <c r="J4" s="3658"/>
      <c r="K4" s="496" t="s">
        <v>2010</v>
      </c>
      <c r="L4" s="2939"/>
      <c r="M4" s="2940"/>
      <c r="N4" s="2940"/>
      <c r="O4" s="2940"/>
      <c r="P4" s="3661" t="s">
        <v>2011</v>
      </c>
      <c r="Q4" s="3662"/>
      <c r="R4" s="3667" t="s">
        <v>2007</v>
      </c>
      <c r="S4" s="3668"/>
      <c r="T4" s="3667" t="s">
        <v>2008</v>
      </c>
      <c r="U4" s="3668"/>
      <c r="V4" s="3673" t="s">
        <v>2009</v>
      </c>
      <c r="W4" s="3673"/>
      <c r="X4" s="1263"/>
      <c r="Y4" s="3667" t="s">
        <v>2011</v>
      </c>
      <c r="Z4" s="3668"/>
      <c r="AA4" s="3654" t="s">
        <v>2007</v>
      </c>
      <c r="AB4" s="3655" t="s">
        <v>2008</v>
      </c>
      <c r="AC4" s="3654" t="s">
        <v>2009</v>
      </c>
    </row>
    <row r="5" spans="1:29">
      <c r="A5" s="297"/>
      <c r="B5" s="298"/>
      <c r="C5" s="3650" t="s">
        <v>2012</v>
      </c>
      <c r="D5" s="3651"/>
      <c r="E5" s="3674" t="s">
        <v>2013</v>
      </c>
      <c r="F5" s="3675"/>
      <c r="G5" s="3650" t="s">
        <v>2014</v>
      </c>
      <c r="H5" s="3651"/>
      <c r="I5" s="3650" t="s">
        <v>2015</v>
      </c>
      <c r="J5" s="3651"/>
      <c r="K5" s="496"/>
      <c r="L5" s="2939"/>
      <c r="M5" s="2940"/>
      <c r="N5" s="2940"/>
      <c r="O5" s="2940"/>
      <c r="P5" s="3663"/>
      <c r="Q5" s="3664"/>
      <c r="R5" s="3669"/>
      <c r="S5" s="3670"/>
      <c r="T5" s="3669"/>
      <c r="U5" s="3670"/>
      <c r="V5" s="3673"/>
      <c r="W5" s="3673"/>
      <c r="X5" s="1263"/>
      <c r="Y5" s="3669"/>
      <c r="Z5" s="3670"/>
      <c r="AA5" s="3655"/>
      <c r="AB5" s="3655"/>
      <c r="AC5" s="3655"/>
    </row>
    <row r="6" spans="1:29" ht="15" thickBot="1">
      <c r="A6" s="299"/>
      <c r="B6" s="300"/>
      <c r="C6" s="3647" t="s">
        <v>2016</v>
      </c>
      <c r="D6" s="3648"/>
      <c r="E6" s="3645" t="s">
        <v>2016</v>
      </c>
      <c r="F6" s="3646"/>
      <c r="G6" s="3647" t="s">
        <v>2016</v>
      </c>
      <c r="H6" s="3648"/>
      <c r="I6" s="3647" t="s">
        <v>2016</v>
      </c>
      <c r="J6" s="3648"/>
      <c r="K6" s="496" t="s">
        <v>2017</v>
      </c>
      <c r="L6" s="2939"/>
      <c r="M6" s="2940"/>
      <c r="N6" s="2940"/>
      <c r="O6" s="2940"/>
      <c r="P6" s="3665"/>
      <c r="Q6" s="3666"/>
      <c r="R6" s="3669"/>
      <c r="S6" s="3670"/>
      <c r="T6" s="3671"/>
      <c r="U6" s="3672"/>
      <c r="V6" s="3673"/>
      <c r="W6" s="3673"/>
      <c r="X6" s="1263"/>
      <c r="Y6" s="3671"/>
      <c r="Z6" s="3672"/>
      <c r="AA6" s="3656"/>
      <c r="AB6" s="3656"/>
      <c r="AC6" s="3656"/>
    </row>
    <row r="7" spans="1:29" s="25" customFormat="1" ht="15" thickBot="1">
      <c r="A7" s="301" t="s">
        <v>2018</v>
      </c>
      <c r="B7" s="302"/>
      <c r="C7" s="303">
        <f>'数据-取费表'!B2</f>
        <v>44701</v>
      </c>
      <c r="D7" s="304">
        <v>100</v>
      </c>
      <c r="E7" s="305"/>
      <c r="F7" s="306">
        <f>SUMIF(64:64,YEAR(E7)&amp;"-"&amp;INT((MONTH(E7)+2)/3),65:65)</f>
        <v>0</v>
      </c>
      <c r="G7" s="1500"/>
      <c r="H7" s="304">
        <f>SUMIF(64:64,YEAR(G7)&amp;"-"&amp;INT((MONTH(G7)+2)/3),65:65)</f>
        <v>0</v>
      </c>
      <c r="I7" s="1500"/>
      <c r="J7" s="304">
        <f>SUMIF(64:64,YEAR(I7)&amp;"-"&amp;INT((MONTH(I7)+2)/3),65:65)</f>
        <v>0</v>
      </c>
      <c r="K7" s="497"/>
      <c r="L7" s="2941"/>
      <c r="M7" s="2942"/>
      <c r="N7" s="2942"/>
      <c r="O7" s="2942"/>
      <c r="P7" s="3652" t="s">
        <v>2019</v>
      </c>
      <c r="Q7" s="3676"/>
      <c r="R7" s="627" t="s">
        <v>25</v>
      </c>
      <c r="S7" s="628">
        <f t="shared" ref="S7:S15" si="0">F7</f>
        <v>0</v>
      </c>
      <c r="T7" s="627" t="s">
        <v>25</v>
      </c>
      <c r="U7" s="628">
        <f t="shared" ref="U7:U15" si="1">H7</f>
        <v>0</v>
      </c>
      <c r="V7" s="627" t="s">
        <v>25</v>
      </c>
      <c r="W7" s="628">
        <f t="shared" ref="W7:W15" si="2">J7</f>
        <v>0</v>
      </c>
      <c r="X7" s="629"/>
      <c r="Y7" s="3652" t="s">
        <v>2019</v>
      </c>
      <c r="Z7" s="3653"/>
      <c r="AA7" s="630" t="e">
        <f>D7/F7</f>
        <v>#DIV/0!</v>
      </c>
      <c r="AB7" s="630" t="e">
        <f>D7/H7</f>
        <v>#DIV/0!</v>
      </c>
      <c r="AC7" s="630" t="e">
        <f>D7/J7</f>
        <v>#DIV/0!</v>
      </c>
    </row>
    <row r="8" spans="1:29" s="25" customFormat="1" ht="1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52" t="s">
        <v>2022</v>
      </c>
      <c r="Q8" s="3653"/>
      <c r="R8" s="627" t="s">
        <v>25</v>
      </c>
      <c r="S8" s="628">
        <f t="shared" si="0"/>
        <v>0</v>
      </c>
      <c r="T8" s="627" t="s">
        <v>25</v>
      </c>
      <c r="U8" s="628">
        <f t="shared" si="1"/>
        <v>0</v>
      </c>
      <c r="V8" s="627" t="s">
        <v>25</v>
      </c>
      <c r="W8" s="628">
        <f t="shared" si="2"/>
        <v>0</v>
      </c>
      <c r="X8" s="629"/>
      <c r="Y8" s="3652" t="s">
        <v>2022</v>
      </c>
      <c r="Z8" s="3653"/>
      <c r="AA8" s="630" t="e">
        <f t="shared" ref="AA8:AA40" si="3">D8/F8</f>
        <v>#DIV/0!</v>
      </c>
      <c r="AB8" s="630" t="e">
        <f t="shared" ref="AB8:AB40" si="4">D8/H8</f>
        <v>#DIV/0!</v>
      </c>
      <c r="AC8" s="630" t="e">
        <f t="shared" ref="AC8:AC40" si="5">D8/J8</f>
        <v>#DIV/0!</v>
      </c>
    </row>
    <row r="9" spans="1:29" s="25" customFormat="1" ht="14.4">
      <c r="A9" s="308" t="s">
        <v>2023</v>
      </c>
      <c r="B9" s="24" t="s">
        <v>2024</v>
      </c>
      <c r="C9" s="1511" t="s">
        <v>2249</v>
      </c>
      <c r="D9" s="28">
        <v>100</v>
      </c>
      <c r="E9" s="1511"/>
      <c r="F9" s="28">
        <f>SUMIF(69:69,E9,70:70)-SUMIF(69:69,C9,70:70)+100</f>
        <v>100</v>
      </c>
      <c r="G9" s="1511"/>
      <c r="H9" s="28">
        <f>SUMIF(69:69,G9,70:70)-SUMIF(69:69,C9,70:70)+100</f>
        <v>100</v>
      </c>
      <c r="I9" s="1511"/>
      <c r="J9" s="28">
        <f>SUMIF(69:69,I9,70:70)-SUMIF(69:69,C9,70:70)+100</f>
        <v>100</v>
      </c>
      <c r="K9" s="497"/>
      <c r="L9" s="2941"/>
      <c r="M9" s="2942"/>
      <c r="N9" s="2942"/>
      <c r="O9" s="2943"/>
      <c r="P9" s="3649" t="s">
        <v>2025</v>
      </c>
      <c r="Q9" s="1255" t="str">
        <f t="shared" ref="Q9:Q15" si="6">B9</f>
        <v>用途</v>
      </c>
      <c r="R9" s="627" t="s">
        <v>25</v>
      </c>
      <c r="S9" s="628">
        <f t="shared" si="0"/>
        <v>100</v>
      </c>
      <c r="T9" s="627" t="s">
        <v>25</v>
      </c>
      <c r="U9" s="628">
        <f t="shared" si="1"/>
        <v>100</v>
      </c>
      <c r="V9" s="627" t="s">
        <v>25</v>
      </c>
      <c r="W9" s="628">
        <f t="shared" si="2"/>
        <v>100</v>
      </c>
      <c r="X9" s="629"/>
      <c r="Y9" s="3679" t="s">
        <v>2026</v>
      </c>
      <c r="Z9" s="19" t="str">
        <f t="shared" ref="Z9:Z15" si="7">Q9</f>
        <v>用途</v>
      </c>
      <c r="AA9" s="630">
        <f t="shared" si="3"/>
        <v>1</v>
      </c>
      <c r="AB9" s="630">
        <f t="shared" si="4"/>
        <v>1</v>
      </c>
      <c r="AC9" s="630">
        <f t="shared" si="5"/>
        <v>1</v>
      </c>
    </row>
    <row r="10" spans="1:29" s="317" customFormat="1" ht="28.8">
      <c r="A10" s="312"/>
      <c r="B10" s="313" t="s">
        <v>2027</v>
      </c>
      <c r="C10" s="322"/>
      <c r="D10" s="29">
        <v>100</v>
      </c>
      <c r="E10" s="322"/>
      <c r="F10" s="29">
        <f>ROUND(100/'数据-取费表'!B14,0)</f>
        <v>113</v>
      </c>
      <c r="G10" s="322"/>
      <c r="H10" s="29">
        <f>ROUND(100/'数据-取费表'!B14,0)</f>
        <v>113</v>
      </c>
      <c r="I10" s="322"/>
      <c r="J10" s="29">
        <f>ROUND(100/'数据-取费表'!B14,0)</f>
        <v>113</v>
      </c>
      <c r="K10" s="553"/>
      <c r="L10" s="2944"/>
      <c r="M10" s="2945"/>
      <c r="N10" s="2945"/>
      <c r="O10" s="2946"/>
      <c r="P10" s="3649"/>
      <c r="Q10" s="1255" t="str">
        <f t="shared" si="6"/>
        <v>土地使用年限（年）</v>
      </c>
      <c r="R10" s="627" t="s">
        <v>25</v>
      </c>
      <c r="S10" s="628">
        <f t="shared" si="0"/>
        <v>113</v>
      </c>
      <c r="T10" s="627" t="s">
        <v>25</v>
      </c>
      <c r="U10" s="628">
        <f t="shared" si="1"/>
        <v>113</v>
      </c>
      <c r="V10" s="627" t="s">
        <v>25</v>
      </c>
      <c r="W10" s="628">
        <f t="shared" si="2"/>
        <v>113</v>
      </c>
      <c r="X10" s="629"/>
      <c r="Y10" s="3679"/>
      <c r="Z10" s="19" t="str">
        <f t="shared" si="7"/>
        <v>土地使用年限（年）</v>
      </c>
      <c r="AA10" s="630">
        <f t="shared" si="3"/>
        <v>0.88495575221238942</v>
      </c>
      <c r="AB10" s="630">
        <f t="shared" si="4"/>
        <v>0.88495575221238942</v>
      </c>
      <c r="AC10" s="630">
        <f t="shared" si="5"/>
        <v>0.88495575221238942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88">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88">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6" thickBot="1">
      <c r="A14" s="326"/>
      <c r="B14" s="1489">
        <v>111</v>
      </c>
      <c r="C14" s="1490">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69">
      <c r="A15" s="329" t="s">
        <v>2029</v>
      </c>
      <c r="B15" s="511" t="s">
        <v>2250</v>
      </c>
      <c r="C15" s="1506"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77" t="s">
        <v>2030</v>
      </c>
      <c r="Q15" s="1262" t="str">
        <f t="shared" si="6"/>
        <v>产业集聚程度</v>
      </c>
      <c r="R15" s="631" t="s">
        <v>25</v>
      </c>
      <c r="S15" s="632">
        <f t="shared" si="0"/>
        <v>100</v>
      </c>
      <c r="T15" s="631" t="s">
        <v>25</v>
      </c>
      <c r="U15" s="632">
        <f t="shared" si="1"/>
        <v>100</v>
      </c>
      <c r="V15" s="631" t="s">
        <v>25</v>
      </c>
      <c r="W15" s="632">
        <f t="shared" si="2"/>
        <v>100</v>
      </c>
      <c r="X15" s="1263"/>
      <c r="Y15" s="3677"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78"/>
      <c r="Q16" s="1262"/>
      <c r="R16" s="631"/>
      <c r="S16" s="632"/>
      <c r="T16" s="631"/>
      <c r="U16" s="632"/>
      <c r="V16" s="631"/>
      <c r="W16" s="632"/>
      <c r="X16" s="1263"/>
      <c r="Y16" s="3678"/>
      <c r="Z16" s="1264"/>
      <c r="AA16" s="1265">
        <v>1</v>
      </c>
      <c r="AB16" s="1265">
        <v>1</v>
      </c>
      <c r="AC16" s="1265">
        <v>1</v>
      </c>
    </row>
    <row r="17" spans="1:29" ht="96.6">
      <c r="A17" s="318"/>
      <c r="B17" s="513" t="s">
        <v>2167</v>
      </c>
      <c r="C17" s="1492"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1"/>
      <c r="J18" s="336"/>
      <c r="K18" s="553"/>
      <c r="L18" s="2949"/>
      <c r="M18" s="2940"/>
      <c r="N18" s="2940"/>
      <c r="O18" s="2948"/>
      <c r="P18" s="3678"/>
      <c r="Q18" s="1262"/>
      <c r="R18" s="631"/>
      <c r="S18" s="632"/>
      <c r="T18" s="631"/>
      <c r="U18" s="632"/>
      <c r="V18" s="631"/>
      <c r="W18" s="632"/>
      <c r="X18" s="1263"/>
      <c r="Y18" s="3678"/>
      <c r="Z18" s="1264"/>
      <c r="AA18" s="1265">
        <v>1</v>
      </c>
      <c r="AB18" s="1265">
        <v>1</v>
      </c>
      <c r="AC18" s="1265">
        <v>1</v>
      </c>
    </row>
    <row r="19" spans="1:29" ht="28.8">
      <c r="A19" s="318"/>
      <c r="B19" s="513" t="s">
        <v>2207</v>
      </c>
      <c r="C19" s="1492">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78"/>
      <c r="Q19" s="1262" t="str">
        <f t="shared" ref="Q19:Q33" si="8">B19</f>
        <v>区域土地利用方向</v>
      </c>
      <c r="R19" s="631" t="s">
        <v>25</v>
      </c>
      <c r="S19" s="632">
        <f>F19</f>
        <v>100</v>
      </c>
      <c r="T19" s="631" t="s">
        <v>25</v>
      </c>
      <c r="U19" s="632">
        <f>H19</f>
        <v>100</v>
      </c>
      <c r="V19" s="631" t="s">
        <v>25</v>
      </c>
      <c r="W19" s="632">
        <f>J19</f>
        <v>100</v>
      </c>
      <c r="X19" s="1263"/>
      <c r="Y19" s="367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78"/>
      <c r="Q20" s="1262"/>
      <c r="R20" s="631"/>
      <c r="S20" s="632"/>
      <c r="T20" s="631"/>
      <c r="U20" s="632"/>
      <c r="V20" s="631"/>
      <c r="W20" s="632"/>
      <c r="X20" s="1263"/>
      <c r="Y20" s="3678"/>
      <c r="Z20" s="1264"/>
      <c r="AA20" s="1265"/>
      <c r="AB20" s="1265"/>
      <c r="AC20" s="1265"/>
    </row>
    <row r="21" spans="1:29" ht="82.8">
      <c r="A21" s="297"/>
      <c r="B21" s="513" t="s">
        <v>2251</v>
      </c>
      <c r="C21" s="1492"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78"/>
      <c r="Q21" s="1262" t="str">
        <f t="shared" si="8"/>
        <v>环境状况</v>
      </c>
      <c r="R21" s="631" t="s">
        <v>25</v>
      </c>
      <c r="S21" s="632">
        <f>F21</f>
        <v>100</v>
      </c>
      <c r="T21" s="631" t="s">
        <v>25</v>
      </c>
      <c r="U21" s="632">
        <f>H21</f>
        <v>100</v>
      </c>
      <c r="V21" s="631" t="s">
        <v>25</v>
      </c>
      <c r="W21" s="632">
        <f>J21</f>
        <v>100</v>
      </c>
      <c r="X21" s="1263"/>
      <c r="Y21" s="367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78"/>
      <c r="Q22" s="1262"/>
      <c r="R22" s="631"/>
      <c r="S22" s="632"/>
      <c r="T22" s="631"/>
      <c r="U22" s="632"/>
      <c r="V22" s="631"/>
      <c r="W22" s="632"/>
      <c r="X22" s="1263"/>
      <c r="Y22" s="3678"/>
      <c r="Z22" s="1264"/>
      <c r="AA22" s="1265">
        <v>1</v>
      </c>
      <c r="AB22" s="1265">
        <v>1</v>
      </c>
      <c r="AC22" s="1265">
        <v>1</v>
      </c>
    </row>
    <row r="23" spans="1:29" s="25" customFormat="1" ht="41.4">
      <c r="A23" s="531"/>
      <c r="B23" s="513" t="s">
        <v>2116</v>
      </c>
      <c r="C23" s="1492"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78"/>
      <c r="Q23" s="1255" t="str">
        <f t="shared" si="8"/>
        <v>公共配套设施</v>
      </c>
      <c r="R23" s="627" t="s">
        <v>25</v>
      </c>
      <c r="S23" s="628">
        <f>F23</f>
        <v>100</v>
      </c>
      <c r="T23" s="627" t="s">
        <v>25</v>
      </c>
      <c r="U23" s="628">
        <f>H23</f>
        <v>100</v>
      </c>
      <c r="V23" s="627" t="s">
        <v>25</v>
      </c>
      <c r="W23" s="628">
        <f>J23</f>
        <v>100</v>
      </c>
      <c r="X23" s="629"/>
      <c r="Y23" s="3678"/>
      <c r="Z23" s="19" t="str">
        <f>Q23</f>
        <v>公共配套设施</v>
      </c>
      <c r="AA23" s="1265">
        <f>D23/F23</f>
        <v>1</v>
      </c>
      <c r="AB23" s="1265">
        <f>D23/H23</f>
        <v>1</v>
      </c>
      <c r="AC23" s="1265">
        <f>D23/J23</f>
        <v>1</v>
      </c>
    </row>
    <row r="24" spans="1:29" s="25" customFormat="1" ht="15">
      <c r="A24" s="531"/>
      <c r="B24" s="514"/>
      <c r="C24" s="1521"/>
      <c r="D24" s="336"/>
      <c r="E24" s="1064"/>
      <c r="F24" s="336"/>
      <c r="G24" s="1064"/>
      <c r="H24" s="336"/>
      <c r="I24" s="335"/>
      <c r="J24" s="336"/>
      <c r="K24" s="553"/>
      <c r="L24" s="2941"/>
      <c r="M24" s="2942"/>
      <c r="N24" s="2942"/>
      <c r="O24" s="2943"/>
      <c r="P24" s="3678"/>
      <c r="Q24" s="1255"/>
      <c r="R24" s="627"/>
      <c r="S24" s="628"/>
      <c r="T24" s="627"/>
      <c r="U24" s="628"/>
      <c r="V24" s="627"/>
      <c r="W24" s="628"/>
      <c r="X24" s="629"/>
      <c r="Y24" s="3678"/>
      <c r="Z24" s="19"/>
      <c r="AA24" s="630">
        <v>1</v>
      </c>
      <c r="AB24" s="630">
        <v>1</v>
      </c>
      <c r="AC24" s="630">
        <v>1</v>
      </c>
    </row>
    <row r="25" spans="1:29" s="25" customFormat="1" ht="41.4">
      <c r="A25" s="531"/>
      <c r="B25" s="515" t="s">
        <v>2117</v>
      </c>
      <c r="C25" s="1492"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78"/>
      <c r="Q25" s="1255" t="str">
        <f t="shared" ref="Q25" si="9">B25</f>
        <v>基础设施水平</v>
      </c>
      <c r="R25" s="627" t="s">
        <v>25</v>
      </c>
      <c r="S25" s="628">
        <f>F25</f>
        <v>100</v>
      </c>
      <c r="T25" s="627" t="s">
        <v>25</v>
      </c>
      <c r="U25" s="628">
        <f>H25</f>
        <v>100</v>
      </c>
      <c r="V25" s="627" t="s">
        <v>25</v>
      </c>
      <c r="W25" s="628">
        <f>J25</f>
        <v>100</v>
      </c>
      <c r="X25" s="629"/>
      <c r="Y25" s="3678"/>
      <c r="Z25" s="19" t="str">
        <f>Q25</f>
        <v>基础设施水平</v>
      </c>
      <c r="AA25" s="1265">
        <f>D25/F25</f>
        <v>1</v>
      </c>
      <c r="AB25" s="1265">
        <f>D25/H25</f>
        <v>1</v>
      </c>
      <c r="AC25" s="1265">
        <f>D25/J25</f>
        <v>1</v>
      </c>
    </row>
    <row r="26" spans="1:29" s="25" customFormat="1" ht="15">
      <c r="A26" s="531"/>
      <c r="B26" s="514"/>
      <c r="C26" s="1521"/>
      <c r="D26" s="336"/>
      <c r="E26" s="1512"/>
      <c r="F26" s="336"/>
      <c r="G26" s="1512"/>
      <c r="H26" s="336"/>
      <c r="I26" s="1512"/>
      <c r="J26" s="336"/>
      <c r="K26" s="553"/>
      <c r="L26" s="2941"/>
      <c r="M26" s="2942"/>
      <c r="N26" s="2942"/>
      <c r="O26" s="2943"/>
      <c r="P26" s="3678"/>
      <c r="Q26" s="1255"/>
      <c r="R26" s="627"/>
      <c r="S26" s="628"/>
      <c r="T26" s="627"/>
      <c r="U26" s="628"/>
      <c r="V26" s="627"/>
      <c r="W26" s="628"/>
      <c r="X26" s="629"/>
      <c r="Y26" s="3678"/>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7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8"/>
      <c r="Z27" s="1264" t="str">
        <f t="shared" ref="Z27:Z40" si="13">Q27</f>
        <v>临街状况</v>
      </c>
      <c r="AA27" s="1265">
        <f t="shared" si="3"/>
        <v>1</v>
      </c>
      <c r="AB27" s="1265">
        <f t="shared" si="4"/>
        <v>1</v>
      </c>
      <c r="AC27" s="1265">
        <f t="shared" si="5"/>
        <v>1</v>
      </c>
    </row>
    <row r="28" spans="1:29" ht="28.8">
      <c r="A28" s="318"/>
      <c r="B28" s="515" t="s">
        <v>2148</v>
      </c>
      <c r="C28" s="1522">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78"/>
      <c r="Q28" s="1262" t="str">
        <f t="shared" si="8"/>
        <v>毗邻道路的类型与等级</v>
      </c>
      <c r="R28" s="631" t="s">
        <v>25</v>
      </c>
      <c r="S28" s="632">
        <f t="shared" si="10"/>
        <v>100</v>
      </c>
      <c r="T28" s="631" t="s">
        <v>25</v>
      </c>
      <c r="U28" s="632">
        <f t="shared" si="11"/>
        <v>100</v>
      </c>
      <c r="V28" s="631" t="s">
        <v>25</v>
      </c>
      <c r="W28" s="632">
        <f t="shared" si="12"/>
        <v>100</v>
      </c>
      <c r="X28" s="1263"/>
      <c r="Y28" s="367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78"/>
      <c r="Q29" s="1262"/>
      <c r="R29" s="631"/>
      <c r="S29" s="632"/>
      <c r="T29" s="631"/>
      <c r="U29" s="632"/>
      <c r="V29" s="631"/>
      <c r="W29" s="632"/>
      <c r="X29" s="1263"/>
      <c r="Y29" s="3678"/>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78"/>
      <c r="Q30" s="1262" t="str">
        <f t="shared" si="8"/>
        <v>土地级别</v>
      </c>
      <c r="R30" s="631" t="s">
        <v>25</v>
      </c>
      <c r="S30" s="632">
        <f t="shared" si="10"/>
        <v>100</v>
      </c>
      <c r="T30" s="631" t="s">
        <v>25</v>
      </c>
      <c r="U30" s="632">
        <f t="shared" si="11"/>
        <v>100</v>
      </c>
      <c r="V30" s="631" t="s">
        <v>25</v>
      </c>
      <c r="W30" s="632">
        <f t="shared" si="12"/>
        <v>100</v>
      </c>
      <c r="X30" s="1263"/>
      <c r="Y30" s="3678"/>
      <c r="Z30" s="1264" t="str">
        <f t="shared" si="13"/>
        <v>土地级别</v>
      </c>
      <c r="AA30" s="1265">
        <f t="shared" si="3"/>
        <v>1</v>
      </c>
      <c r="AB30" s="1265">
        <f t="shared" si="4"/>
        <v>1</v>
      </c>
      <c r="AC30" s="1265">
        <f t="shared" si="5"/>
        <v>1</v>
      </c>
    </row>
    <row r="31" spans="1:29" ht="15">
      <c r="A31" s="297"/>
      <c r="B31" s="1501">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78"/>
      <c r="Q31" s="1262">
        <f t="shared" si="8"/>
        <v>111</v>
      </c>
      <c r="R31" s="631" t="s">
        <v>25</v>
      </c>
      <c r="S31" s="632">
        <f t="shared" si="10"/>
        <v>100</v>
      </c>
      <c r="T31" s="631" t="s">
        <v>25</v>
      </c>
      <c r="U31" s="632">
        <f t="shared" si="11"/>
        <v>100</v>
      </c>
      <c r="V31" s="631" t="s">
        <v>25</v>
      </c>
      <c r="W31" s="632">
        <f t="shared" si="12"/>
        <v>100</v>
      </c>
      <c r="X31" s="1263"/>
      <c r="Y31" s="3678"/>
      <c r="Z31" s="1264">
        <f t="shared" si="13"/>
        <v>111</v>
      </c>
      <c r="AA31" s="1265">
        <f t="shared" si="3"/>
        <v>1</v>
      </c>
      <c r="AB31" s="1265">
        <f t="shared" si="4"/>
        <v>1</v>
      </c>
      <c r="AC31" s="1265">
        <f t="shared" si="5"/>
        <v>1</v>
      </c>
    </row>
    <row r="32" spans="1:29" ht="15">
      <c r="A32" s="556"/>
      <c r="B32" s="1523">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80" t="s">
        <v>2036</v>
      </c>
      <c r="Q32" s="1262">
        <f t="shared" si="8"/>
        <v>111</v>
      </c>
      <c r="R32" s="631" t="s">
        <v>25</v>
      </c>
      <c r="S32" s="632">
        <f t="shared" si="10"/>
        <v>100</v>
      </c>
      <c r="T32" s="631" t="s">
        <v>25</v>
      </c>
      <c r="U32" s="632">
        <f t="shared" si="11"/>
        <v>100</v>
      </c>
      <c r="V32" s="631" t="s">
        <v>25</v>
      </c>
      <c r="W32" s="632">
        <f t="shared" si="12"/>
        <v>100</v>
      </c>
      <c r="X32" s="1263"/>
      <c r="Y32" s="3681" t="s">
        <v>2036</v>
      </c>
      <c r="Z32" s="1264">
        <f t="shared" si="13"/>
        <v>111</v>
      </c>
      <c r="AA32" s="1265">
        <f t="shared" si="3"/>
        <v>1</v>
      </c>
      <c r="AB32" s="1265">
        <f t="shared" si="4"/>
        <v>1</v>
      </c>
      <c r="AC32" s="1265">
        <f t="shared" si="5"/>
        <v>1</v>
      </c>
    </row>
    <row r="33" spans="1:29" s="359" customFormat="1" ht="15.6" thickBot="1">
      <c r="A33" s="557"/>
      <c r="B33" s="1524">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81"/>
      <c r="Q33" s="1262">
        <f t="shared" si="8"/>
        <v>111</v>
      </c>
      <c r="R33" s="634" t="s">
        <v>25</v>
      </c>
      <c r="S33" s="635">
        <f t="shared" si="10"/>
        <v>100</v>
      </c>
      <c r="T33" s="634" t="s">
        <v>25</v>
      </c>
      <c r="U33" s="635">
        <f t="shared" si="11"/>
        <v>100</v>
      </c>
      <c r="V33" s="634" t="s">
        <v>25</v>
      </c>
      <c r="W33" s="635">
        <f t="shared" si="12"/>
        <v>100</v>
      </c>
      <c r="X33" s="636"/>
      <c r="Y33" s="3681"/>
      <c r="Z33" s="637">
        <f t="shared" si="13"/>
        <v>111</v>
      </c>
      <c r="AA33" s="1265">
        <f t="shared" si="3"/>
        <v>1</v>
      </c>
      <c r="AB33" s="1265">
        <f t="shared" si="4"/>
        <v>1</v>
      </c>
      <c r="AC33" s="1265">
        <f t="shared" si="5"/>
        <v>1</v>
      </c>
    </row>
    <row r="34" spans="1:29" ht="15.6">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81"/>
      <c r="Q34" s="1262" t="str">
        <f>B34</f>
        <v>宗地面积</v>
      </c>
      <c r="R34" s="631" t="s">
        <v>25</v>
      </c>
      <c r="S34" s="632" t="e">
        <f t="shared" si="10"/>
        <v>#N/A</v>
      </c>
      <c r="T34" s="631" t="s">
        <v>25</v>
      </c>
      <c r="U34" s="632" t="e">
        <f t="shared" si="11"/>
        <v>#N/A</v>
      </c>
      <c r="V34" s="631" t="s">
        <v>25</v>
      </c>
      <c r="W34" s="632" t="e">
        <f t="shared" si="12"/>
        <v>#N/A</v>
      </c>
      <c r="X34" s="1263"/>
      <c r="Y34" s="3681"/>
      <c r="Z34" s="1264" t="str">
        <f t="shared" si="13"/>
        <v>宗地面积</v>
      </c>
      <c r="AA34" s="1265" t="e">
        <f t="shared" si="3"/>
        <v>#N/A</v>
      </c>
      <c r="AB34" s="1265" t="e">
        <f t="shared" si="4"/>
        <v>#N/A</v>
      </c>
      <c r="AC34" s="1265" t="e">
        <f t="shared" si="5"/>
        <v>#N/A</v>
      </c>
    </row>
    <row r="35" spans="1:29" ht="15">
      <c r="A35" s="360"/>
      <c r="B35" s="313" t="s">
        <v>2211</v>
      </c>
      <c r="C35" s="1495"/>
      <c r="D35" s="325">
        <v>100</v>
      </c>
      <c r="E35" s="1495"/>
      <c r="F35" s="325">
        <f>SUMIF(109:109,E35,110:110)-SUMIF(109:109,C35,110:110)+100</f>
        <v>100</v>
      </c>
      <c r="G35" s="1495"/>
      <c r="H35" s="325">
        <f>SUMIF(109:109,G35,110:110)-SUMIF(109:109,C35,110:110)+100</f>
        <v>100</v>
      </c>
      <c r="I35" s="1495"/>
      <c r="J35" s="325">
        <f>SUMIF(109:109,I35,110:110)-SUMIF(109:109,C35,110:110)+100</f>
        <v>100</v>
      </c>
      <c r="K35" s="498"/>
      <c r="L35" s="2949"/>
      <c r="M35" s="2940"/>
      <c r="N35" s="2940"/>
      <c r="O35" s="2948"/>
      <c r="P35" s="3681"/>
      <c r="Q35" s="1262" t="str">
        <f t="shared" ref="Q35:Q40" si="14">B35</f>
        <v>宗地形状</v>
      </c>
      <c r="R35" s="631" t="s">
        <v>25</v>
      </c>
      <c r="S35" s="632">
        <f t="shared" si="10"/>
        <v>100</v>
      </c>
      <c r="T35" s="631" t="s">
        <v>25</v>
      </c>
      <c r="U35" s="632">
        <f t="shared" si="11"/>
        <v>100</v>
      </c>
      <c r="V35" s="631" t="s">
        <v>25</v>
      </c>
      <c r="W35" s="632">
        <f t="shared" si="12"/>
        <v>100</v>
      </c>
      <c r="X35" s="1263"/>
      <c r="Y35" s="3681"/>
      <c r="Z35" s="1264" t="str">
        <f t="shared" si="13"/>
        <v>宗地形状</v>
      </c>
      <c r="AA35" s="1265">
        <f t="shared" si="3"/>
        <v>1</v>
      </c>
      <c r="AB35" s="1265">
        <f t="shared" si="4"/>
        <v>1</v>
      </c>
      <c r="AC35" s="1265">
        <f t="shared" si="5"/>
        <v>1</v>
      </c>
    </row>
    <row r="36" spans="1:29" s="25" customFormat="1" ht="15">
      <c r="A36" s="361"/>
      <c r="B36" s="313" t="s">
        <v>2213</v>
      </c>
      <c r="C36" s="1513"/>
      <c r="D36" s="29">
        <v>100</v>
      </c>
      <c r="E36" s="1513"/>
      <c r="F36" s="325">
        <f>SUMIF(111:111,E36,112:112)-SUMIF(111:111,C36,112:112)+100</f>
        <v>100</v>
      </c>
      <c r="G36" s="1513"/>
      <c r="H36" s="325">
        <f>SUMIF(111:111,G36,112:112)-SUMIF(111:111,C36,112:112)+100</f>
        <v>100</v>
      </c>
      <c r="I36" s="1513"/>
      <c r="J36" s="325">
        <f>SUMIF(111:111,I36,112:112)-SUMIF(111:111,C36,112:112)+100</f>
        <v>100</v>
      </c>
      <c r="K36" s="498"/>
      <c r="L36" s="2941"/>
      <c r="M36" s="2942"/>
      <c r="N36" s="2942"/>
      <c r="O36" s="2943"/>
      <c r="P36" s="3681"/>
      <c r="Q36" s="1262" t="str">
        <f t="shared" si="14"/>
        <v>宗地开发程度</v>
      </c>
      <c r="R36" s="627" t="s">
        <v>25</v>
      </c>
      <c r="S36" s="628">
        <f t="shared" si="10"/>
        <v>100</v>
      </c>
      <c r="T36" s="627" t="s">
        <v>25</v>
      </c>
      <c r="U36" s="628">
        <f t="shared" si="11"/>
        <v>100</v>
      </c>
      <c r="V36" s="627" t="s">
        <v>25</v>
      </c>
      <c r="W36" s="628">
        <f t="shared" si="12"/>
        <v>100</v>
      </c>
      <c r="X36" s="629"/>
      <c r="Y36" s="3681"/>
      <c r="Z36" s="19" t="str">
        <f t="shared" si="13"/>
        <v>宗地开发程度</v>
      </c>
      <c r="AA36" s="630">
        <f t="shared" si="3"/>
        <v>1</v>
      </c>
      <c r="AB36" s="630">
        <f t="shared" si="4"/>
        <v>1</v>
      </c>
      <c r="AC36" s="630">
        <f t="shared" si="5"/>
        <v>1</v>
      </c>
    </row>
    <row r="37" spans="1:29" ht="15">
      <c r="A37" s="360"/>
      <c r="B37" s="313" t="s">
        <v>2214</v>
      </c>
      <c r="C37" s="1495"/>
      <c r="D37" s="325">
        <v>100</v>
      </c>
      <c r="E37" s="1495"/>
      <c r="F37" s="325">
        <f>SUMIF(113:113,E37,114:114)-SUMIF(113:113,C37,114:114)+100</f>
        <v>100</v>
      </c>
      <c r="G37" s="1495"/>
      <c r="H37" s="325">
        <f>SUMIF(113:113,G37,114:114)-SUMIF(113:113,C37,114:114)+100</f>
        <v>100</v>
      </c>
      <c r="I37" s="1495"/>
      <c r="J37" s="325">
        <f>SUMIF(113:113,I37,114:114)-SUMIF(113:113,C37,114:114)+100</f>
        <v>100</v>
      </c>
      <c r="K37" s="498"/>
      <c r="L37" s="2949"/>
      <c r="M37" s="2940"/>
      <c r="N37" s="2940"/>
      <c r="O37" s="2948"/>
      <c r="P37" s="3681" t="s">
        <v>2036</v>
      </c>
      <c r="Q37" s="1262" t="str">
        <f t="shared" si="14"/>
        <v>工程地质条件</v>
      </c>
      <c r="R37" s="631" t="s">
        <v>25</v>
      </c>
      <c r="S37" s="632">
        <f t="shared" si="10"/>
        <v>100</v>
      </c>
      <c r="T37" s="631" t="s">
        <v>25</v>
      </c>
      <c r="U37" s="632">
        <f t="shared" si="11"/>
        <v>100</v>
      </c>
      <c r="V37" s="631" t="s">
        <v>25</v>
      </c>
      <c r="W37" s="632">
        <f t="shared" si="12"/>
        <v>100</v>
      </c>
      <c r="X37" s="1263"/>
      <c r="Y37" s="3681" t="s">
        <v>2036</v>
      </c>
      <c r="Z37" s="1264" t="str">
        <f t="shared" si="13"/>
        <v>工程地质条件</v>
      </c>
      <c r="AA37" s="1265">
        <f t="shared" si="3"/>
        <v>1</v>
      </c>
      <c r="AB37" s="1265">
        <f t="shared" si="4"/>
        <v>1</v>
      </c>
      <c r="AC37" s="1265">
        <f t="shared" si="5"/>
        <v>1</v>
      </c>
    </row>
    <row r="38" spans="1:29" ht="15">
      <c r="A38" s="360"/>
      <c r="B38" s="1514">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81"/>
      <c r="Q38" s="1262">
        <f t="shared" si="14"/>
        <v>111</v>
      </c>
      <c r="R38" s="631" t="s">
        <v>25</v>
      </c>
      <c r="S38" s="632">
        <f t="shared" si="10"/>
        <v>100</v>
      </c>
      <c r="T38" s="631" t="s">
        <v>25</v>
      </c>
      <c r="U38" s="632">
        <f t="shared" si="11"/>
        <v>100</v>
      </c>
      <c r="V38" s="631" t="s">
        <v>25</v>
      </c>
      <c r="W38" s="632">
        <f t="shared" si="12"/>
        <v>100</v>
      </c>
      <c r="X38" s="1263"/>
      <c r="Y38" s="3681"/>
      <c r="Z38" s="1264">
        <f t="shared" si="13"/>
        <v>111</v>
      </c>
      <c r="AA38" s="1265">
        <f t="shared" si="3"/>
        <v>1</v>
      </c>
      <c r="AB38" s="1265">
        <f t="shared" si="4"/>
        <v>1</v>
      </c>
      <c r="AC38" s="1265">
        <f t="shared" si="5"/>
        <v>1</v>
      </c>
    </row>
    <row r="39" spans="1:29" ht="15">
      <c r="A39" s="360"/>
      <c r="B39" s="1514">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81"/>
      <c r="Q39" s="1262">
        <f t="shared" si="14"/>
        <v>111</v>
      </c>
      <c r="R39" s="631" t="s">
        <v>25</v>
      </c>
      <c r="S39" s="632">
        <f t="shared" si="10"/>
        <v>100</v>
      </c>
      <c r="T39" s="631" t="s">
        <v>25</v>
      </c>
      <c r="U39" s="632">
        <f t="shared" si="11"/>
        <v>100</v>
      </c>
      <c r="V39" s="631" t="s">
        <v>25</v>
      </c>
      <c r="W39" s="632">
        <f t="shared" si="12"/>
        <v>100</v>
      </c>
      <c r="X39" s="1263"/>
      <c r="Y39" s="3681"/>
      <c r="Z39" s="1264">
        <f t="shared" si="13"/>
        <v>111</v>
      </c>
      <c r="AA39" s="1265">
        <f t="shared" si="3"/>
        <v>1</v>
      </c>
      <c r="AB39" s="1265">
        <f t="shared" si="4"/>
        <v>1</v>
      </c>
      <c r="AC39" s="1265">
        <f t="shared" si="5"/>
        <v>1</v>
      </c>
    </row>
    <row r="40" spans="1:29" s="359" customFormat="1" ht="15.6" thickBot="1">
      <c r="A40" s="356"/>
      <c r="B40" s="1514">
        <v>111</v>
      </c>
      <c r="C40" s="1515"/>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81"/>
      <c r="Q40" s="1262">
        <f t="shared" si="14"/>
        <v>111</v>
      </c>
      <c r="R40" s="634" t="s">
        <v>25</v>
      </c>
      <c r="S40" s="635">
        <f t="shared" si="10"/>
        <v>100</v>
      </c>
      <c r="T40" s="634" t="s">
        <v>25</v>
      </c>
      <c r="U40" s="635">
        <f t="shared" si="11"/>
        <v>100</v>
      </c>
      <c r="V40" s="634" t="s">
        <v>25</v>
      </c>
      <c r="W40" s="635">
        <f t="shared" si="12"/>
        <v>100</v>
      </c>
      <c r="X40" s="636"/>
      <c r="Y40" s="3681"/>
      <c r="Z40" s="637">
        <f t="shared" si="13"/>
        <v>111</v>
      </c>
      <c r="AA40" s="1265">
        <f t="shared" si="3"/>
        <v>1</v>
      </c>
      <c r="AB40" s="1265">
        <f t="shared" si="4"/>
        <v>1</v>
      </c>
      <c r="AC40" s="1265">
        <f t="shared" si="5"/>
        <v>1</v>
      </c>
    </row>
    <row r="41" spans="1:29" ht="14.4">
      <c r="A41" s="367" t="s">
        <v>2178</v>
      </c>
      <c r="B41" s="1516" t="s">
        <v>2252</v>
      </c>
      <c r="C41" s="562" t="s">
        <v>1</v>
      </c>
      <c r="D41" s="369"/>
      <c r="E41" s="370"/>
      <c r="F41" s="371"/>
      <c r="G41" s="372"/>
      <c r="H41" s="373"/>
      <c r="I41" s="370"/>
      <c r="J41" s="373"/>
      <c r="K41" s="640"/>
      <c r="L41" s="2951"/>
      <c r="M41" s="2940"/>
      <c r="N41" s="2940"/>
      <c r="P41" s="3649" t="str">
        <f>A41</f>
        <v>成交单价</v>
      </c>
      <c r="Q41" s="3649"/>
      <c r="R41" s="3673">
        <f>E41</f>
        <v>0</v>
      </c>
      <c r="S41" s="3673"/>
      <c r="T41" s="3673">
        <f>G41</f>
        <v>0</v>
      </c>
      <c r="U41" s="3673"/>
      <c r="V41" s="3673">
        <f>I41</f>
        <v>0</v>
      </c>
      <c r="W41" s="3673"/>
      <c r="X41" s="618"/>
      <c r="Y41" s="638"/>
      <c r="Z41" s="618"/>
      <c r="AA41" s="618"/>
      <c r="AB41" s="618"/>
      <c r="AC41" s="618"/>
    </row>
    <row r="42" spans="1:29" ht="15" thickBot="1">
      <c r="A42" s="374" t="s">
        <v>2131</v>
      </c>
      <c r="B42" s="563"/>
      <c r="C42" s="377" t="e">
        <f>R43</f>
        <v>#DIV/0!</v>
      </c>
      <c r="D42" s="1722" t="s">
        <v>2499</v>
      </c>
      <c r="E42" s="377" t="e">
        <f>R42</f>
        <v>#DIV/0!</v>
      </c>
      <c r="F42" s="1724"/>
      <c r="G42" s="376" t="e">
        <f>T42</f>
        <v>#DIV/0!</v>
      </c>
      <c r="H42" s="1724"/>
      <c r="I42" s="377" t="e">
        <f>V42</f>
        <v>#DIV/0!</v>
      </c>
      <c r="J42" s="1724"/>
      <c r="K42" s="2426">
        <f>F42+H42+J42</f>
        <v>0</v>
      </c>
      <c r="L42" s="2951"/>
      <c r="M42" s="2940"/>
      <c r="N42" s="2940"/>
      <c r="P42" s="3649" t="str">
        <f>A42</f>
        <v>比较价值（元/平方米）</v>
      </c>
      <c r="Q42" s="3649"/>
      <c r="R42" s="3690" t="e">
        <f>ROUND(PRODUCT(R41,AA7:AA40),0)</f>
        <v>#DIV/0!</v>
      </c>
      <c r="S42" s="3690"/>
      <c r="T42" s="3690" t="e">
        <f>ROUND(PRODUCT(T41,AB7:AB40),0)</f>
        <v>#DIV/0!</v>
      </c>
      <c r="U42" s="3690"/>
      <c r="V42" s="3690" t="e">
        <f>ROUND(PRODUCT(V41,AC7:AC40),0)</f>
        <v>#DIV/0!</v>
      </c>
      <c r="W42" s="3690"/>
      <c r="X42" s="618"/>
      <c r="Y42" s="618"/>
      <c r="Z42" s="618"/>
      <c r="AA42" s="618"/>
      <c r="AB42" s="618"/>
      <c r="AC42" s="618"/>
    </row>
    <row r="43" spans="1:29" ht="15" thickBot="1">
      <c r="A43" s="378" t="s">
        <v>2154</v>
      </c>
      <c r="B43" s="379"/>
      <c r="C43" s="380" t="e">
        <f>R43</f>
        <v>#DIV/0!</v>
      </c>
      <c r="D43" s="380"/>
      <c r="E43" s="380"/>
      <c r="F43" s="380"/>
      <c r="G43" s="380"/>
      <c r="H43" s="380"/>
      <c r="I43" s="380"/>
      <c r="J43" s="380"/>
      <c r="K43" s="641"/>
      <c r="L43" s="2951"/>
      <c r="M43" s="2940"/>
      <c r="N43" s="2940"/>
      <c r="P43" s="3684" t="str">
        <f>A43</f>
        <v>估价对象XX用房的比较价值（楼面单价，元/平方米）</v>
      </c>
      <c r="Q43" s="3685"/>
      <c r="R43" s="3689" t="e">
        <f>ROUND(IF(D42="简单平均",AVERAGE(R42:W42),R42*F42+T42*H42+V42*J42),0)</f>
        <v>#DIV/0!</v>
      </c>
      <c r="S43" s="3689"/>
      <c r="T43" s="3689"/>
      <c r="U43" s="3689"/>
      <c r="V43" s="3689"/>
      <c r="W43" s="3689"/>
      <c r="X43" s="618"/>
      <c r="Y43" s="618"/>
      <c r="Z43" s="618"/>
      <c r="AA43" s="618"/>
      <c r="AB43" s="618"/>
      <c r="AC43" s="618"/>
    </row>
    <row r="44" spans="1:29">
      <c r="G44" s="2954"/>
      <c r="M44" s="2940"/>
      <c r="N44" s="2940"/>
    </row>
    <row r="45" spans="1:29">
      <c r="M45" s="2940"/>
      <c r="N45" s="2940"/>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4.4" thickBot="1">
      <c r="B49" s="2953"/>
      <c r="C49" s="2956"/>
      <c r="K49" s="2955"/>
      <c r="L49" s="2952"/>
    </row>
    <row r="50" spans="1:17" ht="28.8">
      <c r="A50" s="564" t="s">
        <v>2216</v>
      </c>
      <c r="B50" s="565" t="s">
        <v>2217</v>
      </c>
      <c r="C50" s="1517" t="s">
        <v>2218</v>
      </c>
      <c r="D50" s="1518"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2227</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2228</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2229</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2230</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2231</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2232</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4.4" thickBot="1">
      <c r="A60" s="576" t="s">
        <v>2233</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2136</v>
      </c>
      <c r="B63" s="618"/>
      <c r="C63" s="621"/>
      <c r="D63" s="621"/>
      <c r="E63" s="621"/>
      <c r="F63" s="622"/>
      <c r="G63" s="622"/>
      <c r="H63" s="621"/>
      <c r="I63" s="921"/>
      <c r="J63" s="921"/>
      <c r="K63" s="919"/>
      <c r="L63" s="920"/>
      <c r="M63" s="921"/>
      <c r="N63" s="921"/>
      <c r="O63" s="921"/>
      <c r="P63" s="389"/>
      <c r="Q63" s="390"/>
    </row>
    <row r="64" spans="1:17" s="394" customFormat="1" ht="14.4">
      <c r="A64" s="1520" t="s">
        <v>2234</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5" t="s">
        <v>2254</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2056</v>
      </c>
      <c r="B66" s="401"/>
      <c r="C66" s="402"/>
      <c r="D66" s="403"/>
      <c r="E66" s="403"/>
      <c r="F66" s="403"/>
      <c r="G66" s="403"/>
      <c r="H66" s="403"/>
      <c r="I66" s="403"/>
      <c r="J66" s="403"/>
      <c r="K66" s="403"/>
      <c r="L66" s="403"/>
      <c r="M66" s="404"/>
      <c r="N66" s="403"/>
      <c r="O66" s="1114"/>
      <c r="P66" s="390"/>
      <c r="Q66" s="390"/>
    </row>
    <row r="67" spans="1:17" s="25" customFormat="1" ht="14.4">
      <c r="A67" s="406" t="s">
        <v>2020</v>
      </c>
      <c r="B67" s="396"/>
      <c r="C67" s="407" t="s">
        <v>2021</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2059</v>
      </c>
      <c r="B69" s="413" t="s">
        <v>2024</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2027</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2148</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2209</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6"/>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49" customWidth="1"/>
    <col min="2" max="2" width="19.21875" style="1549" customWidth="1"/>
    <col min="3" max="3" width="12.44140625" style="1549" customWidth="1"/>
    <col min="4" max="4" width="12" style="1549" customWidth="1"/>
    <col min="5" max="5" width="14.6640625" style="1549" customWidth="1"/>
    <col min="6" max="8" width="12" style="1549" customWidth="1"/>
    <col min="9" max="9" width="12.21875" style="1549" bestFit="1" customWidth="1"/>
    <col min="10" max="10" width="12" style="1549" customWidth="1"/>
    <col min="11" max="11" width="9.44140625" style="1548" customWidth="1"/>
    <col min="12" max="12" width="12" style="1549" customWidth="1"/>
    <col min="13" max="13" width="8.44140625" style="1549" customWidth="1"/>
    <col min="14" max="14" width="9.77734375" style="1549" customWidth="1"/>
    <col min="15" max="25" width="12" style="1549" customWidth="1"/>
    <col min="26" max="26" width="9.33203125" style="1549" customWidth="1"/>
    <col min="27" max="32" width="9.33203125" style="2190" customWidth="1"/>
    <col min="33" max="38" width="9.33203125" style="1549" customWidth="1"/>
    <col min="39" max="16384" width="9" style="1549"/>
  </cols>
  <sheetData>
    <row r="1" spans="1:36" ht="31.2">
      <c r="A1" s="2022" t="s">
        <v>2255</v>
      </c>
      <c r="B1" s="2023"/>
      <c r="C1" s="2024" t="s">
        <v>2256</v>
      </c>
      <c r="D1" s="2025">
        <f>SUM(D29:D30,D33:D39)</f>
        <v>262.86</v>
      </c>
      <c r="E1" s="2025"/>
      <c r="F1" s="2025"/>
      <c r="G1" s="2025"/>
      <c r="H1" s="2025"/>
      <c r="I1" s="2025"/>
      <c r="J1" s="2025"/>
      <c r="K1" s="2964"/>
      <c r="L1" s="2026" t="s">
        <v>2257</v>
      </c>
      <c r="M1" s="2027">
        <f>SUMPRODUCT((区片价!B5:B9=I2)*(区片价!C3:F3=E2)*(区片价!C5:F9))</f>
        <v>0</v>
      </c>
      <c r="N1" s="2028">
        <f>SUMPRODUCT((因素修正幅度!B5:B9=I2)*(因素修正幅度!C3:F3=E2)*(因素修正幅度!C5:F9))</f>
        <v>0</v>
      </c>
      <c r="O1" s="2964"/>
      <c r="P1" s="2964"/>
      <c r="Q1" s="2964"/>
      <c r="R1" s="2029" t="s">
        <v>2258</v>
      </c>
      <c r="S1" s="2029" t="s">
        <v>2259</v>
      </c>
      <c r="T1" s="2029" t="s">
        <v>2260</v>
      </c>
      <c r="U1" s="2029" t="s">
        <v>2261</v>
      </c>
      <c r="V1" s="2029" t="s">
        <v>2262</v>
      </c>
      <c r="W1" s="2030"/>
      <c r="X1" s="2030"/>
      <c r="Y1" s="2030"/>
      <c r="Z1" s="2030"/>
      <c r="AA1" s="2030"/>
      <c r="AB1" s="2030"/>
      <c r="AC1" s="2030"/>
      <c r="AD1" s="2031"/>
      <c r="AE1" s="2031"/>
      <c r="AF1" s="2031"/>
      <c r="AG1" s="2031"/>
      <c r="AH1" s="2031"/>
      <c r="AI1" s="2031"/>
      <c r="AJ1" s="2032"/>
    </row>
    <row r="2" spans="1:36" ht="25.2">
      <c r="A2" s="1886" t="s">
        <v>2263</v>
      </c>
      <c r="B2" s="1584" t="e">
        <f>C26</f>
        <v>#REF!</v>
      </c>
      <c r="C2" s="2033" t="s">
        <v>2264</v>
      </c>
      <c r="D2" s="1527" t="s">
        <v>2265</v>
      </c>
      <c r="E2" s="2034" t="s">
        <v>2639</v>
      </c>
      <c r="F2" s="1527" t="s">
        <v>2266</v>
      </c>
      <c r="G2" s="2035" t="str">
        <f>项目基本情况!F9</f>
        <v>六级</v>
      </c>
      <c r="H2" s="1528" t="s">
        <v>2267</v>
      </c>
      <c r="I2" s="2035" t="str">
        <f>项目基本情况!F10</f>
        <v>Ⅵ-BDA核心</v>
      </c>
      <c r="J2" s="2036"/>
      <c r="K2" s="2964"/>
      <c r="L2" s="2037" t="s">
        <v>2268</v>
      </c>
      <c r="M2" s="2038">
        <f>SUMPRODUCT((区片价!B10:B28=I2)*(区片价!C3:F3=E2)*(区片价!C10:F28))</f>
        <v>0</v>
      </c>
      <c r="N2" s="2039">
        <f>SUMPRODUCT((因素修正幅度!B10:B28=I2)*(因素修正幅度!C3:F3=E2)*(因素修正幅度!C10:F28))</f>
        <v>0</v>
      </c>
      <c r="O2" s="2964"/>
      <c r="P2" s="2964"/>
      <c r="Q2" s="2964"/>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6.4">
      <c r="A3" s="1584" t="s">
        <v>2269</v>
      </c>
      <c r="B3" s="1584" t="e">
        <f>ROUND(B2/D1,0)</f>
        <v>#REF!</v>
      </c>
      <c r="C3" s="2033" t="s">
        <v>2270</v>
      </c>
      <c r="D3" s="1527" t="s">
        <v>2271</v>
      </c>
      <c r="E3" s="2034" t="s">
        <v>2641</v>
      </c>
      <c r="F3" s="1529" t="s">
        <v>2272</v>
      </c>
      <c r="G3" s="2041">
        <f>项目基本情况!C15</f>
        <v>0</v>
      </c>
      <c r="H3" s="50" t="s">
        <v>2273</v>
      </c>
      <c r="I3" s="2042"/>
      <c r="J3" s="2036" t="s">
        <v>2274</v>
      </c>
      <c r="K3" s="2964"/>
      <c r="L3" s="2037" t="s">
        <v>2275</v>
      </c>
      <c r="M3" s="2038">
        <f>SUMPRODUCT((区片价!B29:B48=I2)*(区片价!C3:F3=E2)*(区片价!C29:F48))</f>
        <v>0</v>
      </c>
      <c r="N3" s="2039">
        <f>SUMPRODUCT((因素修正幅度!B29:B48=I2)*(因素修正幅度!C3:F3=E2)*(因素修正幅度!C29:F48))</f>
        <v>0</v>
      </c>
      <c r="O3" s="2964"/>
      <c r="P3" s="2964"/>
      <c r="Q3" s="2964"/>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6">
      <c r="A4" s="3708"/>
      <c r="B4" s="3709"/>
      <c r="C4" s="3709"/>
      <c r="D4" s="3710"/>
      <c r="E4" s="3710"/>
      <c r="F4" s="3710"/>
      <c r="G4" s="3710"/>
      <c r="H4" s="3710"/>
      <c r="I4" s="3710"/>
      <c r="J4" s="3711"/>
      <c r="K4" s="2964"/>
      <c r="L4" s="2037" t="s">
        <v>2276</v>
      </c>
      <c r="M4" s="2038">
        <f>SUMPRODUCT((区片价!B49:B75=I2)*(区片价!C3:F3=E2)*(区片价!C49:F75))</f>
        <v>0</v>
      </c>
      <c r="N4" s="2039">
        <f>SUMPRODUCT((因素修正幅度!B49:B75=I2)*(因素修正幅度!C3:F3=E2)*(因素修正幅度!C49:F75))</f>
        <v>0</v>
      </c>
      <c r="O4" s="2964"/>
      <c r="P4" s="2964"/>
      <c r="Q4" s="2964"/>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6" thickBot="1">
      <c r="A5" s="1530" t="s">
        <v>2277</v>
      </c>
      <c r="B5" s="1530" t="s">
        <v>2278</v>
      </c>
      <c r="C5" s="2043">
        <f>ROUND(IF(E2="商业",C6*C7+C16,(IF(E2="住宅",C6*C12+C16,C6+C16))),0)</f>
        <v>0</v>
      </c>
      <c r="D5" s="2044">
        <f>ROUND(C6+C16,0)</f>
        <v>0</v>
      </c>
      <c r="E5" s="2044"/>
      <c r="F5" s="2045"/>
      <c r="G5" s="2046"/>
      <c r="H5" s="2046"/>
      <c r="I5" s="2046"/>
      <c r="J5" s="2003"/>
      <c r="K5" s="1592"/>
      <c r="L5" s="2037" t="s">
        <v>2279</v>
      </c>
      <c r="M5" s="2038">
        <f>SUMPRODUCT((区片价!B76:B109=I2)*(区片价!C3:F3=E2)*(区片价!C76:F109))</f>
        <v>0</v>
      </c>
      <c r="N5" s="2039">
        <f>SUMPRODUCT((因素修正幅度!B76:B109=I2)*(因素修正幅度!C3:F3=E2)*(因素修正幅度!C76:F109))</f>
        <v>0</v>
      </c>
      <c r="O5" s="2964"/>
      <c r="P5" s="2964"/>
      <c r="Q5" s="2964"/>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6" thickBot="1">
      <c r="A6" s="2051">
        <v>1</v>
      </c>
      <c r="B6" s="1531" t="s">
        <v>2280</v>
      </c>
      <c r="C6" s="2052">
        <f>SUMIF(L1:L12,G2,M1:M12)</f>
        <v>0</v>
      </c>
      <c r="D6" s="2053" t="s">
        <v>2281</v>
      </c>
      <c r="E6" s="1531"/>
      <c r="F6" s="1531"/>
      <c r="G6" s="2054"/>
      <c r="H6" s="2054"/>
      <c r="I6" s="2054"/>
      <c r="J6" s="2055"/>
      <c r="K6" s="2965"/>
      <c r="L6" s="2037" t="s">
        <v>2282</v>
      </c>
      <c r="M6" s="2038">
        <f>SUMPRODUCT((区片价!B110:B157=I2)*(区片价!C3:F3=E2)*(区片价!C110:F157))</f>
        <v>0</v>
      </c>
      <c r="N6" s="2039">
        <f>SUMPRODUCT((因素修正幅度!B110:B157=I2)*(因素修正幅度!C3:F3=E2)*(因素修正幅度!C110:F157))</f>
        <v>0</v>
      </c>
      <c r="O6" s="2964"/>
      <c r="P6" s="2964"/>
      <c r="Q6" s="2964"/>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12" t="str">
        <f>IF(E2="商业",IF(C8="不临58条商业街","",2),"")</f>
        <v/>
      </c>
      <c r="B7" s="1532" t="s">
        <v>2283</v>
      </c>
      <c r="C7" s="2056" t="e">
        <f>IF(C8="不临58条商业街",1,ROUND(1+(1.6*E8+1.2*E9+0.8*E10+0.4*E11)*C9,4))</f>
        <v>#DIV/0!</v>
      </c>
      <c r="D7" s="2057" t="s">
        <v>2284</v>
      </c>
      <c r="E7" s="2058"/>
      <c r="F7" s="2059"/>
      <c r="G7" s="2059"/>
      <c r="H7" s="2059"/>
      <c r="I7" s="2059"/>
      <c r="J7" s="2060"/>
      <c r="K7" s="2965"/>
      <c r="L7" s="2037" t="s">
        <v>2285</v>
      </c>
      <c r="M7" s="2038">
        <f>SUMPRODUCT((区片价!B158:B205=I2)*(区片价!C3:F3=E2)*(区片价!C158:F205))</f>
        <v>0</v>
      </c>
      <c r="N7" s="2039">
        <f>SUMPRODUCT((因素修正幅度!B158:B205=I2)*(因素修正幅度!C3:F3=E2)*(因素修正幅度!C158:F205))</f>
        <v>0</v>
      </c>
      <c r="O7" s="2964"/>
      <c r="P7" s="2964"/>
      <c r="Q7" s="2964"/>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2286</v>
      </c>
      <c r="X7" s="2062" t="str">
        <f>G2</f>
        <v>六级</v>
      </c>
      <c r="Y7" s="2062" t="s">
        <v>2287</v>
      </c>
      <c r="Z7" s="2063">
        <f>G3</f>
        <v>0</v>
      </c>
      <c r="AA7" s="2030"/>
      <c r="AB7" s="2030"/>
      <c r="AC7" s="2030"/>
      <c r="AD7" s="2031"/>
      <c r="AE7" s="2031"/>
      <c r="AF7" s="2031"/>
      <c r="AG7" s="2031"/>
      <c r="AH7" s="2031"/>
      <c r="AI7" s="2031"/>
      <c r="AJ7" s="2032"/>
    </row>
    <row r="8" spans="1:36" ht="15">
      <c r="A8" s="3713"/>
      <c r="B8" s="50" t="s">
        <v>2288</v>
      </c>
      <c r="C8" s="2064"/>
      <c r="D8" s="65" t="s">
        <v>89</v>
      </c>
      <c r="E8" s="2065" t="e">
        <f>ROUND(C11/E7,4)</f>
        <v>#DIV/0!</v>
      </c>
      <c r="F8" s="2066" t="s">
        <v>2289</v>
      </c>
      <c r="G8" s="2067"/>
      <c r="H8" s="2067"/>
      <c r="I8" s="2067"/>
      <c r="J8" s="2068"/>
      <c r="K8" s="2964"/>
      <c r="L8" s="2037" t="s">
        <v>2290</v>
      </c>
      <c r="M8" s="2038">
        <f>SUMPRODUCT((区片价!B206:B244=I2)*(区片价!C3:F3=E2)*(区片价!C206:F244))</f>
        <v>0</v>
      </c>
      <c r="N8" s="2039">
        <f>SUMPRODUCT((因素修正幅度!B206:B244=I2)*(因素修正幅度!C3:F3=E2)*(因素修正幅度!C206:F244))</f>
        <v>0</v>
      </c>
      <c r="O8" s="2964"/>
      <c r="P8" s="2964"/>
      <c r="Q8" s="2964"/>
      <c r="R8" s="2029">
        <v>7</v>
      </c>
      <c r="S8" s="2040"/>
      <c r="T8" s="2029">
        <f t="shared" si="1"/>
        <v>0</v>
      </c>
      <c r="U8" s="2040"/>
      <c r="V8" s="2029">
        <f t="shared" si="0"/>
        <v>0</v>
      </c>
      <c r="W8" s="3706" t="s">
        <v>2291</v>
      </c>
      <c r="X8" s="3707"/>
      <c r="Y8" s="2069" t="s">
        <v>2292</v>
      </c>
      <c r="Z8" s="2069" t="s">
        <v>2293</v>
      </c>
      <c r="AA8" s="2069" t="s">
        <v>2294</v>
      </c>
      <c r="AB8" s="2069" t="s">
        <v>2295</v>
      </c>
      <c r="AC8" s="2069" t="s">
        <v>2296</v>
      </c>
      <c r="AD8" s="2069" t="s">
        <v>2297</v>
      </c>
      <c r="AE8" s="2069" t="s">
        <v>2298</v>
      </c>
      <c r="AF8" s="2069" t="s">
        <v>2299</v>
      </c>
      <c r="AG8" s="2069" t="s">
        <v>2300</v>
      </c>
      <c r="AH8" s="2069" t="s">
        <v>2301</v>
      </c>
      <c r="AI8" s="2069" t="s">
        <v>2302</v>
      </c>
      <c r="AJ8" s="2069" t="s">
        <v>2303</v>
      </c>
    </row>
    <row r="9" spans="1:36" ht="15">
      <c r="A9" s="3713"/>
      <c r="B9" s="50" t="s">
        <v>2304</v>
      </c>
      <c r="C9" s="2070">
        <f>SUMIF(修正!C71:C138,C8,修正!E71:E138)</f>
        <v>0</v>
      </c>
      <c r="D9" s="50" t="s">
        <v>90</v>
      </c>
      <c r="E9" s="50" t="e">
        <f>ROUND(C11/E7,4)</f>
        <v>#DIV/0!</v>
      </c>
      <c r="F9" s="2066" t="s">
        <v>2305</v>
      </c>
      <c r="G9" s="2067"/>
      <c r="H9" s="2067"/>
      <c r="I9" s="2067"/>
      <c r="J9" s="2068"/>
      <c r="K9" s="2964"/>
      <c r="L9" s="2037" t="s">
        <v>2306</v>
      </c>
      <c r="M9" s="2038">
        <f>SUMPRODUCT((区片价!B245:B289=I2)*(区片价!C3:F3=E2)*(区片价!C245:F289))</f>
        <v>0</v>
      </c>
      <c r="N9" s="2039">
        <f>SUMPRODUCT((因素修正幅度!B245:B289=I2)*(因素修正幅度!C3:F3=E2)*(因素修正幅度!C245:F289))</f>
        <v>0</v>
      </c>
      <c r="O9" s="2964"/>
      <c r="P9" s="2964"/>
      <c r="Q9" s="2964"/>
      <c r="R9" s="2029">
        <v>8</v>
      </c>
      <c r="S9" s="2040"/>
      <c r="T9" s="2029">
        <f t="shared" si="1"/>
        <v>0</v>
      </c>
      <c r="U9" s="2040"/>
      <c r="V9" s="2029">
        <f t="shared" ref="V9:V16" si="2">ROUND(T9*U9,0)</f>
        <v>0</v>
      </c>
      <c r="W9" s="3707" t="s">
        <v>2307</v>
      </c>
      <c r="X9" s="2071" t="s">
        <v>2308</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13"/>
      <c r="B10" s="50" t="s">
        <v>2309</v>
      </c>
      <c r="C10" s="50">
        <f>SUMIF(修正!C71:C138,C8,修正!F71:F138)</f>
        <v>0</v>
      </c>
      <c r="D10" s="50" t="s">
        <v>91</v>
      </c>
      <c r="E10" s="50" t="e">
        <f>ROUND(C11/E7,4)</f>
        <v>#DIV/0!</v>
      </c>
      <c r="F10" s="2066" t="s">
        <v>2310</v>
      </c>
      <c r="G10" s="2067"/>
      <c r="H10" s="2067"/>
      <c r="I10" s="2067"/>
      <c r="J10" s="2068"/>
      <c r="K10" s="2964"/>
      <c r="L10" s="2037" t="s">
        <v>2311</v>
      </c>
      <c r="M10" s="2038">
        <f>SUMPRODUCT((区片价!B290:B316=I2)*(区片价!C3:F3=E2)*(区片价!C290:F316))</f>
        <v>0</v>
      </c>
      <c r="N10" s="2039">
        <f>SUMPRODUCT((因素修正幅度!B290:B316=I2)*(因素修正幅度!C3:F3=E2)*(因素修正幅度!C290:F316))</f>
        <v>0</v>
      </c>
      <c r="O10" s="2964"/>
      <c r="P10" s="2964"/>
      <c r="Q10" s="2964"/>
      <c r="R10" s="2029">
        <v>9</v>
      </c>
      <c r="S10" s="2040"/>
      <c r="T10" s="2029">
        <f t="shared" si="1"/>
        <v>0</v>
      </c>
      <c r="U10" s="2040"/>
      <c r="V10" s="2029">
        <f t="shared" si="2"/>
        <v>0</v>
      </c>
      <c r="W10" s="3707"/>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6" thickBot="1">
      <c r="A11" s="3713"/>
      <c r="B11" s="1533" t="s">
        <v>2312</v>
      </c>
      <c r="C11" s="1533">
        <f>C10/4</f>
        <v>0</v>
      </c>
      <c r="D11" s="1533" t="s">
        <v>92</v>
      </c>
      <c r="E11" s="1533" t="e">
        <f>ROUND(C11/E7,4)</f>
        <v>#DIV/0!</v>
      </c>
      <c r="F11" s="2075" t="s">
        <v>2313</v>
      </c>
      <c r="G11" s="2076"/>
      <c r="H11" s="2076"/>
      <c r="I11" s="2076"/>
      <c r="J11" s="2077"/>
      <c r="K11" s="2964"/>
      <c r="L11" s="2037" t="s">
        <v>2314</v>
      </c>
      <c r="M11" s="2038">
        <f>SUMPRODUCT((区片价!B317:B337=I2)*(区片价!C3:F3=E2)*(区片价!C317:F337))</f>
        <v>0</v>
      </c>
      <c r="N11" s="2039">
        <f>SUMPRODUCT((因素修正幅度!B317:B337=I2)*(因素修正幅度!C3:F3=E2)*(因素修正幅度!C317:F337))</f>
        <v>0</v>
      </c>
      <c r="O11" s="2964"/>
      <c r="P11" s="2964"/>
      <c r="Q11" s="2964"/>
      <c r="R11" s="2029">
        <v>10</v>
      </c>
      <c r="S11" s="2040"/>
      <c r="T11" s="2029">
        <f t="shared" si="1"/>
        <v>0</v>
      </c>
      <c r="U11" s="2040"/>
      <c r="V11" s="2029">
        <f t="shared" si="2"/>
        <v>0</v>
      </c>
      <c r="W11" s="3707" t="s">
        <v>2315</v>
      </c>
      <c r="X11" s="2078" t="s">
        <v>2316</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8" thickBot="1">
      <c r="A12" s="3712">
        <f>IF(E2="住宅",2,"")</f>
        <v>2</v>
      </c>
      <c r="B12" s="1534" t="s">
        <v>2317</v>
      </c>
      <c r="C12" s="2056">
        <f>ROUND(C15*D15*E15*F15*G15*H15*I15*J15,4)</f>
        <v>1.32</v>
      </c>
      <c r="D12" s="2080" t="s">
        <v>2318</v>
      </c>
      <c r="E12" s="2081"/>
      <c r="F12" s="2081"/>
      <c r="G12" s="2081"/>
      <c r="H12" s="2081"/>
      <c r="I12" s="2081"/>
      <c r="J12" s="2082"/>
      <c r="K12" s="2964"/>
      <c r="L12" s="2083" t="s">
        <v>2319</v>
      </c>
      <c r="M12" s="2084">
        <f>SUMPRODUCT((区片价!B338:B344=I2)*(区片价!C3:F3=E2)*(区片价!C338:F344))</f>
        <v>0</v>
      </c>
      <c r="N12" s="2085">
        <f>SUMPRODUCT((因素修正幅度!B338:B344=I2)*(因素修正幅度!C3:F3=E2)*(因素修正幅度!C338:F344))</f>
        <v>0</v>
      </c>
      <c r="O12" s="2964"/>
      <c r="P12" s="2964"/>
      <c r="Q12" s="2964"/>
      <c r="R12" s="2029">
        <v>11</v>
      </c>
      <c r="S12" s="2040"/>
      <c r="T12" s="2029">
        <f t="shared" si="1"/>
        <v>0</v>
      </c>
      <c r="U12" s="2040"/>
      <c r="V12" s="2029">
        <f t="shared" si="2"/>
        <v>0</v>
      </c>
      <c r="W12" s="3707"/>
      <c r="X12" s="2086" t="s">
        <v>2320</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14"/>
      <c r="B13" s="1535" t="s">
        <v>2321</v>
      </c>
      <c r="C13" s="2087" t="s">
        <v>2322</v>
      </c>
      <c r="D13" s="1536" t="s">
        <v>2323</v>
      </c>
      <c r="E13" s="1536" t="s">
        <v>2324</v>
      </c>
      <c r="F13" s="264" t="s">
        <v>2325</v>
      </c>
      <c r="G13" s="2088" t="s">
        <v>2326</v>
      </c>
      <c r="H13" s="2088" t="s">
        <v>2326</v>
      </c>
      <c r="I13" s="2088" t="s">
        <v>2326</v>
      </c>
      <c r="J13" s="2089" t="s">
        <v>2326</v>
      </c>
      <c r="K13" s="2964"/>
      <c r="L13" s="2964"/>
      <c r="M13" s="2964"/>
      <c r="N13" s="2964"/>
      <c r="O13" s="2964"/>
      <c r="P13" s="2964"/>
      <c r="Q13" s="2964"/>
      <c r="R13" s="2029">
        <v>12</v>
      </c>
      <c r="S13" s="2040"/>
      <c r="T13" s="2029">
        <f t="shared" si="1"/>
        <v>0</v>
      </c>
      <c r="U13" s="2040"/>
      <c r="V13" s="2029">
        <f t="shared" si="2"/>
        <v>0</v>
      </c>
      <c r="W13" s="3707"/>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14"/>
      <c r="B14" s="1536"/>
      <c r="C14" s="2090" t="s">
        <v>2327</v>
      </c>
      <c r="D14" s="2091" t="s">
        <v>2328</v>
      </c>
      <c r="E14" s="2091" t="s">
        <v>2328</v>
      </c>
      <c r="F14" s="2092" t="s">
        <v>2329</v>
      </c>
      <c r="G14" s="2093" t="s">
        <v>2330</v>
      </c>
      <c r="H14" s="2094"/>
      <c r="I14" s="2095"/>
      <c r="J14" s="2096"/>
      <c r="K14" s="2964"/>
      <c r="L14" s="2964"/>
      <c r="M14" s="2964"/>
      <c r="N14" s="2964"/>
      <c r="O14" s="2964"/>
      <c r="P14" s="2964"/>
      <c r="Q14" s="2964"/>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6" thickBot="1">
      <c r="A15" s="3715"/>
      <c r="B15" s="1537" t="s">
        <v>2331</v>
      </c>
      <c r="C15" s="2097">
        <f>IF(C14="有",1.1,1)</f>
        <v>1.1000000000000001</v>
      </c>
      <c r="D15" s="2097">
        <f>IF(D14="有",1.1,1)</f>
        <v>1</v>
      </c>
      <c r="E15" s="2097">
        <f>IF(E14="有",1.1,1)</f>
        <v>1</v>
      </c>
      <c r="F15" s="2097">
        <f>IF(F14="500米范围内",1.2,IF(F14="500-1000米",1.1,1))</f>
        <v>1.2</v>
      </c>
      <c r="G15" s="2098">
        <v>1</v>
      </c>
      <c r="H15" s="2098">
        <v>1</v>
      </c>
      <c r="I15" s="2098">
        <v>1</v>
      </c>
      <c r="J15" s="2099">
        <v>1</v>
      </c>
      <c r="K15" s="2964"/>
      <c r="L15" s="2964"/>
      <c r="M15" s="2964"/>
      <c r="N15" s="2964"/>
      <c r="O15" s="2964"/>
      <c r="P15" s="2964"/>
      <c r="Q15" s="2964"/>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1">
        <f>IF(E2="办公",2,IF(E2="工业",2,IF(E2="住宅",3,IF(E2="商业",IF(C8="不临58条商业街",2,3)))))</f>
        <v>3</v>
      </c>
      <c r="B16" s="1556" t="s">
        <v>2337</v>
      </c>
      <c r="C16" s="1532">
        <f>ROUND(IF(F17="与级别开发程度一致",0,(G17-E17)/C17),0)</f>
        <v>0</v>
      </c>
      <c r="D16" s="3704" t="s">
        <v>2341</v>
      </c>
      <c r="E16" s="3705"/>
      <c r="F16" s="3704" t="s">
        <v>2338</v>
      </c>
      <c r="G16" s="3705"/>
      <c r="H16" s="2100"/>
      <c r="I16" s="2100"/>
      <c r="J16" s="2101"/>
      <c r="K16" s="2100"/>
      <c r="L16" s="2100"/>
      <c r="M16" s="2100"/>
      <c r="N16" s="2100"/>
      <c r="O16" s="2102"/>
      <c r="P16" s="2964"/>
      <c r="Q16" s="2964"/>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7" thickBot="1">
      <c r="A17" s="3692"/>
      <c r="B17" s="1557" t="s">
        <v>2340</v>
      </c>
      <c r="C17" s="2103">
        <f>SUMPRODUCT((修正!A2:A7=E2)*(修正!B1:M1=G2)*(修正!B2:M7))</f>
        <v>2.5</v>
      </c>
      <c r="D17" s="2097" t="str">
        <f>IF(OR(G2="八级",G2="九级",G2="十级",G2="十一级",G2="十二级"),"五通一平","七通一平")</f>
        <v>七通一平</v>
      </c>
      <c r="E17" s="2104">
        <f>SUMPRODUCT((修正!B1:M1=G2)*(修正!B17:M17))</f>
        <v>315</v>
      </c>
      <c r="F17" s="2105" t="s">
        <v>2642</v>
      </c>
      <c r="G17" s="1546">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4"/>
      <c r="Q17" s="2964"/>
      <c r="R17" s="1548"/>
      <c r="S17" s="1548"/>
      <c r="T17" s="1548"/>
      <c r="U17" s="1548"/>
      <c r="V17" s="1548"/>
      <c r="W17" s="1548"/>
      <c r="X17" s="1548"/>
      <c r="Y17" s="1548"/>
      <c r="Z17" s="1548"/>
      <c r="AA17" s="1548"/>
      <c r="AB17" s="1548"/>
      <c r="AC17" s="1548"/>
      <c r="AD17" s="1548"/>
      <c r="AE17" s="1548"/>
      <c r="AF17" s="1548"/>
    </row>
    <row r="18" spans="1:35" s="2050" customFormat="1" ht="15" thickBot="1">
      <c r="A18" s="2108" t="s">
        <v>2343</v>
      </c>
      <c r="B18" s="1555" t="s">
        <v>2344</v>
      </c>
      <c r="C18" s="2109">
        <f>SUMIF(修正!C20:C51,E3,修正!E20:E51)</f>
        <v>0</v>
      </c>
      <c r="D18" s="2110"/>
      <c r="E18" s="2111"/>
      <c r="F18" s="2111"/>
      <c r="G18" s="2111"/>
      <c r="H18" s="2111"/>
      <c r="I18" s="2111"/>
      <c r="J18" s="2112"/>
      <c r="K18" s="2966"/>
      <c r="L18" s="2966"/>
      <c r="M18" s="2966"/>
      <c r="N18" s="2966"/>
      <c r="O18" s="2964"/>
      <c r="P18" s="2964"/>
      <c r="Q18" s="2964"/>
      <c r="R18" s="2964"/>
      <c r="S18" s="2964"/>
      <c r="T18" s="2964"/>
      <c r="U18" s="2964"/>
      <c r="V18" s="2964"/>
      <c r="W18" s="2964"/>
      <c r="X18" s="1548"/>
      <c r="Y18" s="1548"/>
      <c r="Z18" s="1548"/>
      <c r="AA18" s="1548"/>
      <c r="AB18" s="1548"/>
      <c r="AC18" s="1548"/>
      <c r="AD18" s="1548"/>
      <c r="AE18" s="1548"/>
      <c r="AF18" s="1548"/>
      <c r="AG18" s="1549"/>
      <c r="AH18" s="1549"/>
      <c r="AI18" s="1549"/>
    </row>
    <row r="19" spans="1:35" s="2050" customFormat="1" ht="29.4" thickBot="1">
      <c r="A19" s="2108" t="s">
        <v>2345</v>
      </c>
      <c r="B19" s="1538" t="s">
        <v>2346</v>
      </c>
      <c r="C19" s="2114">
        <f>ROUND(IF(H19="按公示增长率计算",SUMPRODUCT((地价!A3:A41=YEAR(G19)&amp;"-"&amp;ROUNDUP(MONTH(G19)/3,0))*(地价!X2:AB2=E2)*(地价!X3:AB41)),IF(H19="地价指数",M20/M19,(1+I19)^O19)),4)</f>
        <v>1.7434000000000001</v>
      </c>
      <c r="D19" s="2115" t="s">
        <v>2347</v>
      </c>
      <c r="E19" s="2116">
        <v>41640</v>
      </c>
      <c r="F19" s="2115" t="s">
        <v>2348</v>
      </c>
      <c r="G19" s="2117">
        <f>'数据-取费表'!B2</f>
        <v>44701</v>
      </c>
      <c r="H19" s="2118" t="s">
        <v>2480</v>
      </c>
      <c r="I19" s="2119" t="str">
        <f>IF(H19="季度增幅（自定义）",SUMIF(N21:N24,E2,O21:O24),"")</f>
        <v/>
      </c>
      <c r="J19" s="2120"/>
      <c r="K19" s="2966"/>
      <c r="L19" s="2001" t="s">
        <v>2349</v>
      </c>
      <c r="M19" s="2121">
        <f>ROUND(SUMIF(地价!B2:F2,E2,地价!B41:F41),0)</f>
        <v>423</v>
      </c>
      <c r="N19" s="2122" t="s">
        <v>2350</v>
      </c>
      <c r="O19" s="2123">
        <f>ROUNDDOWN(DATEDIF(E19,G19,"M")/3,0)</f>
        <v>33</v>
      </c>
      <c r="P19" s="2964"/>
      <c r="Q19" s="2966"/>
      <c r="R19" s="2964"/>
      <c r="S19" s="2964"/>
      <c r="T19" s="2964"/>
      <c r="U19" s="2964"/>
      <c r="V19" s="2964"/>
      <c r="W19" s="2964"/>
      <c r="X19" s="1548"/>
      <c r="Y19" s="1548"/>
      <c r="Z19" s="1548"/>
      <c r="AA19" s="1548"/>
      <c r="AB19" s="1548"/>
      <c r="AC19" s="1548"/>
      <c r="AD19" s="1548"/>
      <c r="AE19" s="2113"/>
      <c r="AF19" s="2124"/>
      <c r="AG19" s="2125"/>
      <c r="AH19" s="1549"/>
    </row>
    <row r="20" spans="1:35" s="2050" customFormat="1" ht="29.4" thickBot="1">
      <c r="A20" s="1643" t="s">
        <v>2351</v>
      </c>
      <c r="B20" s="1539" t="s">
        <v>2352</v>
      </c>
      <c r="C20" s="2126">
        <f>ROUND(POWER(1+G20,J20-I20)*(POWER(1+G20,I20)-1)/(POWER(1+G20,J20)-1),4)</f>
        <v>0.78280000000000005</v>
      </c>
      <c r="D20" s="2127" t="s">
        <v>2353</v>
      </c>
      <c r="E20" s="3068">
        <f>存贷款利率!E20/100</f>
        <v>4.3499999999999997E-2</v>
      </c>
      <c r="F20" s="2127" t="s">
        <v>2342</v>
      </c>
      <c r="G20" s="3069">
        <f>SUMIF(M26:P26,E2,M28:P28)</f>
        <v>0.05</v>
      </c>
      <c r="H20" s="2127" t="s">
        <v>2354</v>
      </c>
      <c r="I20" s="2128">
        <f>'数据-取费表'!B13</f>
        <v>29</v>
      </c>
      <c r="J20" s="2129">
        <f>IF(E2="住宅",70,IF(E2="商业",40,50))</f>
        <v>70</v>
      </c>
      <c r="K20" s="2966"/>
      <c r="L20" s="2130" t="s">
        <v>2355</v>
      </c>
      <c r="M20" s="2131">
        <f>ROUND(SUMPRODUCT((地价!A4:A41=YEAR(G19)&amp;"-"&amp;ROUNDUP(MONTH(G19)/3,0))*(地价!B2:F2=E2)*(地价!B4:F41)),0)</f>
        <v>737</v>
      </c>
      <c r="N20" s="2132" t="s">
        <v>2356</v>
      </c>
      <c r="O20" s="2133" t="s">
        <v>2357</v>
      </c>
      <c r="P20" s="2134" t="s">
        <v>2358</v>
      </c>
      <c r="Q20" s="2966"/>
      <c r="R20" s="2964"/>
      <c r="S20" s="2964"/>
      <c r="T20" s="2964"/>
      <c r="U20" s="2964"/>
      <c r="V20" s="2964"/>
      <c r="W20" s="2964"/>
      <c r="X20" s="1548"/>
      <c r="Y20" s="1548"/>
      <c r="Z20" s="1548"/>
      <c r="AA20" s="1548"/>
      <c r="AB20" s="1548"/>
      <c r="AC20" s="1548"/>
      <c r="AD20" s="1548"/>
      <c r="AE20" s="2113"/>
      <c r="AF20" s="2113"/>
    </row>
    <row r="21" spans="1:35" s="2050" customFormat="1" ht="14.4">
      <c r="A21" s="2135" t="s">
        <v>2359</v>
      </c>
      <c r="B21" s="1540" t="s">
        <v>2360</v>
      </c>
      <c r="C21" s="2136">
        <f>IF(B21="容积率修正",IF(G3&lt;=10,D22,J22),C23)</f>
        <v>0</v>
      </c>
      <c r="D21" s="2137"/>
      <c r="E21" s="2137"/>
      <c r="F21" s="2137"/>
      <c r="G21" s="2137"/>
      <c r="H21" s="2137"/>
      <c r="I21" s="2137"/>
      <c r="J21" s="2002"/>
      <c r="K21" s="2966"/>
      <c r="L21" s="2966"/>
      <c r="M21" s="2966"/>
      <c r="N21" s="2138" t="s">
        <v>2361</v>
      </c>
      <c r="O21" s="2139"/>
      <c r="P21" s="2140">
        <f>SUMPRODUCT((地价!A3:A41=YEAR(G19)&amp;"-"&amp;ROUNDUP(MONTH(G19)/3,0))*(地价!AD2:AH2=N21)*(地价!AD3:AH41))</f>
        <v>0.01</v>
      </c>
      <c r="Q21" s="2966"/>
      <c r="R21" s="2964"/>
      <c r="S21" s="2964"/>
      <c r="T21" s="2964"/>
      <c r="U21" s="2964"/>
      <c r="V21" s="2964"/>
      <c r="W21" s="2964"/>
      <c r="X21" s="1548"/>
      <c r="Y21" s="1548"/>
      <c r="Z21" s="1548"/>
      <c r="AA21" s="1548"/>
      <c r="AB21" s="1548"/>
      <c r="AC21" s="1548"/>
      <c r="AD21" s="1548"/>
      <c r="AE21" s="2113"/>
      <c r="AF21" s="2113"/>
    </row>
    <row r="22" spans="1:35" s="2050" customFormat="1" ht="14.4">
      <c r="A22" s="1998">
        <v>1</v>
      </c>
      <c r="B22" s="1997" t="s">
        <v>2362</v>
      </c>
      <c r="C22" s="1997" t="s">
        <v>2363</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6"/>
      <c r="L22" s="2966"/>
      <c r="M22" s="2966"/>
      <c r="N22" s="2138" t="s">
        <v>2364</v>
      </c>
      <c r="O22" s="2139"/>
      <c r="P22" s="2140">
        <f>SUMPRODUCT((地价!A3:A41=YEAR(G19)&amp;"-"&amp;ROUNDUP(MONTH(G19)/3,0))*(地价!AD2:AH2=N22)*(地价!AD3:AH41))</f>
        <v>0.01</v>
      </c>
      <c r="Q22" s="2966"/>
      <c r="R22" s="2964"/>
      <c r="S22" s="2964"/>
      <c r="T22" s="2964"/>
      <c r="U22" s="2964"/>
      <c r="V22" s="2964"/>
      <c r="W22" s="2964"/>
      <c r="X22" s="1548"/>
      <c r="Y22" s="1548"/>
      <c r="Z22" s="1548"/>
      <c r="AA22" s="1548"/>
      <c r="AB22" s="1548"/>
      <c r="AC22" s="1548"/>
      <c r="AD22" s="1548"/>
      <c r="AE22" s="2113"/>
      <c r="AF22" s="2113"/>
    </row>
    <row r="23" spans="1:35" ht="28.8">
      <c r="A23" s="1998">
        <v>2</v>
      </c>
      <c r="B23" s="1997" t="s">
        <v>2365</v>
      </c>
      <c r="C23" s="2142" t="e">
        <f>ROUND(IF(G3&gt;1,IF(I3&lt;7,SUMPRODUCT((B93:B98=I3)*(C92:N92=G2)*(C93:N98)),SUMIF(C92:N92,G2,C100:N100)),IF(I3&lt;7,SUMPRODUCT((B102:B107=I3)*(C92:N92=G2)*(C102:N107)),SUMIF(C92:N92,G2,C109:N109))),4)</f>
        <v>#DIV/0!</v>
      </c>
      <c r="D23" s="2094"/>
      <c r="E23" s="2094"/>
      <c r="F23" s="2143"/>
      <c r="G23" s="2144"/>
      <c r="H23" s="1545"/>
      <c r="I23" s="1997"/>
      <c r="J23" s="2141"/>
      <c r="K23" s="2964"/>
      <c r="L23" s="2964"/>
      <c r="M23" s="2964"/>
      <c r="N23" s="2138" t="s">
        <v>2366</v>
      </c>
      <c r="O23" s="2139"/>
      <c r="P23" s="2140">
        <f>SUMPRODUCT((地价!A3:A41=YEAR(G19)&amp;"-"&amp;ROUNDUP(MONTH(G19)/3,0))*(地价!AD2:AH2=N23)*(地价!AD3:AH41))</f>
        <v>1.7600000000000001E-2</v>
      </c>
      <c r="Q23" s="2964"/>
      <c r="R23" s="2964"/>
      <c r="S23" s="2964"/>
      <c r="T23" s="2964"/>
      <c r="U23" s="2964"/>
      <c r="V23" s="2964"/>
      <c r="W23" s="2964"/>
      <c r="X23" s="1548"/>
      <c r="Y23" s="1548"/>
      <c r="Z23" s="1548"/>
      <c r="AA23" s="1548"/>
      <c r="AB23" s="1548"/>
      <c r="AC23" s="1548"/>
      <c r="AD23" s="1548"/>
      <c r="AE23" s="1548"/>
      <c r="AF23" s="1548"/>
    </row>
    <row r="24" spans="1:35" s="2050" customFormat="1" ht="15" thickBot="1">
      <c r="A24" s="2145" t="s">
        <v>2367</v>
      </c>
      <c r="B24" s="1542" t="s">
        <v>2368</v>
      </c>
      <c r="C24" s="2146">
        <f>SUMIF(A46:A88,E2,B46:B88)</f>
        <v>1</v>
      </c>
      <c r="D24" s="2147"/>
      <c r="E24" s="2148"/>
      <c r="F24" s="2148"/>
      <c r="G24" s="2148"/>
      <c r="H24" s="2148"/>
      <c r="I24" s="2148"/>
      <c r="J24" s="2149"/>
      <c r="K24" s="2966"/>
      <c r="L24" s="2966"/>
      <c r="M24" s="2966"/>
      <c r="N24" s="2150" t="s">
        <v>2369</v>
      </c>
      <c r="O24" s="2151"/>
      <c r="P24" s="2152">
        <f>SUMPRODUCT((地价!A3:A41=YEAR(G19)&amp;"-"&amp;ROUNDUP(MONTH(G19)/3,0))*(地价!AD2:AH2=N24)*(地价!AD3:AH41))</f>
        <v>1.1599999999999999E-2</v>
      </c>
      <c r="Q24" s="2966"/>
      <c r="R24" s="2964"/>
      <c r="S24" s="2964"/>
      <c r="T24" s="2964"/>
      <c r="U24" s="2964"/>
      <c r="V24" s="2964"/>
      <c r="W24" s="2964"/>
      <c r="X24" s="1548"/>
      <c r="Y24" s="1548"/>
      <c r="Z24" s="1548"/>
      <c r="AA24" s="1548"/>
      <c r="AB24" s="1548"/>
      <c r="AC24" s="1548"/>
      <c r="AD24" s="1548"/>
      <c r="AE24" s="2113"/>
      <c r="AF24" s="2113"/>
    </row>
    <row r="25" spans="1:35" ht="15" thickBot="1">
      <c r="A25" s="1643" t="s">
        <v>2370</v>
      </c>
      <c r="B25" s="1543" t="s">
        <v>2371</v>
      </c>
      <c r="C25" s="2153"/>
      <c r="D25" s="2059"/>
      <c r="E25" s="2059"/>
      <c r="F25" s="2154"/>
      <c r="G25" s="2059"/>
      <c r="H25" s="2059"/>
      <c r="I25" s="2059"/>
      <c r="J25" s="2060"/>
      <c r="K25" s="2964"/>
      <c r="L25" s="2964"/>
      <c r="M25" s="2964"/>
      <c r="N25" s="2967" t="s">
        <v>2372</v>
      </c>
      <c r="O25" s="2968"/>
      <c r="P25" s="2969">
        <f>SUMPRODUCT((地价!A3:A41=YEAR(G19)&amp;"-"&amp;ROUNDUP(MONTH(G19)/3,0))*(地价!AD2:AH2=N25)*(地价!AD3:AH41))</f>
        <v>1.6E-2</v>
      </c>
      <c r="Q25" s="2964"/>
      <c r="R25" s="2964"/>
      <c r="S25" s="2964"/>
      <c r="T25" s="2964"/>
      <c r="U25" s="2964"/>
      <c r="V25" s="2964"/>
      <c r="W25" s="2964"/>
      <c r="X25" s="1548"/>
      <c r="Y25" s="1548"/>
      <c r="Z25" s="1548"/>
      <c r="AA25" s="1548"/>
      <c r="AB25" s="1548"/>
      <c r="AC25" s="1548"/>
      <c r="AD25" s="1548"/>
      <c r="AE25" s="1548"/>
      <c r="AF25" s="1548"/>
    </row>
    <row r="26" spans="1:35" ht="14.4">
      <c r="A26" s="1628"/>
      <c r="B26" s="1997" t="s">
        <v>2373</v>
      </c>
      <c r="C26" s="2804" t="e">
        <f>IF(B21="容积率修正",E29+SUM(E33:E39),SUM(V2:V16)+SUM(E33:E39))</f>
        <v>#REF!</v>
      </c>
      <c r="D26" s="2155"/>
      <c r="E26" s="2094"/>
      <c r="F26" s="1403"/>
      <c r="G26" s="2094"/>
      <c r="H26" s="2094"/>
      <c r="I26" s="2094"/>
      <c r="J26" s="2156"/>
      <c r="K26" s="2964"/>
      <c r="L26" s="2970" t="s">
        <v>2332</v>
      </c>
      <c r="M26" s="2057" t="s">
        <v>2333</v>
      </c>
      <c r="N26" s="2057" t="s">
        <v>2334</v>
      </c>
      <c r="O26" s="2057" t="s">
        <v>2335</v>
      </c>
      <c r="P26" s="2971" t="s">
        <v>2336</v>
      </c>
      <c r="Q26" s="2964"/>
      <c r="R26" s="2964"/>
      <c r="S26" s="2964"/>
      <c r="T26" s="2964"/>
      <c r="U26" s="2964"/>
      <c r="V26" s="2964"/>
      <c r="W26" s="2964"/>
      <c r="X26" s="1548"/>
      <c r="Y26" s="1548"/>
      <c r="Z26" s="1548"/>
      <c r="AA26" s="1548"/>
      <c r="AB26" s="1548"/>
      <c r="AC26" s="1548"/>
      <c r="AD26" s="1548"/>
      <c r="AE26" s="1548"/>
      <c r="AF26" s="1548"/>
    </row>
    <row r="27" spans="1:35" ht="15" thickBot="1">
      <c r="A27" s="1628"/>
      <c r="B27" s="1544" t="s">
        <v>2374</v>
      </c>
      <c r="C27" s="2157" t="e">
        <f>E30+SUM(I33:I39)</f>
        <v>#REF!</v>
      </c>
      <c r="D27" s="2106"/>
      <c r="E27" s="2158"/>
      <c r="F27" s="2159"/>
      <c r="G27" s="2158"/>
      <c r="H27" s="2158"/>
      <c r="I27" s="2158"/>
      <c r="J27" s="2160"/>
      <c r="K27" s="2964"/>
      <c r="L27" s="2161" t="s">
        <v>2339</v>
      </c>
      <c r="M27" s="2070">
        <v>0.25</v>
      </c>
      <c r="N27" s="2070">
        <v>0.2</v>
      </c>
      <c r="O27" s="2070">
        <v>0.15</v>
      </c>
      <c r="P27" s="2162">
        <v>0.1</v>
      </c>
      <c r="Q27" s="2964"/>
      <c r="R27" s="2964"/>
      <c r="S27" s="2964"/>
      <c r="T27" s="2964"/>
      <c r="U27" s="2964"/>
      <c r="V27" s="2964"/>
      <c r="W27" s="2964"/>
      <c r="X27" s="1548"/>
      <c r="Y27" s="1548"/>
      <c r="Z27" s="1548"/>
      <c r="AA27" s="1548"/>
      <c r="AB27" s="1548"/>
      <c r="AC27" s="1548"/>
      <c r="AD27" s="1548"/>
      <c r="AE27" s="1548"/>
      <c r="AF27" s="1548"/>
    </row>
    <row r="28" spans="1:35" ht="15" thickBot="1">
      <c r="A28" s="1643"/>
      <c r="B28" s="2163" t="s">
        <v>2375</v>
      </c>
      <c r="C28" s="2164" t="s">
        <v>2376</v>
      </c>
      <c r="D28" s="2164" t="s">
        <v>2377</v>
      </c>
      <c r="E28" s="1543" t="s">
        <v>2378</v>
      </c>
      <c r="F28" s="2165"/>
      <c r="G28" s="2081"/>
      <c r="H28" s="2081"/>
      <c r="I28" s="2081"/>
      <c r="J28" s="2082"/>
      <c r="K28" s="2964"/>
      <c r="L28" s="2166" t="s">
        <v>2342</v>
      </c>
      <c r="M28" s="2167">
        <f>ROUND($E$20*(1+M27),3)</f>
        <v>5.3999999999999999E-2</v>
      </c>
      <c r="N28" s="2167">
        <f>ROUND($E$20*(1+N27),3)</f>
        <v>5.1999999999999998E-2</v>
      </c>
      <c r="O28" s="2167">
        <f>ROUND($E$20*(1+O27),3)</f>
        <v>0.05</v>
      </c>
      <c r="P28" s="2085">
        <f>ROUND($E$20*(1+P27),3)</f>
        <v>4.8000000000000001E-2</v>
      </c>
      <c r="Q28" s="2964"/>
      <c r="R28" s="2964"/>
      <c r="S28" s="2964"/>
      <c r="T28" s="2964"/>
      <c r="U28" s="2964"/>
      <c r="V28" s="2964"/>
      <c r="W28" s="2964"/>
      <c r="X28" s="1548"/>
      <c r="Y28" s="1548"/>
      <c r="Z28" s="1548"/>
      <c r="AA28" s="1548"/>
      <c r="AB28" s="1548"/>
      <c r="AC28" s="1548"/>
      <c r="AD28" s="1548"/>
      <c r="AE28" s="1548"/>
      <c r="AF28" s="1548"/>
    </row>
    <row r="29" spans="1:35" ht="25.2">
      <c r="A29" s="2168"/>
      <c r="B29" s="1545" t="s">
        <v>2379</v>
      </c>
      <c r="C29" s="54">
        <f>ROUND(C5*C18*C19*C20*C21*C24,0)</f>
        <v>0</v>
      </c>
      <c r="D29" s="2169">
        <f>项目基本情况!C12</f>
        <v>262.86</v>
      </c>
      <c r="E29" s="1956">
        <f>ROUND(C29*D29,0)</f>
        <v>0</v>
      </c>
      <c r="F29" s="2170" t="s">
        <v>2380</v>
      </c>
      <c r="G29" s="2171"/>
      <c r="H29" s="2171"/>
      <c r="I29" s="2171"/>
      <c r="J29" s="2172"/>
      <c r="K29" s="2964"/>
      <c r="L29" s="2964"/>
      <c r="M29" s="2964"/>
      <c r="N29" s="2964"/>
      <c r="O29" s="2964"/>
      <c r="P29" s="2964"/>
      <c r="Q29" s="2964"/>
      <c r="R29" s="2964"/>
      <c r="S29" s="2964"/>
      <c r="T29" s="2964"/>
      <c r="U29" s="2964"/>
      <c r="V29" s="2964"/>
      <c r="W29" s="2964"/>
      <c r="X29" s="1548"/>
      <c r="Y29" s="1548"/>
      <c r="Z29" s="1548"/>
      <c r="AA29" s="1548"/>
      <c r="AB29" s="1548"/>
      <c r="AC29" s="1548"/>
      <c r="AD29" s="1548"/>
      <c r="AE29" s="1548"/>
      <c r="AF29" s="1548"/>
    </row>
    <row r="30" spans="1:35" ht="25.8" thickBot="1">
      <c r="A30" s="2173"/>
      <c r="B30" s="1546" t="s">
        <v>2381</v>
      </c>
      <c r="C30" s="2097">
        <f>ROUND(IF(E2="工业",C29*M39,C29*M38),0)</f>
        <v>0</v>
      </c>
      <c r="D30" s="2174"/>
      <c r="E30" s="1956">
        <f>ROUND(C30*D30,0)</f>
        <v>0</v>
      </c>
      <c r="F30" s="2175" t="s">
        <v>2382</v>
      </c>
      <c r="G30" s="2176"/>
      <c r="H30" s="2176"/>
      <c r="I30" s="2176"/>
      <c r="J30" s="2177"/>
      <c r="K30" s="2964"/>
      <c r="L30" s="2964"/>
      <c r="M30" s="2964"/>
      <c r="N30" s="2964"/>
      <c r="O30" s="2964"/>
      <c r="P30" s="2964"/>
      <c r="Q30" s="2964"/>
      <c r="R30" s="2964"/>
      <c r="S30" s="2964"/>
      <c r="T30" s="2964"/>
      <c r="U30" s="2964"/>
      <c r="V30" s="2964"/>
      <c r="W30" s="2964"/>
      <c r="X30" s="1548"/>
      <c r="Y30" s="1548"/>
      <c r="Z30" s="1548"/>
      <c r="AA30" s="1548"/>
      <c r="AB30" s="1548"/>
      <c r="AC30" s="1548"/>
      <c r="AD30" s="1548"/>
      <c r="AE30" s="1548"/>
      <c r="AF30" s="1548"/>
    </row>
    <row r="31" spans="1:35">
      <c r="A31" s="2178"/>
      <c r="B31" s="1547" t="s">
        <v>2383</v>
      </c>
      <c r="C31" s="2179" t="s">
        <v>2384</v>
      </c>
      <c r="D31" s="2081"/>
      <c r="E31" s="2179"/>
      <c r="F31" s="2179"/>
      <c r="G31" s="2080" t="s">
        <v>2385</v>
      </c>
      <c r="H31" s="2081"/>
      <c r="I31" s="2180"/>
      <c r="J31" s="2082"/>
      <c r="K31" s="2964"/>
      <c r="L31" s="2964"/>
      <c r="M31" s="2964"/>
      <c r="N31" s="2964"/>
      <c r="O31" s="2964"/>
      <c r="P31" s="2964"/>
      <c r="Q31" s="2964"/>
      <c r="R31" s="2964"/>
      <c r="S31" s="2964"/>
      <c r="T31" s="2964"/>
      <c r="U31" s="2964"/>
      <c r="V31" s="2964"/>
      <c r="W31" s="2964"/>
      <c r="X31" s="1548"/>
      <c r="Y31" s="1548"/>
      <c r="Z31" s="1548"/>
      <c r="AA31" s="1548"/>
      <c r="AB31" s="1548"/>
      <c r="AC31" s="1548"/>
      <c r="AD31" s="1548"/>
      <c r="AE31" s="1548"/>
      <c r="AF31" s="1548"/>
    </row>
    <row r="32" spans="1:35" ht="36">
      <c r="A32" s="2168"/>
      <c r="B32" s="2181"/>
      <c r="C32" s="1736" t="s">
        <v>2376</v>
      </c>
      <c r="D32" s="1733" t="s">
        <v>2377</v>
      </c>
      <c r="E32" s="1733" t="s">
        <v>2378</v>
      </c>
      <c r="F32" s="50" t="s">
        <v>2386</v>
      </c>
      <c r="G32" s="2142" t="s">
        <v>2376</v>
      </c>
      <c r="H32" s="2142" t="s">
        <v>2377</v>
      </c>
      <c r="I32" s="2142" t="s">
        <v>2378</v>
      </c>
      <c r="J32" s="1994"/>
      <c r="K32" s="2964"/>
      <c r="L32" s="2964"/>
      <c r="M32" s="2964"/>
      <c r="N32" s="2964"/>
      <c r="O32" s="2964"/>
      <c r="P32" s="2964"/>
      <c r="Q32" s="2964"/>
      <c r="R32" s="2964"/>
      <c r="S32" s="2964"/>
      <c r="T32" s="2964"/>
      <c r="U32" s="2964"/>
      <c r="V32" s="2964"/>
      <c r="W32" s="2964"/>
      <c r="X32" s="1548"/>
      <c r="Y32" s="1548"/>
      <c r="Z32" s="1548"/>
      <c r="AA32" s="1548"/>
      <c r="AB32" s="1548"/>
      <c r="AC32" s="1548"/>
      <c r="AD32" s="1548"/>
      <c r="AE32" s="1548"/>
      <c r="AF32" s="1548"/>
    </row>
    <row r="33" spans="1:33">
      <c r="A33" s="3701" t="s">
        <v>2387</v>
      </c>
      <c r="B33" s="2182" t="s">
        <v>2388</v>
      </c>
      <c r="C33" s="54">
        <f>ROUND(D5*C19*C20*C24*F33,0)</f>
        <v>0</v>
      </c>
      <c r="D33" s="2169"/>
      <c r="E33" s="50">
        <f t="shared" ref="E33:E39" si="7">ROUND(C33*D33,0)</f>
        <v>0</v>
      </c>
      <c r="F33" s="50">
        <f>SUMIF(修正!A57:A68,G2,修正!B57:B68)</f>
        <v>0.6</v>
      </c>
      <c r="G33" s="50">
        <f t="shared" ref="G33" si="8">ROUND(IF(E2="工业",C33*$M$39,C33*$M$38),0)</f>
        <v>0</v>
      </c>
      <c r="H33" s="50">
        <f>D33</f>
        <v>0</v>
      </c>
      <c r="I33" s="50">
        <f t="shared" ref="I33:I39" si="9">ROUND(G33*H33,0)</f>
        <v>0</v>
      </c>
      <c r="J33" s="2156"/>
      <c r="K33" s="2964"/>
      <c r="L33" s="2964"/>
      <c r="M33" s="2964"/>
      <c r="N33" s="2964"/>
      <c r="O33" s="2964"/>
      <c r="P33" s="2964"/>
      <c r="Q33" s="2964"/>
      <c r="R33" s="2964"/>
      <c r="S33" s="2964"/>
      <c r="T33" s="2964"/>
      <c r="U33" s="2964"/>
      <c r="V33" s="2964"/>
      <c r="W33" s="2964"/>
      <c r="X33" s="1548"/>
      <c r="Y33" s="1548"/>
      <c r="Z33" s="1548"/>
      <c r="AA33" s="1548"/>
      <c r="AB33" s="1548"/>
      <c r="AC33" s="1548"/>
      <c r="AD33" s="1548"/>
      <c r="AE33" s="1548"/>
      <c r="AF33" s="1548"/>
    </row>
    <row r="34" spans="1:33">
      <c r="A34" s="3702"/>
      <c r="B34" s="2087" t="s">
        <v>2389</v>
      </c>
      <c r="C34" s="54">
        <f>ROUND(D5*C19*C20*C24*F34,0)</f>
        <v>0</v>
      </c>
      <c r="D34" s="2169"/>
      <c r="E34" s="50">
        <f t="shared" si="7"/>
        <v>0</v>
      </c>
      <c r="F34" s="50">
        <f>SUMIF(修正!A57:A68,G2,修正!C57:C68)</f>
        <v>0.3</v>
      </c>
      <c r="G34" s="50">
        <f>ROUND(IF(E2="工业",C34*$M$39,C34*$M$38),0)</f>
        <v>0</v>
      </c>
      <c r="H34" s="50">
        <f t="shared" ref="H34:H39" si="10">D34</f>
        <v>0</v>
      </c>
      <c r="I34" s="50">
        <f t="shared" si="9"/>
        <v>0</v>
      </c>
      <c r="J34" s="2156"/>
      <c r="K34" s="2964"/>
      <c r="L34" s="2964"/>
      <c r="M34" s="2964"/>
      <c r="N34" s="2964"/>
      <c r="O34" s="2964"/>
      <c r="P34" s="2964"/>
      <c r="Q34" s="2964"/>
      <c r="R34" s="2964"/>
      <c r="S34" s="2964"/>
      <c r="T34" s="2964"/>
      <c r="U34" s="2964"/>
      <c r="V34" s="2964"/>
      <c r="W34" s="2964"/>
      <c r="X34" s="1548"/>
      <c r="Y34" s="1548"/>
      <c r="Z34" s="1548"/>
      <c r="AA34" s="1548"/>
      <c r="AB34" s="1548"/>
      <c r="AC34" s="1548"/>
      <c r="AD34" s="1548"/>
      <c r="AE34" s="1548"/>
      <c r="AF34" s="1548"/>
    </row>
    <row r="35" spans="1:33">
      <c r="A35" s="3702"/>
      <c r="B35" s="2087" t="s">
        <v>2390</v>
      </c>
      <c r="C35" s="54">
        <f>ROUND(D5*C19*C20*C24*F35,0)</f>
        <v>0</v>
      </c>
      <c r="D35" s="2169"/>
      <c r="E35" s="50">
        <f t="shared" si="7"/>
        <v>0</v>
      </c>
      <c r="F35" s="50">
        <f>SUMIF(修正!A57:A68,G2,修正!D57:D68)</f>
        <v>0.25</v>
      </c>
      <c r="G35" s="50">
        <f>ROUND(IF(E2="工业",C35*$M$39,C35*$M$38),0)</f>
        <v>0</v>
      </c>
      <c r="H35" s="50">
        <f t="shared" si="10"/>
        <v>0</v>
      </c>
      <c r="I35" s="50">
        <f t="shared" si="9"/>
        <v>0</v>
      </c>
      <c r="J35" s="2156"/>
      <c r="K35" s="2964"/>
      <c r="L35" s="2964"/>
      <c r="M35" s="2964"/>
      <c r="N35" s="2964"/>
      <c r="O35" s="2964"/>
      <c r="P35" s="2964"/>
      <c r="Q35" s="2964"/>
      <c r="R35" s="2964"/>
      <c r="S35" s="2964"/>
      <c r="T35" s="2964"/>
      <c r="U35" s="2964"/>
      <c r="V35" s="2964"/>
      <c r="W35" s="2964"/>
      <c r="X35" s="1548"/>
      <c r="Y35" s="1548"/>
      <c r="Z35" s="1548"/>
      <c r="AA35" s="1548"/>
      <c r="AB35" s="1548"/>
      <c r="AC35" s="1548"/>
      <c r="AD35" s="1548"/>
      <c r="AE35" s="1548"/>
      <c r="AF35" s="1548"/>
    </row>
    <row r="36" spans="1:33" ht="13.8" thickBot="1">
      <c r="A36" s="3703"/>
      <c r="B36" s="2087" t="s">
        <v>2391</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4"/>
      <c r="L36" s="2964"/>
      <c r="M36" s="2964"/>
      <c r="N36" s="2964"/>
      <c r="O36" s="2964"/>
      <c r="P36" s="2964"/>
      <c r="Q36" s="2964"/>
      <c r="R36" s="2964"/>
      <c r="S36" s="2964"/>
      <c r="T36" s="2964"/>
      <c r="U36" s="2964"/>
      <c r="V36" s="2964"/>
      <c r="W36" s="2964"/>
      <c r="X36" s="1548"/>
      <c r="Y36" s="1548"/>
      <c r="Z36" s="1548"/>
      <c r="AA36" s="1548"/>
      <c r="AB36" s="1548"/>
      <c r="AC36" s="1548"/>
      <c r="AD36" s="1548"/>
      <c r="AE36" s="1548"/>
      <c r="AF36" s="1548"/>
    </row>
    <row r="37" spans="1:33">
      <c r="A37" s="2183"/>
      <c r="B37" s="2087" t="s">
        <v>2392</v>
      </c>
      <c r="C37" s="50">
        <f>ROUND(D5*C19*C20*C24*F37,0)</f>
        <v>0</v>
      </c>
      <c r="D37" s="2169"/>
      <c r="E37" s="50">
        <f t="shared" si="7"/>
        <v>0</v>
      </c>
      <c r="F37" s="54">
        <f>SUMIF(修正!A57:A68,G2,修正!E57:E68)</f>
        <v>0.25</v>
      </c>
      <c r="G37" s="50">
        <f>ROUND(IF(E2="工业",C37*$M$39,C37*$M$38),0)</f>
        <v>0</v>
      </c>
      <c r="H37" s="50">
        <f t="shared" si="10"/>
        <v>0</v>
      </c>
      <c r="I37" s="50">
        <f t="shared" si="9"/>
        <v>0</v>
      </c>
      <c r="J37" s="2156"/>
      <c r="K37" s="2964"/>
      <c r="L37" s="2184" t="s">
        <v>2393</v>
      </c>
      <c r="M37" s="2060"/>
      <c r="N37" s="2964"/>
      <c r="O37" s="2964"/>
      <c r="P37" s="2964"/>
      <c r="Q37" s="2964"/>
      <c r="R37" s="2964"/>
      <c r="S37" s="2964"/>
      <c r="T37" s="2964"/>
      <c r="U37" s="2964"/>
      <c r="V37" s="2964"/>
      <c r="W37" s="2964"/>
      <c r="X37" s="1548"/>
      <c r="Y37" s="1548"/>
      <c r="Z37" s="1548"/>
      <c r="AA37" s="1548"/>
      <c r="AB37" s="1548"/>
      <c r="AC37" s="1548"/>
      <c r="AD37" s="1548"/>
      <c r="AE37" s="1548"/>
      <c r="AF37" s="1548"/>
    </row>
    <row r="38" spans="1:33">
      <c r="A38" s="2183"/>
      <c r="B38" s="2087" t="s">
        <v>2394</v>
      </c>
      <c r="C38" s="50">
        <f>ROUND(D5*C19*C41*C24*F38,0)</f>
        <v>0</v>
      </c>
      <c r="D38" s="2169"/>
      <c r="E38" s="50">
        <f t="shared" si="7"/>
        <v>0</v>
      </c>
      <c r="F38" s="54">
        <f>SUMIF(修正!A57:A68,G2,修正!F57:F68)</f>
        <v>0.25</v>
      </c>
      <c r="G38" s="50">
        <f>ROUND(IF(E2="工业",C38*$M$39,C38*$M$38),0)</f>
        <v>0</v>
      </c>
      <c r="H38" s="50">
        <f t="shared" si="10"/>
        <v>0</v>
      </c>
      <c r="I38" s="50">
        <f t="shared" si="9"/>
        <v>0</v>
      </c>
      <c r="J38" s="2156"/>
      <c r="K38" s="2964"/>
      <c r="L38" s="2185" t="s">
        <v>2395</v>
      </c>
      <c r="M38" s="2186">
        <v>0.25</v>
      </c>
      <c r="N38" s="2964"/>
      <c r="O38" s="2964"/>
      <c r="P38" s="2964"/>
      <c r="Q38" s="2964"/>
      <c r="R38" s="2964"/>
      <c r="S38" s="2964"/>
      <c r="T38" s="2964"/>
      <c r="U38" s="2964"/>
      <c r="V38" s="2964"/>
      <c r="W38" s="2964"/>
      <c r="X38" s="1548"/>
      <c r="Y38" s="1548"/>
      <c r="Z38" s="1548"/>
      <c r="AA38" s="1548"/>
      <c r="AB38" s="1548"/>
      <c r="AC38" s="1548"/>
      <c r="AD38" s="1548"/>
      <c r="AE38" s="1548"/>
      <c r="AF38" s="1548"/>
    </row>
    <row r="39" spans="1:33" ht="13.8" thickBot="1">
      <c r="A39" s="2173"/>
      <c r="B39" s="2187" t="s">
        <v>2396</v>
      </c>
      <c r="C39" s="2097">
        <f>ROUND(D5*C19*C41*C24*F39,0)</f>
        <v>0</v>
      </c>
      <c r="D39" s="2174"/>
      <c r="E39" s="2097">
        <f t="shared" si="7"/>
        <v>0</v>
      </c>
      <c r="F39" s="56">
        <f>SUMIF(修正!A57:A68,G2,修正!G57:G68)</f>
        <v>0.15</v>
      </c>
      <c r="G39" s="2097">
        <f>ROUND(IF(E2="工业",C39*$M$39,C39*$M$38),0)</f>
        <v>0</v>
      </c>
      <c r="H39" s="2097">
        <f t="shared" si="10"/>
        <v>0</v>
      </c>
      <c r="I39" s="2097">
        <f t="shared" si="9"/>
        <v>0</v>
      </c>
      <c r="J39" s="2160"/>
      <c r="K39" s="2964"/>
      <c r="L39" s="2188" t="s">
        <v>2336</v>
      </c>
      <c r="M39" s="2189">
        <v>0.15</v>
      </c>
      <c r="N39" s="2964"/>
      <c r="O39" s="2964"/>
      <c r="P39" s="2964"/>
      <c r="Q39" s="2964"/>
      <c r="R39" s="2964"/>
      <c r="S39" s="2964"/>
      <c r="T39" s="2964"/>
      <c r="U39" s="2964"/>
      <c r="V39" s="2964"/>
      <c r="W39" s="2964"/>
      <c r="X39" s="1548"/>
      <c r="Y39" s="1548"/>
      <c r="Z39" s="1548"/>
      <c r="AA39" s="1548"/>
      <c r="AB39" s="1548"/>
      <c r="AC39" s="1548"/>
      <c r="AD39" s="1548"/>
      <c r="AE39" s="1548"/>
      <c r="AF39" s="1548"/>
    </row>
    <row r="40" spans="1:33" s="2190" customFormat="1">
      <c r="A40" s="1548"/>
      <c r="B40" s="1548"/>
      <c r="C40" s="1548"/>
      <c r="D40" s="1548"/>
      <c r="E40" s="1548"/>
      <c r="F40" s="1548"/>
      <c r="G40" s="1548"/>
      <c r="H40" s="1548"/>
      <c r="I40" s="1548"/>
      <c r="J40" s="1548"/>
      <c r="K40" s="2964"/>
      <c r="L40" s="2964"/>
      <c r="M40" s="2964"/>
      <c r="N40" s="2964"/>
      <c r="O40" s="2964"/>
      <c r="P40" s="2964"/>
      <c r="Q40" s="2964"/>
      <c r="R40" s="2964"/>
      <c r="S40" s="2964"/>
      <c r="T40" s="2964"/>
      <c r="U40" s="2964"/>
      <c r="V40" s="2964"/>
      <c r="W40" s="2964"/>
      <c r="X40" s="1548"/>
      <c r="Y40" s="1548"/>
      <c r="Z40" s="1548"/>
      <c r="AA40" s="1548"/>
      <c r="AB40" s="1548"/>
      <c r="AC40" s="1548"/>
      <c r="AD40" s="1548"/>
      <c r="AE40" s="1548"/>
      <c r="AF40" s="1548"/>
    </row>
    <row r="41" spans="1:33" s="2190" customFormat="1" ht="24">
      <c r="A41" s="1548"/>
      <c r="B41" s="2191" t="s">
        <v>2475</v>
      </c>
      <c r="C41" s="50">
        <f>ROUND(POWER(1+E41,H41-G41)*(POWER(1+E41,G41)-1)/(POWER(1+E41,H41)-1),4)</f>
        <v>0</v>
      </c>
      <c r="D41" s="50" t="s">
        <v>2473</v>
      </c>
      <c r="E41" s="2192">
        <f>G20</f>
        <v>0.05</v>
      </c>
      <c r="F41" s="50" t="s">
        <v>2474</v>
      </c>
      <c r="G41" s="2193"/>
      <c r="H41" s="50">
        <v>50</v>
      </c>
      <c r="I41" s="1548"/>
      <c r="J41" s="1548"/>
      <c r="K41" s="2964"/>
      <c r="L41" s="2964"/>
      <c r="M41" s="2964"/>
      <c r="N41" s="2964"/>
      <c r="O41" s="2964"/>
      <c r="P41" s="2964"/>
      <c r="Q41" s="2964"/>
      <c r="R41" s="2964"/>
      <c r="S41" s="2964"/>
      <c r="T41" s="2964"/>
      <c r="U41" s="2964"/>
      <c r="V41" s="2964"/>
      <c r="W41" s="2964"/>
      <c r="X41" s="1548"/>
      <c r="Y41" s="1548"/>
      <c r="Z41" s="1548"/>
      <c r="AA41" s="1548"/>
      <c r="AB41" s="1548"/>
      <c r="AC41" s="1548"/>
      <c r="AD41" s="1548"/>
      <c r="AE41" s="1548"/>
      <c r="AF41" s="1548"/>
    </row>
    <row r="42" spans="1:33" s="2190"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48"/>
      <c r="Y42" s="1548"/>
      <c r="Z42" s="1548"/>
      <c r="AA42" s="1548"/>
      <c r="AB42" s="1548"/>
      <c r="AC42" s="1548"/>
      <c r="AD42" s="1548"/>
      <c r="AE42" s="1548"/>
      <c r="AF42" s="1548"/>
    </row>
    <row r="43" spans="1:33" s="2190"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48"/>
      <c r="Y43" s="1548"/>
      <c r="Z43" s="1548"/>
      <c r="AA43" s="1548"/>
      <c r="AB43" s="1548"/>
      <c r="AC43" s="1548"/>
      <c r="AD43" s="1548"/>
      <c r="AE43" s="1548"/>
      <c r="AF43" s="1548"/>
    </row>
    <row r="44" spans="1:33" s="2190"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48"/>
      <c r="Y44" s="1548"/>
      <c r="Z44" s="1548"/>
      <c r="AA44" s="1548"/>
      <c r="AB44" s="1548"/>
      <c r="AC44" s="1548"/>
      <c r="AD44" s="1548"/>
      <c r="AE44" s="1548"/>
      <c r="AF44" s="1548"/>
    </row>
    <row r="45" spans="1:33" s="2190" customFormat="1" ht="15" thickBot="1">
      <c r="A45" s="2194" t="s">
        <v>2397</v>
      </c>
      <c r="B45" s="2195"/>
      <c r="C45" s="608"/>
      <c r="D45" s="608"/>
      <c r="E45" s="608"/>
      <c r="F45" s="608"/>
      <c r="G45" s="608"/>
      <c r="H45" s="608"/>
      <c r="I45" s="608"/>
      <c r="J45" s="608"/>
      <c r="K45" s="608"/>
      <c r="L45" s="608"/>
      <c r="M45" s="608"/>
      <c r="N45" s="2025"/>
      <c r="O45" s="1548"/>
      <c r="P45" s="1548"/>
      <c r="Q45" s="2964"/>
      <c r="R45" s="2964"/>
      <c r="S45" s="2964"/>
      <c r="T45" s="2964"/>
      <c r="U45" s="2964"/>
      <c r="V45" s="2964"/>
      <c r="W45" s="2964"/>
      <c r="X45" s="1548"/>
      <c r="Y45" s="1548"/>
      <c r="Z45" s="1548"/>
      <c r="AA45" s="1548"/>
      <c r="AB45" s="1548"/>
      <c r="AC45" s="1548"/>
      <c r="AD45" s="1548"/>
      <c r="AE45" s="1548"/>
      <c r="AF45" s="1548"/>
    </row>
    <row r="46" spans="1:33" s="2190" customFormat="1" ht="14.4">
      <c r="A46" s="2196" t="s">
        <v>2398</v>
      </c>
      <c r="B46" s="2197">
        <f>1+E48</f>
        <v>1</v>
      </c>
      <c r="C46" s="2198"/>
      <c r="D46" s="2199"/>
      <c r="E46" s="2200"/>
      <c r="F46" s="2201"/>
      <c r="G46" s="608"/>
      <c r="H46" s="608"/>
      <c r="I46" s="608"/>
      <c r="J46" s="608"/>
      <c r="K46" s="608"/>
      <c r="L46" s="608"/>
      <c r="M46" s="2025"/>
      <c r="N46" s="2202"/>
      <c r="O46" s="1548"/>
      <c r="P46" s="1548"/>
      <c r="Q46" s="2964"/>
      <c r="R46" s="2964"/>
      <c r="S46" s="2964"/>
      <c r="T46" s="2964"/>
      <c r="U46" s="2964"/>
      <c r="V46" s="2964"/>
      <c r="W46" s="2964"/>
      <c r="X46" s="1548"/>
      <c r="Y46" s="1548"/>
      <c r="Z46" s="1548"/>
      <c r="AA46" s="1548"/>
      <c r="AB46" s="1548"/>
      <c r="AC46" s="1548"/>
      <c r="AD46" s="1548"/>
      <c r="AE46" s="1548"/>
    </row>
    <row r="47" spans="1:33" s="2190" customFormat="1" ht="25.2">
      <c r="A47" s="2203" t="s">
        <v>2399</v>
      </c>
      <c r="B47" s="2204" t="s">
        <v>2400</v>
      </c>
      <c r="C47" s="2204" t="s">
        <v>2401</v>
      </c>
      <c r="D47" s="2204" t="s">
        <v>2402</v>
      </c>
      <c r="E47" s="2205" t="s">
        <v>2403</v>
      </c>
      <c r="F47" s="2155" t="s">
        <v>2404</v>
      </c>
      <c r="G47" s="2204" t="s">
        <v>2405</v>
      </c>
      <c r="H47" s="2206" t="s">
        <v>2406</v>
      </c>
      <c r="I47" s="2204" t="s">
        <v>2407</v>
      </c>
      <c r="J47" s="1831" t="s">
        <v>2408</v>
      </c>
      <c r="K47" s="1831" t="s">
        <v>2409</v>
      </c>
      <c r="L47" s="1831" t="s">
        <v>2410</v>
      </c>
      <c r="M47" s="1831" t="s">
        <v>2411</v>
      </c>
      <c r="N47" s="1831" t="s">
        <v>2412</v>
      </c>
      <c r="O47" s="1548"/>
      <c r="P47" s="1548"/>
      <c r="Q47" s="2964"/>
      <c r="R47" s="2964"/>
      <c r="S47" s="2964"/>
      <c r="T47" s="2964"/>
      <c r="U47" s="2964"/>
      <c r="V47" s="2964"/>
      <c r="W47" s="2964"/>
      <c r="X47" s="1548"/>
      <c r="Y47" s="1548"/>
      <c r="Z47" s="1548"/>
      <c r="AA47" s="1548"/>
      <c r="AB47" s="1548"/>
      <c r="AC47" s="1548"/>
      <c r="AD47" s="1548"/>
      <c r="AE47" s="1548"/>
      <c r="AF47" s="1548"/>
      <c r="AG47" s="1548"/>
    </row>
    <row r="48" spans="1:33" s="2190" customFormat="1" ht="52.8">
      <c r="A48" s="2203" t="s">
        <v>2413</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48"/>
      <c r="P48" s="1548"/>
      <c r="Q48" s="2964"/>
      <c r="R48" s="2964"/>
      <c r="S48" s="2964"/>
      <c r="T48" s="2964"/>
      <c r="U48" s="2964"/>
      <c r="V48" s="2964"/>
      <c r="W48" s="2964"/>
      <c r="X48" s="1548"/>
      <c r="Y48" s="1548"/>
      <c r="Z48" s="1548"/>
      <c r="AA48" s="1548"/>
      <c r="AB48" s="1548"/>
      <c r="AC48" s="1548"/>
      <c r="AD48" s="1548"/>
      <c r="AE48" s="1548"/>
      <c r="AF48" s="1548"/>
      <c r="AG48" s="1548"/>
    </row>
    <row r="49" spans="1:33" s="2190" customFormat="1" ht="66">
      <c r="A49" s="2203" t="s">
        <v>2414</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48"/>
      <c r="P49" s="1548"/>
      <c r="Q49" s="2964"/>
      <c r="R49" s="2964"/>
      <c r="S49" s="2964"/>
      <c r="T49" s="2964"/>
      <c r="U49" s="2964"/>
      <c r="V49" s="2964"/>
      <c r="W49" s="2964"/>
      <c r="X49" s="1548"/>
      <c r="Y49" s="1548"/>
      <c r="Z49" s="1548"/>
      <c r="AA49" s="1548"/>
      <c r="AB49" s="1548"/>
      <c r="AC49" s="1548"/>
      <c r="AD49" s="1548"/>
      <c r="AE49" s="1548"/>
      <c r="AF49" s="1548"/>
      <c r="AG49" s="1548"/>
    </row>
    <row r="50" spans="1:33" s="2190" customFormat="1" ht="24">
      <c r="A50" s="2203" t="s">
        <v>2415</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48"/>
      <c r="P50" s="1548"/>
      <c r="Q50" s="2964"/>
      <c r="R50" s="2964"/>
      <c r="S50" s="2964"/>
      <c r="T50" s="2964"/>
      <c r="U50" s="2964"/>
      <c r="V50" s="2964"/>
      <c r="W50" s="2964"/>
      <c r="X50" s="1548"/>
      <c r="Y50" s="1548"/>
      <c r="Z50" s="1548"/>
      <c r="AA50" s="1548"/>
      <c r="AB50" s="1548"/>
      <c r="AC50" s="1548"/>
      <c r="AD50" s="1548"/>
      <c r="AE50" s="1548"/>
      <c r="AF50" s="1548"/>
      <c r="AG50" s="1548"/>
    </row>
    <row r="51" spans="1:33" s="2190" customFormat="1" ht="50.4">
      <c r="A51" s="2203" t="s">
        <v>2416</v>
      </c>
      <c r="B51" s="2217" t="s">
        <v>2417</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48"/>
      <c r="P51" s="1548"/>
      <c r="Q51" s="2964"/>
      <c r="R51" s="2964"/>
      <c r="S51" s="2964"/>
      <c r="T51" s="2964"/>
      <c r="U51" s="2964"/>
      <c r="V51" s="2964"/>
      <c r="W51" s="2964"/>
      <c r="X51" s="1548"/>
      <c r="Y51" s="1548"/>
      <c r="Z51" s="1548"/>
      <c r="AA51" s="1548"/>
      <c r="AB51" s="1548"/>
      <c r="AC51" s="1548"/>
      <c r="AD51" s="1548"/>
      <c r="AE51" s="1548"/>
      <c r="AF51" s="1548"/>
      <c r="AG51" s="1548"/>
    </row>
    <row r="52" spans="1:33" s="2190" customFormat="1" ht="24">
      <c r="A52" s="2203" t="s">
        <v>2418</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48"/>
      <c r="P52" s="1548"/>
      <c r="Q52" s="2964"/>
      <c r="R52" s="2964"/>
      <c r="S52" s="2964"/>
      <c r="T52" s="2964"/>
      <c r="U52" s="2964"/>
      <c r="V52" s="2964"/>
      <c r="W52" s="2964"/>
      <c r="X52" s="1548"/>
      <c r="Y52" s="1548"/>
      <c r="Z52" s="1548"/>
      <c r="AA52" s="1548"/>
      <c r="AB52" s="1548"/>
      <c r="AC52" s="1548"/>
      <c r="AD52" s="1548"/>
      <c r="AE52" s="1548"/>
      <c r="AF52" s="1548"/>
      <c r="AG52" s="1548"/>
    </row>
    <row r="53" spans="1:33" s="2190" customFormat="1" ht="36">
      <c r="A53" s="2203" t="s">
        <v>2419</v>
      </c>
      <c r="B53" s="2218" t="s">
        <v>2420</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48"/>
      <c r="P53" s="1548"/>
      <c r="Q53" s="2964"/>
      <c r="R53" s="2964"/>
      <c r="S53" s="2964"/>
      <c r="T53" s="2964"/>
      <c r="U53" s="2964"/>
      <c r="V53" s="2964"/>
      <c r="W53" s="2964"/>
      <c r="X53" s="1548"/>
      <c r="Y53" s="1548"/>
      <c r="Z53" s="1548"/>
      <c r="AA53" s="1548"/>
      <c r="AB53" s="1548"/>
      <c r="AC53" s="1548"/>
      <c r="AD53" s="1548"/>
      <c r="AE53" s="1548"/>
      <c r="AF53" s="1548"/>
      <c r="AG53" s="1548"/>
    </row>
    <row r="54" spans="1:33" s="2190" customFormat="1" ht="26.4">
      <c r="A54" s="2219" t="s">
        <v>2421</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48"/>
      <c r="P54" s="1548"/>
      <c r="Q54" s="2964"/>
      <c r="R54" s="2964"/>
      <c r="S54" s="2964"/>
      <c r="T54" s="2964"/>
      <c r="U54" s="2964"/>
      <c r="V54" s="2964"/>
      <c r="W54" s="2964"/>
      <c r="X54" s="1548"/>
      <c r="Y54" s="1548"/>
      <c r="Z54" s="1548"/>
      <c r="AA54" s="1548"/>
      <c r="AB54" s="1548"/>
      <c r="AC54" s="1548"/>
      <c r="AD54" s="1548"/>
      <c r="AE54" s="1548"/>
      <c r="AF54" s="1548"/>
      <c r="AG54" s="1548"/>
    </row>
    <row r="55" spans="1:33" s="2190" customFormat="1" ht="26.4">
      <c r="A55" s="2219" t="s">
        <v>2422</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48"/>
      <c r="P55" s="1548"/>
      <c r="Q55" s="2964"/>
      <c r="R55" s="2964"/>
      <c r="S55" s="2964"/>
      <c r="T55" s="2964"/>
      <c r="U55" s="2964"/>
      <c r="V55" s="2964"/>
      <c r="W55" s="2964"/>
      <c r="X55" s="1548"/>
      <c r="Y55" s="1548"/>
      <c r="Z55" s="1548"/>
      <c r="AA55" s="1548"/>
      <c r="AB55" s="1548"/>
      <c r="AC55" s="1548"/>
      <c r="AD55" s="1548"/>
      <c r="AE55" s="1548"/>
      <c r="AF55" s="1548"/>
      <c r="AG55" s="1548"/>
    </row>
    <row r="56" spans="1:33" s="2190" customFormat="1" ht="40.200000000000003" thickBot="1">
      <c r="A56" s="2221" t="s">
        <v>2423</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48"/>
      <c r="P56" s="1548"/>
      <c r="Q56" s="2964"/>
      <c r="R56" s="2964"/>
      <c r="S56" s="2964"/>
      <c r="T56" s="2964"/>
      <c r="U56" s="2964"/>
      <c r="V56" s="2964"/>
      <c r="W56" s="2964"/>
      <c r="X56" s="1548"/>
      <c r="Y56" s="1548"/>
      <c r="Z56" s="1548"/>
      <c r="AA56" s="1548"/>
      <c r="AB56" s="1548"/>
      <c r="AC56" s="1548"/>
      <c r="AD56" s="1548"/>
      <c r="AE56" s="1548"/>
      <c r="AF56" s="1548"/>
      <c r="AG56" s="1548"/>
    </row>
    <row r="57" spans="1:33" s="2190" customFormat="1" ht="14.4">
      <c r="A57" s="2196" t="s">
        <v>2424</v>
      </c>
      <c r="B57" s="2225">
        <f>1+E59</f>
        <v>1</v>
      </c>
      <c r="C57" s="2199"/>
      <c r="D57" s="2199"/>
      <c r="E57" s="2200"/>
      <c r="F57" s="2201"/>
      <c r="G57" s="608"/>
      <c r="H57" s="608"/>
      <c r="I57" s="608"/>
      <c r="J57" s="608"/>
      <c r="K57" s="608"/>
      <c r="L57" s="608"/>
      <c r="M57" s="608"/>
      <c r="N57" s="608"/>
      <c r="O57" s="1548"/>
      <c r="P57" s="1548"/>
      <c r="Q57" s="2964"/>
      <c r="R57" s="2964"/>
      <c r="S57" s="2964"/>
      <c r="T57" s="2964"/>
      <c r="U57" s="2964"/>
      <c r="V57" s="2964"/>
      <c r="W57" s="2964"/>
      <c r="X57" s="1548"/>
      <c r="Y57" s="1548"/>
      <c r="Z57" s="1548"/>
      <c r="AA57" s="1548"/>
      <c r="AB57" s="1548"/>
      <c r="AC57" s="1548"/>
      <c r="AD57" s="1548"/>
      <c r="AE57" s="1548"/>
      <c r="AF57" s="1548"/>
      <c r="AG57" s="1548"/>
    </row>
    <row r="58" spans="1:33" s="2190" customFormat="1" ht="25.2">
      <c r="A58" s="2203" t="s">
        <v>2399</v>
      </c>
      <c r="B58" s="2215"/>
      <c r="C58" s="2204" t="s">
        <v>2401</v>
      </c>
      <c r="D58" s="2204" t="s">
        <v>2402</v>
      </c>
      <c r="E58" s="2205" t="s">
        <v>2403</v>
      </c>
      <c r="F58" s="2155" t="s">
        <v>2404</v>
      </c>
      <c r="G58" s="2204" t="s">
        <v>2425</v>
      </c>
      <c r="H58" s="2206" t="s">
        <v>2426</v>
      </c>
      <c r="I58" s="2204" t="s">
        <v>2427</v>
      </c>
      <c r="J58" s="1831" t="s">
        <v>2068</v>
      </c>
      <c r="K58" s="1831" t="s">
        <v>2069</v>
      </c>
      <c r="L58" s="1831" t="s">
        <v>2070</v>
      </c>
      <c r="M58" s="1831" t="s">
        <v>2071</v>
      </c>
      <c r="N58" s="1831" t="s">
        <v>2072</v>
      </c>
      <c r="O58" s="1548"/>
      <c r="P58" s="1548"/>
      <c r="Q58" s="2964"/>
      <c r="R58" s="2964"/>
      <c r="S58" s="2964"/>
      <c r="T58" s="2964"/>
      <c r="U58" s="2964"/>
      <c r="V58" s="2964"/>
      <c r="W58" s="2964"/>
      <c r="X58" s="1548"/>
      <c r="Y58" s="1548"/>
      <c r="Z58" s="1548"/>
      <c r="AA58" s="1548"/>
      <c r="AB58" s="1548"/>
      <c r="AC58" s="1548"/>
      <c r="AD58" s="1548"/>
      <c r="AE58" s="1548"/>
      <c r="AF58" s="1548"/>
      <c r="AG58" s="1548"/>
    </row>
    <row r="59" spans="1:33" s="2190" customFormat="1" ht="52.8">
      <c r="A59" s="2203" t="s">
        <v>2428</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48"/>
      <c r="P59" s="1548"/>
      <c r="Q59" s="2964"/>
      <c r="R59" s="2964"/>
      <c r="S59" s="2964"/>
      <c r="T59" s="2964"/>
      <c r="U59" s="2964"/>
      <c r="V59" s="2964"/>
      <c r="W59" s="2964"/>
      <c r="X59" s="1548"/>
      <c r="Y59" s="1548"/>
      <c r="Z59" s="1548"/>
      <c r="AA59" s="1548"/>
      <c r="AB59" s="1548"/>
      <c r="AC59" s="1548"/>
      <c r="AD59" s="1548"/>
      <c r="AE59" s="1548"/>
      <c r="AF59" s="1548"/>
      <c r="AG59" s="1548"/>
    </row>
    <row r="60" spans="1:33" s="2190" customFormat="1" ht="66">
      <c r="A60" s="2203" t="s">
        <v>2414</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48"/>
      <c r="P60" s="1548"/>
      <c r="Q60" s="2964"/>
      <c r="R60" s="2964"/>
      <c r="S60" s="2964"/>
      <c r="T60" s="2964"/>
      <c r="U60" s="2964"/>
      <c r="V60" s="2964"/>
      <c r="W60" s="2964"/>
      <c r="X60" s="1548"/>
      <c r="Y60" s="1548"/>
      <c r="Z60" s="1548"/>
      <c r="AA60" s="1548"/>
      <c r="AB60" s="1548"/>
      <c r="AC60" s="1548"/>
      <c r="AD60" s="1548"/>
      <c r="AE60" s="1548"/>
      <c r="AF60" s="1548"/>
      <c r="AG60" s="1548"/>
    </row>
    <row r="61" spans="1:33" s="2190" customFormat="1" ht="24">
      <c r="A61" s="2203" t="s">
        <v>2415</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48"/>
      <c r="P61" s="1548"/>
      <c r="Q61" s="2964"/>
      <c r="R61" s="2964"/>
      <c r="S61" s="2964"/>
      <c r="T61" s="2964"/>
      <c r="U61" s="2964"/>
      <c r="V61" s="2964"/>
      <c r="W61" s="2964"/>
      <c r="X61" s="1548"/>
      <c r="Y61" s="1548"/>
      <c r="Z61" s="1548"/>
      <c r="AA61" s="1548"/>
      <c r="AB61" s="1548"/>
      <c r="AC61" s="1548"/>
      <c r="AD61" s="1548"/>
      <c r="AE61" s="1548"/>
      <c r="AF61" s="1548"/>
      <c r="AG61" s="1548"/>
    </row>
    <row r="62" spans="1:33" s="2190" customFormat="1" ht="50.4">
      <c r="A62" s="2203" t="s">
        <v>2416</v>
      </c>
      <c r="B62" s="2217" t="s">
        <v>2417</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48"/>
      <c r="P62" s="1548"/>
      <c r="Q62" s="2964"/>
      <c r="R62" s="2964"/>
      <c r="S62" s="2964"/>
      <c r="T62" s="2964"/>
      <c r="U62" s="2964"/>
      <c r="V62" s="2964"/>
      <c r="W62" s="2964"/>
      <c r="X62" s="1548"/>
      <c r="Y62" s="1548"/>
      <c r="Z62" s="1548"/>
      <c r="AA62" s="1548"/>
      <c r="AB62" s="1548"/>
      <c r="AC62" s="1548"/>
      <c r="AD62" s="1548"/>
      <c r="AE62" s="1548"/>
      <c r="AF62" s="1548"/>
      <c r="AG62" s="1548"/>
    </row>
    <row r="63" spans="1:33" s="2190" customFormat="1" ht="24">
      <c r="A63" s="2203" t="s">
        <v>2418</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48"/>
      <c r="P63" s="1548"/>
      <c r="Q63" s="2964"/>
      <c r="R63" s="2964"/>
      <c r="S63" s="2964"/>
      <c r="T63" s="2964"/>
      <c r="U63" s="2964"/>
      <c r="V63" s="2964"/>
      <c r="W63" s="2964"/>
      <c r="X63" s="1548"/>
      <c r="Y63" s="1548"/>
      <c r="Z63" s="1548"/>
      <c r="AA63" s="1548"/>
      <c r="AB63" s="1548"/>
      <c r="AC63" s="1548"/>
      <c r="AD63" s="1548"/>
      <c r="AE63" s="1548"/>
      <c r="AF63" s="1548"/>
      <c r="AG63" s="1548"/>
    </row>
    <row r="64" spans="1:33" s="2190" customFormat="1" ht="36">
      <c r="A64" s="2203" t="s">
        <v>2419</v>
      </c>
      <c r="B64" s="2218" t="s">
        <v>2420</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48"/>
      <c r="P64" s="1548"/>
      <c r="Q64" s="2964"/>
      <c r="R64" s="2964"/>
      <c r="S64" s="2964"/>
      <c r="T64" s="2964"/>
      <c r="U64" s="2964"/>
      <c r="V64" s="2964"/>
      <c r="W64" s="2964"/>
      <c r="X64" s="1548"/>
      <c r="Y64" s="1548"/>
      <c r="Z64" s="1548"/>
      <c r="AA64" s="1548"/>
      <c r="AB64" s="1548"/>
      <c r="AC64" s="1548"/>
      <c r="AD64" s="1548"/>
      <c r="AE64" s="1548"/>
      <c r="AF64" s="1548"/>
      <c r="AG64" s="1548"/>
    </row>
    <row r="65" spans="1:33" s="2190" customFormat="1" ht="26.4">
      <c r="A65" s="2203" t="s">
        <v>2421</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48"/>
      <c r="P65" s="1548"/>
      <c r="Q65" s="2964"/>
      <c r="R65" s="2964"/>
      <c r="S65" s="2964"/>
      <c r="T65" s="2964"/>
      <c r="U65" s="2964"/>
      <c r="V65" s="2964"/>
      <c r="W65" s="2964"/>
      <c r="X65" s="1548"/>
      <c r="Y65" s="1548"/>
      <c r="Z65" s="1548"/>
      <c r="AA65" s="1548"/>
      <c r="AB65" s="1548"/>
      <c r="AC65" s="1548"/>
      <c r="AD65" s="1548"/>
      <c r="AE65" s="1548"/>
      <c r="AF65" s="1548"/>
      <c r="AG65" s="1548"/>
    </row>
    <row r="66" spans="1:33" s="2190" customFormat="1" ht="26.4">
      <c r="A66" s="2203" t="s">
        <v>2422</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48"/>
      <c r="P66" s="1548"/>
      <c r="Q66" s="2964"/>
      <c r="R66" s="2964"/>
      <c r="S66" s="2964"/>
      <c r="T66" s="2964"/>
      <c r="U66" s="2964"/>
      <c r="V66" s="2964"/>
      <c r="W66" s="2964"/>
      <c r="X66" s="1548"/>
      <c r="Y66" s="1548"/>
      <c r="Z66" s="1548"/>
      <c r="AA66" s="1548"/>
      <c r="AB66" s="1548"/>
      <c r="AC66" s="1548"/>
      <c r="AD66" s="1548"/>
      <c r="AE66" s="1548"/>
      <c r="AF66" s="1548"/>
      <c r="AG66" s="1548"/>
    </row>
    <row r="67" spans="1:33" s="2190" customFormat="1" ht="40.200000000000003" thickBot="1">
      <c r="A67" s="2221" t="s">
        <v>2423</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48"/>
      <c r="P67" s="1548"/>
      <c r="Q67" s="2964"/>
      <c r="R67" s="2964"/>
      <c r="S67" s="2964"/>
      <c r="T67" s="2964"/>
      <c r="U67" s="2964"/>
      <c r="V67" s="2964"/>
      <c r="W67" s="2964"/>
      <c r="X67" s="1548"/>
      <c r="Y67" s="1548"/>
      <c r="Z67" s="1548"/>
      <c r="AA67" s="1548"/>
      <c r="AB67" s="1548"/>
      <c r="AC67" s="1548"/>
      <c r="AD67" s="1548"/>
      <c r="AE67" s="1548"/>
      <c r="AF67" s="1548"/>
      <c r="AG67" s="1548"/>
    </row>
    <row r="68" spans="1:33" s="2190" customFormat="1" ht="14.4">
      <c r="A68" s="2196" t="s">
        <v>2429</v>
      </c>
      <c r="B68" s="2225">
        <f>1+E70</f>
        <v>1</v>
      </c>
      <c r="C68" s="2199"/>
      <c r="D68" s="2199"/>
      <c r="E68" s="2200"/>
      <c r="F68" s="2201"/>
      <c r="G68" s="608"/>
      <c r="H68" s="608"/>
      <c r="I68" s="608"/>
      <c r="J68" s="608"/>
      <c r="K68" s="608"/>
      <c r="L68" s="608"/>
      <c r="M68" s="608"/>
      <c r="N68" s="608"/>
      <c r="O68" s="1548"/>
      <c r="P68" s="1548"/>
      <c r="Q68" s="2964"/>
      <c r="R68" s="2964"/>
      <c r="S68" s="2964"/>
      <c r="T68" s="2964"/>
      <c r="U68" s="2964"/>
      <c r="V68" s="2964"/>
      <c r="W68" s="2964"/>
      <c r="X68" s="1548"/>
      <c r="Y68" s="1548"/>
      <c r="Z68" s="1548"/>
      <c r="AA68" s="1548"/>
      <c r="AB68" s="1548"/>
      <c r="AC68" s="1548"/>
      <c r="AD68" s="1548"/>
      <c r="AE68" s="1548"/>
      <c r="AF68" s="1548"/>
      <c r="AG68" s="1548"/>
    </row>
    <row r="69" spans="1:33" s="2190" customFormat="1" ht="25.2">
      <c r="A69" s="2203" t="s">
        <v>2399</v>
      </c>
      <c r="B69" s="2215"/>
      <c r="C69" s="2204" t="s">
        <v>2401</v>
      </c>
      <c r="D69" s="2204" t="s">
        <v>2402</v>
      </c>
      <c r="E69" s="2205" t="s">
        <v>2403</v>
      </c>
      <c r="F69" s="2155" t="s">
        <v>2404</v>
      </c>
      <c r="G69" s="2204" t="s">
        <v>2425</v>
      </c>
      <c r="H69" s="2206" t="s">
        <v>2426</v>
      </c>
      <c r="I69" s="2204" t="s">
        <v>2427</v>
      </c>
      <c r="J69" s="1831" t="s">
        <v>2068</v>
      </c>
      <c r="K69" s="1831" t="s">
        <v>2069</v>
      </c>
      <c r="L69" s="1831" t="s">
        <v>2070</v>
      </c>
      <c r="M69" s="1831" t="s">
        <v>2071</v>
      </c>
      <c r="N69" s="1831" t="s">
        <v>2072</v>
      </c>
      <c r="O69" s="1548"/>
      <c r="P69" s="1548"/>
      <c r="Q69" s="2964"/>
      <c r="R69" s="2964"/>
      <c r="S69" s="2964"/>
      <c r="T69" s="2964"/>
      <c r="U69" s="2964"/>
      <c r="V69" s="2964"/>
      <c r="W69" s="2964"/>
      <c r="X69" s="1548"/>
      <c r="Y69" s="1548"/>
      <c r="Z69" s="1548"/>
      <c r="AA69" s="1548"/>
      <c r="AB69" s="1548"/>
      <c r="AC69" s="1548"/>
      <c r="AD69" s="1548"/>
      <c r="AE69" s="1548"/>
      <c r="AF69" s="1548"/>
      <c r="AG69" s="1548"/>
    </row>
    <row r="70" spans="1:33" s="2190" customFormat="1" ht="66">
      <c r="A70" s="2203" t="s">
        <v>2430</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48"/>
      <c r="P70" s="1548"/>
      <c r="Q70" s="2964"/>
      <c r="R70" s="2964"/>
      <c r="S70" s="2964"/>
      <c r="T70" s="2964"/>
      <c r="U70" s="2964"/>
      <c r="V70" s="2964"/>
      <c r="W70" s="2964"/>
      <c r="X70" s="1548"/>
      <c r="Y70" s="1548"/>
      <c r="Z70" s="1548"/>
      <c r="AA70" s="1548"/>
      <c r="AB70" s="1548"/>
      <c r="AC70" s="1548"/>
      <c r="AD70" s="1548"/>
      <c r="AE70" s="1548"/>
      <c r="AF70" s="1548"/>
      <c r="AG70" s="1548"/>
    </row>
    <row r="71" spans="1:33" s="2190" customFormat="1" ht="66">
      <c r="A71" s="2203" t="s">
        <v>2414</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48"/>
      <c r="P71" s="1548"/>
      <c r="Q71" s="2964"/>
      <c r="R71" s="2964"/>
      <c r="S71" s="2964"/>
      <c r="T71" s="2964"/>
      <c r="U71" s="2964"/>
      <c r="V71" s="2964"/>
      <c r="W71" s="2964"/>
      <c r="X71" s="1548"/>
      <c r="Y71" s="1548"/>
      <c r="Z71" s="1548"/>
      <c r="AA71" s="1548"/>
      <c r="AB71" s="1548"/>
      <c r="AC71" s="1548"/>
      <c r="AD71" s="1548"/>
      <c r="AE71" s="1548"/>
      <c r="AF71" s="1548"/>
      <c r="AG71" s="1548"/>
    </row>
    <row r="72" spans="1:33" s="2190" customFormat="1" ht="24">
      <c r="A72" s="2203" t="s">
        <v>2415</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48"/>
      <c r="P72" s="1548"/>
      <c r="Q72" s="2964"/>
      <c r="R72" s="2964"/>
      <c r="S72" s="2964"/>
      <c r="T72" s="2964"/>
      <c r="U72" s="2964"/>
      <c r="V72" s="2964"/>
      <c r="W72" s="2964"/>
      <c r="X72" s="1548"/>
      <c r="Y72" s="1548"/>
      <c r="Z72" s="1548"/>
      <c r="AA72" s="1548"/>
      <c r="AB72" s="1548"/>
      <c r="AC72" s="1548"/>
      <c r="AD72" s="1548"/>
      <c r="AE72" s="1548"/>
      <c r="AF72" s="1548"/>
      <c r="AG72" s="1548"/>
    </row>
    <row r="73" spans="1:33" s="2190" customFormat="1" ht="13.8">
      <c r="A73" s="2203" t="s">
        <v>2431</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48"/>
      <c r="P73" s="1548"/>
      <c r="Q73" s="2964"/>
      <c r="R73" s="2964"/>
      <c r="S73" s="2964"/>
      <c r="T73" s="2964"/>
      <c r="U73" s="2964"/>
      <c r="V73" s="2964"/>
      <c r="W73" s="2964"/>
      <c r="X73" s="1548"/>
      <c r="Y73" s="1548"/>
      <c r="Z73" s="1548"/>
      <c r="AA73" s="1548"/>
      <c r="AB73" s="1548"/>
      <c r="AC73" s="1548"/>
      <c r="AD73" s="1548"/>
      <c r="AE73" s="1548"/>
      <c r="AF73" s="1548"/>
      <c r="AG73" s="1548"/>
    </row>
    <row r="74" spans="1:33" s="2190" customFormat="1" ht="26.4">
      <c r="A74" s="2203" t="s">
        <v>2421</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48"/>
      <c r="P74" s="1548"/>
      <c r="Q74" s="2964"/>
      <c r="R74" s="2964"/>
      <c r="S74" s="2964"/>
      <c r="T74" s="2964"/>
      <c r="U74" s="2964"/>
      <c r="V74" s="2964"/>
      <c r="W74" s="2964"/>
      <c r="X74" s="1548"/>
      <c r="Y74" s="1548"/>
      <c r="Z74" s="1548"/>
      <c r="AA74" s="1548"/>
      <c r="AB74" s="1548"/>
      <c r="AC74" s="1548"/>
      <c r="AD74" s="1548"/>
      <c r="AE74" s="1548"/>
      <c r="AF74" s="1548"/>
      <c r="AG74" s="1548"/>
    </row>
    <row r="75" spans="1:33" s="2190" customFormat="1" ht="26.4">
      <c r="A75" s="2203" t="s">
        <v>2422</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48"/>
      <c r="P75" s="1548"/>
      <c r="Q75" s="2964"/>
      <c r="R75" s="2964"/>
      <c r="S75" s="2964"/>
      <c r="T75" s="2964"/>
      <c r="U75" s="2964"/>
      <c r="V75" s="2964"/>
      <c r="W75" s="2964"/>
      <c r="X75" s="1548"/>
      <c r="Y75" s="1548"/>
      <c r="Z75" s="1548"/>
      <c r="AA75" s="1548"/>
      <c r="AB75" s="1548"/>
      <c r="AC75" s="1548"/>
      <c r="AD75" s="1548"/>
      <c r="AE75" s="1548"/>
      <c r="AF75" s="1548"/>
      <c r="AG75" s="1548"/>
    </row>
    <row r="76" spans="1:33" ht="36">
      <c r="A76" s="2203" t="s">
        <v>2419</v>
      </c>
      <c r="B76" s="2218" t="s">
        <v>2420</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2"/>
      <c r="R76" s="2972"/>
      <c r="S76" s="2972"/>
      <c r="T76" s="2972"/>
      <c r="U76" s="2972"/>
      <c r="V76" s="2972"/>
      <c r="W76" s="2972"/>
      <c r="AA76" s="1549"/>
      <c r="AG76" s="2190"/>
    </row>
    <row r="77" spans="1:33" ht="39.6">
      <c r="A77" s="2203" t="s">
        <v>2423</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2"/>
      <c r="R77" s="2972"/>
      <c r="S77" s="2972"/>
      <c r="T77" s="2972"/>
      <c r="U77" s="2972"/>
      <c r="V77" s="2972"/>
      <c r="W77" s="2972"/>
      <c r="AA77" s="1549"/>
      <c r="AG77" s="2190"/>
    </row>
    <row r="78" spans="1:33" ht="36.6" thickBot="1">
      <c r="A78" s="2221" t="s">
        <v>2432</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2"/>
      <c r="R78" s="2972"/>
      <c r="S78" s="2972"/>
      <c r="T78" s="2972"/>
      <c r="U78" s="2972"/>
      <c r="V78" s="2972"/>
      <c r="W78" s="2972"/>
      <c r="AA78" s="1549"/>
      <c r="AG78" s="2190"/>
    </row>
    <row r="79" spans="1:33" ht="14.4">
      <c r="A79" s="2196" t="s">
        <v>2433</v>
      </c>
      <c r="B79" s="2225">
        <f>1+E81</f>
        <v>1</v>
      </c>
      <c r="C79" s="2199"/>
      <c r="D79" s="2199"/>
      <c r="E79" s="2200"/>
      <c r="F79" s="2201"/>
      <c r="G79" s="608"/>
      <c r="H79" s="608"/>
      <c r="I79" s="608"/>
      <c r="J79" s="608"/>
      <c r="K79" s="608"/>
      <c r="L79" s="608"/>
      <c r="M79" s="608"/>
      <c r="N79" s="608"/>
      <c r="Q79" s="2972"/>
      <c r="R79" s="2972"/>
      <c r="S79" s="2972"/>
      <c r="T79" s="2972"/>
      <c r="U79" s="2972"/>
      <c r="V79" s="2972"/>
      <c r="W79" s="2972"/>
      <c r="AA79" s="1549"/>
      <c r="AG79" s="2190"/>
    </row>
    <row r="80" spans="1:33" ht="25.2">
      <c r="A80" s="2203" t="s">
        <v>2399</v>
      </c>
      <c r="B80" s="2215"/>
      <c r="C80" s="2204" t="s">
        <v>2401</v>
      </c>
      <c r="D80" s="2204" t="s">
        <v>2402</v>
      </c>
      <c r="E80" s="2205" t="s">
        <v>2403</v>
      </c>
      <c r="F80" s="2155" t="s">
        <v>2404</v>
      </c>
      <c r="G80" s="2204" t="s">
        <v>2425</v>
      </c>
      <c r="H80" s="2206" t="s">
        <v>2426</v>
      </c>
      <c r="I80" s="2204" t="s">
        <v>2427</v>
      </c>
      <c r="J80" s="1831" t="s">
        <v>2068</v>
      </c>
      <c r="K80" s="1831" t="s">
        <v>2069</v>
      </c>
      <c r="L80" s="1831" t="s">
        <v>2070</v>
      </c>
      <c r="M80" s="1831" t="s">
        <v>2071</v>
      </c>
      <c r="N80" s="1831" t="s">
        <v>2072</v>
      </c>
      <c r="Q80" s="2972"/>
      <c r="R80" s="2972"/>
      <c r="S80" s="2972"/>
      <c r="T80" s="2972"/>
      <c r="U80" s="2972"/>
      <c r="V80" s="2972"/>
      <c r="W80" s="2972"/>
      <c r="AA80" s="1549"/>
      <c r="AG80" s="2190"/>
    </row>
    <row r="81" spans="1:33" ht="39.6">
      <c r="A81" s="2203" t="s">
        <v>2434</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2"/>
      <c r="R81" s="2972"/>
      <c r="S81" s="2972"/>
      <c r="T81" s="2972"/>
      <c r="U81" s="2972"/>
      <c r="V81" s="2972"/>
      <c r="W81" s="2972"/>
      <c r="AA81" s="1549"/>
      <c r="AG81" s="2190"/>
    </row>
    <row r="82" spans="1:33" ht="66">
      <c r="A82" s="2203" t="s">
        <v>2414</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2"/>
      <c r="R82" s="2972"/>
      <c r="S82" s="2972"/>
      <c r="T82" s="2972"/>
      <c r="U82" s="2972"/>
      <c r="V82" s="2972"/>
      <c r="W82" s="2972"/>
      <c r="AA82" s="1549"/>
      <c r="AG82" s="2190"/>
    </row>
    <row r="83" spans="1:33" ht="24">
      <c r="A83" s="2203" t="s">
        <v>2415</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2"/>
      <c r="R83" s="2972"/>
      <c r="S83" s="2972"/>
      <c r="T83" s="2972"/>
      <c r="U83" s="2972"/>
      <c r="V83" s="2972"/>
      <c r="W83" s="2972"/>
      <c r="AA83" s="1549"/>
      <c r="AG83" s="2190"/>
    </row>
    <row r="84" spans="1:33" ht="13.8">
      <c r="A84" s="2203" t="s">
        <v>2431</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2"/>
      <c r="R84" s="2972"/>
      <c r="S84" s="2972"/>
      <c r="T84" s="2972"/>
      <c r="U84" s="2972"/>
      <c r="V84" s="2972"/>
      <c r="W84" s="2972"/>
      <c r="AA84" s="1549"/>
      <c r="AG84" s="2190"/>
    </row>
    <row r="85" spans="1:33" ht="26.4">
      <c r="A85" s="2203" t="s">
        <v>2421</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2"/>
      <c r="R85" s="2972"/>
      <c r="S85" s="2972"/>
      <c r="T85" s="2972"/>
      <c r="U85" s="2972"/>
      <c r="V85" s="2972"/>
      <c r="W85" s="2972"/>
      <c r="AA85" s="1549"/>
      <c r="AG85" s="2190"/>
    </row>
    <row r="86" spans="1:33" ht="26.4">
      <c r="A86" s="2203" t="s">
        <v>2422</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2"/>
      <c r="R86" s="2972"/>
      <c r="S86" s="2972"/>
      <c r="T86" s="2972"/>
      <c r="U86" s="2972"/>
      <c r="V86" s="2972"/>
      <c r="W86" s="2972"/>
      <c r="AA86" s="1549"/>
      <c r="AG86" s="2190"/>
    </row>
    <row r="87" spans="1:33" ht="36">
      <c r="A87" s="2203" t="s">
        <v>2419</v>
      </c>
      <c r="B87" s="2218" t="s">
        <v>2420</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2"/>
      <c r="R87" s="2972"/>
      <c r="S87" s="2972"/>
      <c r="T87" s="2972"/>
      <c r="U87" s="2972"/>
      <c r="V87" s="2972"/>
      <c r="W87" s="2972"/>
      <c r="AA87" s="1549"/>
      <c r="AG87" s="2190"/>
    </row>
    <row r="88" spans="1:33" ht="53.4" thickBot="1">
      <c r="A88" s="2221" t="s">
        <v>2435</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2"/>
      <c r="R88" s="2972"/>
      <c r="S88" s="2972"/>
      <c r="T88" s="2972"/>
      <c r="U88" s="2972"/>
      <c r="V88" s="2972"/>
      <c r="W88" s="2972"/>
      <c r="AA88" s="1549"/>
      <c r="AG88" s="2190"/>
    </row>
    <row r="89" spans="1:33">
      <c r="Q89" s="2972"/>
      <c r="R89" s="2972"/>
      <c r="S89" s="2972"/>
      <c r="T89" s="2972"/>
      <c r="U89" s="2972"/>
      <c r="V89" s="2972"/>
      <c r="W89" s="2972"/>
    </row>
    <row r="90" spans="1:33">
      <c r="A90" s="3693" t="s">
        <v>2436</v>
      </c>
      <c r="B90" s="3693"/>
      <c r="C90" s="3693"/>
      <c r="D90" s="3693"/>
      <c r="E90" s="3693"/>
      <c r="F90" s="3693"/>
      <c r="G90" s="3693"/>
      <c r="H90" s="3693"/>
      <c r="I90" s="3693"/>
      <c r="J90" s="3693"/>
      <c r="K90" s="2231"/>
      <c r="L90" s="2231"/>
      <c r="M90" s="2231"/>
      <c r="N90" s="2231"/>
      <c r="Q90" s="2972"/>
      <c r="R90" s="2972"/>
      <c r="S90" s="2972"/>
      <c r="T90" s="2972"/>
      <c r="U90" s="2972"/>
      <c r="V90" s="2972"/>
      <c r="W90" s="2972"/>
    </row>
    <row r="91" spans="1:33">
      <c r="A91" s="3695" t="s">
        <v>2437</v>
      </c>
      <c r="B91" s="3695" t="s">
        <v>2438</v>
      </c>
      <c r="C91" s="2170" t="s">
        <v>2439</v>
      </c>
      <c r="D91" s="2171"/>
      <c r="E91" s="2171"/>
      <c r="F91" s="2171"/>
      <c r="G91" s="2171"/>
      <c r="H91" s="2171"/>
      <c r="I91" s="2171"/>
      <c r="J91" s="2233"/>
      <c r="K91" s="1993"/>
      <c r="L91" s="1993"/>
      <c r="M91" s="1993"/>
      <c r="N91" s="1993"/>
      <c r="Q91" s="2972"/>
      <c r="R91" s="2972"/>
      <c r="S91" s="2972"/>
      <c r="T91" s="2972"/>
      <c r="U91" s="2972"/>
      <c r="V91" s="2972"/>
      <c r="W91" s="2972"/>
    </row>
    <row r="92" spans="1:33">
      <c r="A92" s="3695"/>
      <c r="B92" s="3695"/>
      <c r="C92" s="1956" t="s">
        <v>2292</v>
      </c>
      <c r="D92" s="1956" t="s">
        <v>2293</v>
      </c>
      <c r="E92" s="1956" t="s">
        <v>2294</v>
      </c>
      <c r="F92" s="1956" t="s">
        <v>2295</v>
      </c>
      <c r="G92" s="1956" t="s">
        <v>2296</v>
      </c>
      <c r="H92" s="1956" t="s">
        <v>2297</v>
      </c>
      <c r="I92" s="1956" t="s">
        <v>2298</v>
      </c>
      <c r="J92" s="1956" t="s">
        <v>2299</v>
      </c>
      <c r="K92" s="1956" t="s">
        <v>2300</v>
      </c>
      <c r="L92" s="1956" t="s">
        <v>2301</v>
      </c>
      <c r="M92" s="1956" t="s">
        <v>2302</v>
      </c>
      <c r="N92" s="1956" t="s">
        <v>2303</v>
      </c>
      <c r="Q92" s="2972"/>
      <c r="R92" s="2972"/>
      <c r="S92" s="2972"/>
      <c r="T92" s="2972"/>
      <c r="U92" s="2972"/>
      <c r="V92" s="2972"/>
      <c r="W92" s="2972"/>
    </row>
    <row r="93" spans="1:33">
      <c r="A93" s="3696" t="s">
        <v>2440</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2"/>
      <c r="R93" s="2972"/>
      <c r="S93" s="2972"/>
      <c r="T93" s="2972"/>
      <c r="U93" s="2972"/>
      <c r="V93" s="2972"/>
      <c r="W93" s="2972"/>
    </row>
    <row r="94" spans="1:33">
      <c r="A94" s="3697"/>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2"/>
      <c r="R94" s="2972"/>
      <c r="S94" s="2972"/>
      <c r="T94" s="2972"/>
      <c r="U94" s="2972"/>
      <c r="V94" s="2972"/>
      <c r="W94" s="2972"/>
    </row>
    <row r="95" spans="1:33">
      <c r="A95" s="3697"/>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2"/>
      <c r="R95" s="2972"/>
      <c r="S95" s="2972"/>
      <c r="T95" s="2972"/>
      <c r="U95" s="2972"/>
      <c r="V95" s="2972"/>
      <c r="W95" s="2972"/>
    </row>
    <row r="96" spans="1:33">
      <c r="A96" s="3697"/>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2"/>
      <c r="R96" s="2972"/>
      <c r="S96" s="2972"/>
      <c r="T96" s="2972"/>
      <c r="U96" s="2972"/>
      <c r="V96" s="2972"/>
      <c r="W96" s="2972"/>
    </row>
    <row r="97" spans="1:23">
      <c r="A97" s="3697"/>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2"/>
      <c r="R97" s="2972"/>
      <c r="S97" s="2972"/>
      <c r="T97" s="2972"/>
      <c r="U97" s="2972"/>
      <c r="V97" s="2972"/>
      <c r="W97" s="2972"/>
    </row>
    <row r="98" spans="1:23">
      <c r="A98" s="3697"/>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2"/>
      <c r="R98" s="2972"/>
      <c r="S98" s="2972"/>
      <c r="T98" s="2972"/>
      <c r="U98" s="2972"/>
      <c r="V98" s="2972"/>
      <c r="W98" s="2972"/>
    </row>
    <row r="99" spans="1:23">
      <c r="A99" s="3697"/>
      <c r="B99" s="2234" t="s">
        <v>2308</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2"/>
      <c r="R99" s="2972"/>
      <c r="S99" s="2972"/>
      <c r="T99" s="2972"/>
      <c r="U99" s="2972"/>
      <c r="V99" s="2972"/>
      <c r="W99" s="2972"/>
    </row>
    <row r="100" spans="1:23">
      <c r="A100" s="3698"/>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2"/>
      <c r="R100" s="2972"/>
      <c r="S100" s="2972"/>
      <c r="T100" s="2972"/>
      <c r="U100" s="2972"/>
      <c r="V100" s="2972"/>
      <c r="W100" s="2972"/>
    </row>
    <row r="101" spans="1:23">
      <c r="A101" s="3696" t="s">
        <v>2441</v>
      </c>
      <c r="B101" s="2238" t="s">
        <v>2442</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2"/>
      <c r="R101" s="2972"/>
      <c r="S101" s="2972"/>
      <c r="T101" s="2972"/>
      <c r="U101" s="2972"/>
      <c r="V101" s="2972"/>
      <c r="W101" s="2972"/>
    </row>
    <row r="102" spans="1:23">
      <c r="A102" s="3697"/>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2"/>
      <c r="R102" s="2972"/>
      <c r="S102" s="2972"/>
      <c r="T102" s="2972"/>
      <c r="U102" s="2972"/>
      <c r="V102" s="2972"/>
      <c r="W102" s="2972"/>
    </row>
    <row r="103" spans="1:23">
      <c r="A103" s="3697"/>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2"/>
      <c r="R103" s="2972"/>
      <c r="S103" s="2972"/>
      <c r="T103" s="2972"/>
      <c r="U103" s="2972"/>
      <c r="V103" s="2972"/>
      <c r="W103" s="2972"/>
    </row>
    <row r="104" spans="1:23">
      <c r="A104" s="3697"/>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2"/>
      <c r="R104" s="2972"/>
      <c r="S104" s="2972"/>
      <c r="T104" s="2972"/>
      <c r="U104" s="2972"/>
      <c r="V104" s="2972"/>
      <c r="W104" s="2972"/>
    </row>
    <row r="105" spans="1:23">
      <c r="A105" s="3697"/>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2"/>
      <c r="R105" s="2972"/>
      <c r="S105" s="2972"/>
      <c r="T105" s="2972"/>
      <c r="U105" s="2972"/>
      <c r="V105" s="2972"/>
      <c r="W105" s="2972"/>
    </row>
    <row r="106" spans="1:23">
      <c r="A106" s="3697"/>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2"/>
      <c r="R106" s="2972"/>
      <c r="S106" s="2972"/>
      <c r="T106" s="2972"/>
      <c r="U106" s="2972"/>
      <c r="V106" s="2972"/>
      <c r="W106" s="2972"/>
    </row>
    <row r="107" spans="1:23">
      <c r="A107" s="3697"/>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2"/>
      <c r="R107" s="2972"/>
      <c r="S107" s="2972"/>
      <c r="T107" s="2972"/>
      <c r="U107" s="2972"/>
      <c r="V107" s="2972"/>
      <c r="W107" s="2972"/>
    </row>
    <row r="108" spans="1:23">
      <c r="A108" s="3697"/>
      <c r="B108" s="3699" t="s">
        <v>2443</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2"/>
      <c r="R108" s="2972"/>
      <c r="S108" s="2972"/>
      <c r="T108" s="2972"/>
      <c r="U108" s="2972"/>
      <c r="V108" s="2972"/>
      <c r="W108" s="2972"/>
    </row>
    <row r="109" spans="1:23">
      <c r="A109" s="3698"/>
      <c r="B109" s="3700"/>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2"/>
      <c r="R109" s="2972"/>
      <c r="S109" s="2972"/>
      <c r="T109" s="2972"/>
      <c r="U109" s="2972"/>
      <c r="V109" s="2972"/>
      <c r="W109" s="2972"/>
    </row>
    <row r="110" spans="1:23">
      <c r="A110" s="3694" t="s">
        <v>2444</v>
      </c>
      <c r="B110" s="3694"/>
      <c r="C110" s="3694"/>
      <c r="D110" s="3694"/>
      <c r="E110" s="3694"/>
      <c r="F110" s="3694"/>
      <c r="G110" s="3694"/>
      <c r="H110" s="3694"/>
      <c r="I110" s="3694"/>
      <c r="J110" s="3694"/>
      <c r="K110" s="2005"/>
      <c r="L110" s="2005"/>
      <c r="M110" s="2005"/>
      <c r="N110" s="2005"/>
      <c r="Q110" s="2972"/>
      <c r="R110" s="2972"/>
      <c r="S110" s="2972"/>
      <c r="T110" s="2972"/>
      <c r="U110" s="2972"/>
      <c r="V110" s="2972"/>
      <c r="W110" s="2972"/>
    </row>
    <row r="112" spans="1:23" ht="13.8" thickBot="1"/>
    <row r="113" spans="1:13" ht="25.8" thickBot="1">
      <c r="A113" s="2240" t="s">
        <v>2445</v>
      </c>
      <c r="B113" s="2241">
        <f>G3</f>
        <v>0</v>
      </c>
      <c r="C113" s="2242" t="s">
        <v>2446</v>
      </c>
      <c r="D113" s="2243">
        <f>SUMPRODUCT((A115:A118=F113)*(B114:M114=H113)*B115:M118)</f>
        <v>0.87480000000000002</v>
      </c>
      <c r="E113" s="1527" t="s">
        <v>2332</v>
      </c>
      <c r="F113" s="2244" t="str">
        <f>E2</f>
        <v>住宅</v>
      </c>
      <c r="G113" s="1527" t="s">
        <v>2266</v>
      </c>
      <c r="H113" s="2244" t="str">
        <f>G2</f>
        <v>六级</v>
      </c>
      <c r="I113" s="1527"/>
      <c r="J113" s="2245"/>
      <c r="K113" s="2245"/>
      <c r="L113" s="2245"/>
      <c r="M113" s="2245"/>
    </row>
    <row r="114" spans="1:13">
      <c r="A114" s="2246"/>
      <c r="B114" s="2247" t="s">
        <v>2447</v>
      </c>
      <c r="C114" s="2247" t="s">
        <v>2448</v>
      </c>
      <c r="D114" s="2247" t="s">
        <v>2449</v>
      </c>
      <c r="E114" s="2248" t="s">
        <v>2450</v>
      </c>
      <c r="F114" s="2248" t="s">
        <v>2451</v>
      </c>
      <c r="G114" s="2248" t="s">
        <v>2452</v>
      </c>
      <c r="H114" s="2249" t="s">
        <v>2453</v>
      </c>
      <c r="I114" s="2249" t="s">
        <v>2454</v>
      </c>
      <c r="J114" s="2250" t="s">
        <v>2455</v>
      </c>
      <c r="K114" s="2250" t="s">
        <v>2456</v>
      </c>
      <c r="L114" s="2250" t="s">
        <v>2457</v>
      </c>
      <c r="M114" s="2251" t="s">
        <v>2458</v>
      </c>
    </row>
    <row r="115" spans="1:13">
      <c r="A115" s="2252" t="s">
        <v>2333</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2334</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2335</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8" thickBot="1">
      <c r="A118" s="2255" t="s">
        <v>2336</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16" t="s">
        <v>597</v>
      </c>
      <c r="B1" s="3716"/>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16" t="s">
        <v>105</v>
      </c>
      <c r="B1" s="3716"/>
      <c r="C1" s="3716"/>
      <c r="D1" s="3716"/>
      <c r="E1" s="3716"/>
      <c r="F1" s="371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7" t="s">
        <v>118</v>
      </c>
      <c r="B2" s="3717"/>
      <c r="C2" s="3717"/>
      <c r="D2" s="3717"/>
      <c r="E2" s="3717"/>
      <c r="F2" s="371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2799</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2800</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2801</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2802</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2803</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2804</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2477</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2805</v>
      </c>
      <c r="B19" s="3285" t="s">
        <v>2806</v>
      </c>
      <c r="C19" s="3312" t="s">
        <v>561</v>
      </c>
      <c r="D19" s="3284"/>
      <c r="E19" s="3280" t="s">
        <v>3023</v>
      </c>
      <c r="F19" s="3313"/>
      <c r="G19" s="3313"/>
    </row>
    <row r="20" spans="1:13" ht="19.5" customHeight="1">
      <c r="A20" s="3724" t="s">
        <v>2799</v>
      </c>
      <c r="B20" s="3727" t="s">
        <v>2807</v>
      </c>
      <c r="C20" s="3286" t="s">
        <v>2808</v>
      </c>
      <c r="D20" s="3287"/>
      <c r="E20" s="3288">
        <v>1</v>
      </c>
      <c r="F20" s="3289" t="s">
        <v>2809</v>
      </c>
      <c r="G20" s="3289"/>
    </row>
    <row r="21" spans="1:13" ht="19.5" customHeight="1">
      <c r="A21" s="3725"/>
      <c r="B21" s="3723"/>
      <c r="C21" s="740" t="s">
        <v>2810</v>
      </c>
      <c r="D21" s="741"/>
      <c r="E21" s="3290">
        <v>1</v>
      </c>
      <c r="F21" s="3289" t="s">
        <v>2811</v>
      </c>
      <c r="G21" s="3289"/>
    </row>
    <row r="22" spans="1:13" ht="19.5" customHeight="1">
      <c r="A22" s="3725"/>
      <c r="B22" s="3723"/>
      <c r="C22" s="740" t="s">
        <v>2812</v>
      </c>
      <c r="D22" s="741"/>
      <c r="E22" s="3290">
        <v>0.9</v>
      </c>
      <c r="F22" s="3289" t="s">
        <v>2813</v>
      </c>
      <c r="G22" s="3289"/>
    </row>
    <row r="23" spans="1:13" ht="19.5" customHeight="1">
      <c r="A23" s="3725"/>
      <c r="B23" s="3723"/>
      <c r="C23" s="740" t="s">
        <v>2814</v>
      </c>
      <c r="D23" s="741"/>
      <c r="E23" s="3290">
        <v>0.9</v>
      </c>
      <c r="F23" s="3289" t="s">
        <v>2815</v>
      </c>
      <c r="G23" s="3289"/>
    </row>
    <row r="24" spans="1:13" ht="19.5" customHeight="1">
      <c r="A24" s="3725"/>
      <c r="B24" s="3723"/>
      <c r="C24" s="740" t="s">
        <v>2816</v>
      </c>
      <c r="D24" s="741"/>
      <c r="E24" s="3290">
        <v>0.8</v>
      </c>
      <c r="F24" s="3289" t="s">
        <v>2817</v>
      </c>
      <c r="G24" s="3289"/>
    </row>
    <row r="25" spans="1:13" ht="19.5" customHeight="1" thickBot="1">
      <c r="A25" s="3726"/>
      <c r="B25" s="3728"/>
      <c r="C25" s="3291" t="s">
        <v>2818</v>
      </c>
      <c r="D25" s="3292"/>
      <c r="E25" s="3293">
        <v>0.8</v>
      </c>
      <c r="F25" s="3289" t="s">
        <v>2819</v>
      </c>
      <c r="G25" s="3289"/>
    </row>
    <row r="26" spans="1:13" ht="19.5" customHeight="1" thickBot="1">
      <c r="A26" s="3294" t="s">
        <v>2800</v>
      </c>
      <c r="B26" s="3295" t="s">
        <v>2807</v>
      </c>
      <c r="C26" s="3296" t="s">
        <v>2820</v>
      </c>
      <c r="D26" s="3297"/>
      <c r="E26" s="3298">
        <v>1</v>
      </c>
      <c r="F26" s="3289" t="s">
        <v>2861</v>
      </c>
      <c r="G26" s="3289"/>
    </row>
    <row r="27" spans="1:13" ht="19.5" customHeight="1">
      <c r="A27" s="3729" t="s">
        <v>2804</v>
      </c>
      <c r="B27" s="3727" t="s">
        <v>2804</v>
      </c>
      <c r="C27" s="3286" t="s">
        <v>2821</v>
      </c>
      <c r="D27" s="3287"/>
      <c r="E27" s="3288">
        <v>1</v>
      </c>
      <c r="F27" s="3289" t="s">
        <v>2862</v>
      </c>
      <c r="G27" s="3289"/>
    </row>
    <row r="28" spans="1:13" ht="19.5" customHeight="1">
      <c r="A28" s="3730"/>
      <c r="B28" s="3723"/>
      <c r="C28" s="740" t="s">
        <v>2822</v>
      </c>
      <c r="D28" s="741"/>
      <c r="E28" s="3290">
        <v>1</v>
      </c>
      <c r="F28" s="3289" t="s">
        <v>2863</v>
      </c>
      <c r="G28" s="3289"/>
    </row>
    <row r="29" spans="1:13" ht="19.5" customHeight="1">
      <c r="A29" s="3730"/>
      <c r="B29" s="3723"/>
      <c r="C29" s="740" t="s">
        <v>2823</v>
      </c>
      <c r="D29" s="741"/>
      <c r="E29" s="3290">
        <v>0.8</v>
      </c>
      <c r="F29" s="3289" t="s">
        <v>2864</v>
      </c>
      <c r="G29" s="3289"/>
    </row>
    <row r="30" spans="1:13" ht="19.5" customHeight="1">
      <c r="A30" s="3730"/>
      <c r="B30" s="3723"/>
      <c r="C30" s="740" t="s">
        <v>2824</v>
      </c>
      <c r="D30" s="741"/>
      <c r="E30" s="3290">
        <v>0.8</v>
      </c>
      <c r="F30" s="3289" t="s">
        <v>2865</v>
      </c>
      <c r="G30" s="3289"/>
    </row>
    <row r="31" spans="1:13" ht="19.5" customHeight="1">
      <c r="A31" s="3730"/>
      <c r="B31" s="3723"/>
      <c r="C31" s="740" t="s">
        <v>2825</v>
      </c>
      <c r="D31" s="741"/>
      <c r="E31" s="3290">
        <v>0.8</v>
      </c>
      <c r="F31" s="3289" t="s">
        <v>2866</v>
      </c>
      <c r="G31" s="3289"/>
    </row>
    <row r="32" spans="1:13" ht="19.5" customHeight="1">
      <c r="A32" s="3730"/>
      <c r="B32" s="3723"/>
      <c r="C32" s="740" t="s">
        <v>2826</v>
      </c>
      <c r="D32" s="741"/>
      <c r="E32" s="3290">
        <v>0.7</v>
      </c>
      <c r="F32" s="3289" t="s">
        <v>2867</v>
      </c>
      <c r="G32" s="3289"/>
    </row>
    <row r="33" spans="1:7" ht="19.5" customHeight="1">
      <c r="A33" s="3730"/>
      <c r="B33" s="3723"/>
      <c r="C33" s="740" t="s">
        <v>2827</v>
      </c>
      <c r="D33" s="741"/>
      <c r="E33" s="3290">
        <v>0.8</v>
      </c>
      <c r="F33" s="3289" t="s">
        <v>2868</v>
      </c>
      <c r="G33" s="3289"/>
    </row>
    <row r="34" spans="1:7" ht="19.5" customHeight="1">
      <c r="A34" s="3730"/>
      <c r="B34" s="3723"/>
      <c r="C34" s="740" t="s">
        <v>2828</v>
      </c>
      <c r="D34" s="741"/>
      <c r="E34" s="3290">
        <v>0.6</v>
      </c>
      <c r="F34" s="3289" t="s">
        <v>2869</v>
      </c>
      <c r="G34" s="3289"/>
    </row>
    <row r="35" spans="1:7" ht="19.5" customHeight="1">
      <c r="A35" s="3730"/>
      <c r="B35" s="3723"/>
      <c r="C35" s="740" t="s">
        <v>2829</v>
      </c>
      <c r="D35" s="741"/>
      <c r="E35" s="3290">
        <v>0.2</v>
      </c>
      <c r="F35" s="3289" t="s">
        <v>2870</v>
      </c>
      <c r="G35" s="3289"/>
    </row>
    <row r="36" spans="1:7" ht="19.5" customHeight="1">
      <c r="A36" s="3730"/>
      <c r="B36" s="3723"/>
      <c r="C36" s="740" t="s">
        <v>2830</v>
      </c>
      <c r="D36" s="741"/>
      <c r="E36" s="3290">
        <v>0.2</v>
      </c>
      <c r="F36" s="3289" t="s">
        <v>2871</v>
      </c>
      <c r="G36" s="3289"/>
    </row>
    <row r="37" spans="1:7" ht="19.5" customHeight="1">
      <c r="A37" s="3730"/>
      <c r="B37" s="3721" t="s">
        <v>2831</v>
      </c>
      <c r="C37" s="740" t="s">
        <v>2832</v>
      </c>
      <c r="D37" s="741"/>
      <c r="E37" s="3290">
        <v>0.6</v>
      </c>
      <c r="F37" s="3289" t="s">
        <v>2872</v>
      </c>
      <c r="G37" s="3289"/>
    </row>
    <row r="38" spans="1:7" ht="19.5" customHeight="1">
      <c r="A38" s="3730"/>
      <c r="B38" s="3723"/>
      <c r="C38" s="740" t="s">
        <v>2833</v>
      </c>
      <c r="D38" s="741"/>
      <c r="E38" s="3290">
        <v>0.6</v>
      </c>
      <c r="F38" s="3289" t="s">
        <v>2873</v>
      </c>
      <c r="G38" s="3289"/>
    </row>
    <row r="39" spans="1:7" ht="19.5" customHeight="1" thickBot="1">
      <c r="A39" s="3731"/>
      <c r="B39" s="3728"/>
      <c r="C39" s="3291" t="s">
        <v>2834</v>
      </c>
      <c r="D39" s="3292"/>
      <c r="E39" s="3293">
        <v>0.6</v>
      </c>
      <c r="F39" s="3289" t="s">
        <v>2874</v>
      </c>
      <c r="G39" s="3289"/>
    </row>
    <row r="40" spans="1:7" ht="19.5" customHeight="1" thickBot="1">
      <c r="A40" s="3294" t="s">
        <v>2835</v>
      </c>
      <c r="B40" s="3295" t="s">
        <v>2835</v>
      </c>
      <c r="C40" s="3296" t="s">
        <v>2836</v>
      </c>
      <c r="D40" s="3297"/>
      <c r="E40" s="3298">
        <v>1</v>
      </c>
      <c r="F40" s="3289" t="s">
        <v>2875</v>
      </c>
      <c r="G40" s="3289"/>
    </row>
    <row r="41" spans="1:7" ht="19.5" customHeight="1">
      <c r="A41" s="3724" t="s">
        <v>2837</v>
      </c>
      <c r="B41" s="3727" t="s">
        <v>2838</v>
      </c>
      <c r="C41" s="3286" t="s">
        <v>2839</v>
      </c>
      <c r="D41" s="3287"/>
      <c r="E41" s="3288">
        <v>1</v>
      </c>
      <c r="F41" s="3289" t="s">
        <v>2840</v>
      </c>
      <c r="G41" s="3289"/>
    </row>
    <row r="42" spans="1:7" ht="19.5" customHeight="1">
      <c r="A42" s="3725"/>
      <c r="B42" s="3723"/>
      <c r="C42" s="740" t="s">
        <v>2841</v>
      </c>
      <c r="D42" s="741"/>
      <c r="E42" s="3290">
        <v>1</v>
      </c>
      <c r="F42" s="3289" t="s">
        <v>2842</v>
      </c>
      <c r="G42" s="3289"/>
    </row>
    <row r="43" spans="1:7" ht="19.5" customHeight="1">
      <c r="A43" s="3725"/>
      <c r="B43" s="3722"/>
      <c r="C43" s="740" t="s">
        <v>2843</v>
      </c>
      <c r="D43" s="741"/>
      <c r="E43" s="3290">
        <v>1.5</v>
      </c>
      <c r="F43" s="3289" t="s">
        <v>2844</v>
      </c>
      <c r="G43" s="3289"/>
    </row>
    <row r="44" spans="1:7" ht="19.5" customHeight="1">
      <c r="A44" s="3725"/>
      <c r="B44" s="3299" t="s">
        <v>2804</v>
      </c>
      <c r="C44" s="740" t="s">
        <v>2803</v>
      </c>
      <c r="D44" s="741"/>
      <c r="E44" s="3290">
        <v>2</v>
      </c>
      <c r="F44" s="3289" t="s">
        <v>2845</v>
      </c>
      <c r="G44" s="3289"/>
    </row>
    <row r="45" spans="1:7" ht="19.5" customHeight="1">
      <c r="A45" s="3725"/>
      <c r="B45" s="3721" t="s">
        <v>2846</v>
      </c>
      <c r="C45" s="740" t="s">
        <v>2847</v>
      </c>
      <c r="D45" s="741"/>
      <c r="E45" s="3290">
        <v>1</v>
      </c>
      <c r="F45" s="3289" t="s">
        <v>2848</v>
      </c>
      <c r="G45" s="3289"/>
    </row>
    <row r="46" spans="1:7" ht="19.5" customHeight="1">
      <c r="A46" s="3725"/>
      <c r="B46" s="3723"/>
      <c r="C46" s="740" t="s">
        <v>2849</v>
      </c>
      <c r="D46" s="741"/>
      <c r="E46" s="3290">
        <v>1</v>
      </c>
      <c r="F46" s="3289" t="s">
        <v>2850</v>
      </c>
      <c r="G46" s="3289"/>
    </row>
    <row r="47" spans="1:7" ht="19.5" customHeight="1">
      <c r="A47" s="3725"/>
      <c r="B47" s="3723"/>
      <c r="C47" s="740" t="s">
        <v>2851</v>
      </c>
      <c r="D47" s="741"/>
      <c r="E47" s="3290">
        <v>1</v>
      </c>
      <c r="F47" s="3289" t="s">
        <v>2852</v>
      </c>
      <c r="G47" s="3289"/>
    </row>
    <row r="48" spans="1:7" ht="19.5" customHeight="1">
      <c r="A48" s="3725"/>
      <c r="B48" s="3723"/>
      <c r="C48" s="740" t="s">
        <v>2853</v>
      </c>
      <c r="D48" s="741"/>
      <c r="E48" s="3290">
        <v>1</v>
      </c>
      <c r="F48" s="3289" t="s">
        <v>2854</v>
      </c>
      <c r="G48" s="3289"/>
    </row>
    <row r="49" spans="1:7" ht="19.5" customHeight="1">
      <c r="A49" s="3725"/>
      <c r="B49" s="3723"/>
      <c r="C49" s="740" t="s">
        <v>2855</v>
      </c>
      <c r="D49" s="741"/>
      <c r="E49" s="3290">
        <v>1</v>
      </c>
      <c r="F49" s="3289" t="s">
        <v>2856</v>
      </c>
      <c r="G49" s="3289"/>
    </row>
    <row r="50" spans="1:7" ht="19.5" customHeight="1">
      <c r="A50" s="3725"/>
      <c r="B50" s="3723"/>
      <c r="C50" s="740" t="s">
        <v>2857</v>
      </c>
      <c r="D50" s="741"/>
      <c r="E50" s="3290">
        <v>1</v>
      </c>
      <c r="F50" s="3289" t="s">
        <v>2858</v>
      </c>
      <c r="G50" s="3289"/>
    </row>
    <row r="51" spans="1:7" ht="19.5" customHeight="1" thickBot="1">
      <c r="A51" s="3726"/>
      <c r="B51" s="3728"/>
      <c r="C51" s="3291" t="s">
        <v>2859</v>
      </c>
      <c r="D51" s="3292"/>
      <c r="E51" s="3293">
        <v>1</v>
      </c>
      <c r="F51" s="3289" t="s">
        <v>2860</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4.4">
      <c r="A72" s="3299"/>
      <c r="B72" s="3299"/>
      <c r="C72" s="3299" t="s">
        <v>2876</v>
      </c>
      <c r="D72" s="3299"/>
      <c r="E72" s="3305" t="s">
        <v>1</v>
      </c>
      <c r="F72" s="3299" t="s">
        <v>1</v>
      </c>
    </row>
    <row r="73" spans="1:7" ht="14.4">
      <c r="A73" s="3299">
        <v>1</v>
      </c>
      <c r="B73" s="3721" t="s">
        <v>2877</v>
      </c>
      <c r="C73" s="3280" t="s">
        <v>2878</v>
      </c>
      <c r="D73" s="3280" t="s">
        <v>2879</v>
      </c>
      <c r="E73" s="3305">
        <v>0.2</v>
      </c>
      <c r="F73" s="3299">
        <v>25</v>
      </c>
    </row>
    <row r="74" spans="1:7" ht="24">
      <c r="A74" s="3299">
        <v>2</v>
      </c>
      <c r="B74" s="3723"/>
      <c r="C74" s="3280" t="s">
        <v>2880</v>
      </c>
      <c r="D74" s="3280" t="s">
        <v>2881</v>
      </c>
      <c r="E74" s="3305">
        <v>0.2</v>
      </c>
      <c r="F74" s="3299">
        <v>25</v>
      </c>
    </row>
    <row r="75" spans="1:7" ht="24">
      <c r="A75" s="3299">
        <v>3</v>
      </c>
      <c r="B75" s="3723"/>
      <c r="C75" s="3280" t="s">
        <v>2882</v>
      </c>
      <c r="D75" s="3280" t="s">
        <v>2883</v>
      </c>
      <c r="E75" s="3305">
        <v>0.2</v>
      </c>
      <c r="F75" s="3299">
        <v>25</v>
      </c>
    </row>
    <row r="76" spans="1:7" ht="14.4">
      <c r="A76" s="3299">
        <v>4</v>
      </c>
      <c r="B76" s="3723"/>
      <c r="C76" s="3280" t="s">
        <v>2884</v>
      </c>
      <c r="D76" s="3280" t="s">
        <v>2885</v>
      </c>
      <c r="E76" s="3305">
        <v>0.15</v>
      </c>
      <c r="F76" s="3299">
        <v>20</v>
      </c>
    </row>
    <row r="77" spans="1:7" ht="24">
      <c r="A77" s="3299">
        <v>5</v>
      </c>
      <c r="B77" s="3723"/>
      <c r="C77" s="3280" t="s">
        <v>2886</v>
      </c>
      <c r="D77" s="3280" t="s">
        <v>2887</v>
      </c>
      <c r="E77" s="3305">
        <v>0.15</v>
      </c>
      <c r="F77" s="3299">
        <v>20</v>
      </c>
    </row>
    <row r="78" spans="1:7" ht="24">
      <c r="A78" s="3299">
        <v>6</v>
      </c>
      <c r="B78" s="3723"/>
      <c r="C78" s="3280" t="s">
        <v>2888</v>
      </c>
      <c r="D78" s="3280" t="s">
        <v>2889</v>
      </c>
      <c r="E78" s="3305">
        <v>0.15</v>
      </c>
      <c r="F78" s="3299">
        <v>20</v>
      </c>
    </row>
    <row r="79" spans="1:7" ht="24">
      <c r="A79" s="3299">
        <v>7</v>
      </c>
      <c r="B79" s="3723"/>
      <c r="C79" s="3280" t="s">
        <v>2890</v>
      </c>
      <c r="D79" s="3280" t="s">
        <v>2891</v>
      </c>
      <c r="E79" s="3305">
        <v>0.15</v>
      </c>
      <c r="F79" s="3299">
        <v>20</v>
      </c>
    </row>
    <row r="80" spans="1:7" ht="24">
      <c r="A80" s="3299">
        <v>8</v>
      </c>
      <c r="B80" s="3723"/>
      <c r="C80" s="3280" t="s">
        <v>2892</v>
      </c>
      <c r="D80" s="3280" t="s">
        <v>2893</v>
      </c>
      <c r="E80" s="3305">
        <v>0.1</v>
      </c>
      <c r="F80" s="3299">
        <v>15</v>
      </c>
    </row>
    <row r="81" spans="1:6" ht="24">
      <c r="A81" s="3299">
        <v>9</v>
      </c>
      <c r="B81" s="3723"/>
      <c r="C81" s="3280" t="s">
        <v>2894</v>
      </c>
      <c r="D81" s="3280" t="s">
        <v>2895</v>
      </c>
      <c r="E81" s="3305">
        <v>0.1</v>
      </c>
      <c r="F81" s="3299">
        <v>15</v>
      </c>
    </row>
    <row r="82" spans="1:6" ht="24">
      <c r="A82" s="3299">
        <v>10</v>
      </c>
      <c r="B82" s="3723"/>
      <c r="C82" s="3280" t="s">
        <v>2896</v>
      </c>
      <c r="D82" s="3280" t="s">
        <v>2897</v>
      </c>
      <c r="E82" s="3305">
        <v>0.1</v>
      </c>
      <c r="F82" s="3299">
        <v>15</v>
      </c>
    </row>
    <row r="83" spans="1:6" ht="24">
      <c r="A83" s="3299">
        <v>11</v>
      </c>
      <c r="B83" s="3723"/>
      <c r="C83" s="3280" t="s">
        <v>2898</v>
      </c>
      <c r="D83" s="3280" t="s">
        <v>2899</v>
      </c>
      <c r="E83" s="3305">
        <v>0.1</v>
      </c>
      <c r="F83" s="3299">
        <v>15</v>
      </c>
    </row>
    <row r="84" spans="1:6" ht="24">
      <c r="A84" s="3299">
        <v>12</v>
      </c>
      <c r="B84" s="3723"/>
      <c r="C84" s="3280" t="s">
        <v>2900</v>
      </c>
      <c r="D84" s="3280" t="s">
        <v>2901</v>
      </c>
      <c r="E84" s="3305">
        <v>0.1</v>
      </c>
      <c r="F84" s="3299">
        <v>15</v>
      </c>
    </row>
    <row r="85" spans="1:6" ht="24">
      <c r="A85" s="3299">
        <v>13</v>
      </c>
      <c r="B85" s="3723"/>
      <c r="C85" s="3280" t="s">
        <v>2902</v>
      </c>
      <c r="D85" s="3280" t="s">
        <v>2903</v>
      </c>
      <c r="E85" s="3305">
        <v>0.1</v>
      </c>
      <c r="F85" s="3299">
        <v>15</v>
      </c>
    </row>
    <row r="86" spans="1:6" ht="24">
      <c r="A86" s="3299">
        <v>14</v>
      </c>
      <c r="B86" s="3723"/>
      <c r="C86" s="3280" t="s">
        <v>2904</v>
      </c>
      <c r="D86" s="3280" t="s">
        <v>2905</v>
      </c>
      <c r="E86" s="3305">
        <v>0.1</v>
      </c>
      <c r="F86" s="3299">
        <v>15</v>
      </c>
    </row>
    <row r="87" spans="1:6" ht="24">
      <c r="A87" s="3299">
        <v>15</v>
      </c>
      <c r="B87" s="3723"/>
      <c r="C87" s="3280" t="s">
        <v>2906</v>
      </c>
      <c r="D87" s="3280" t="s">
        <v>2907</v>
      </c>
      <c r="E87" s="3305">
        <v>0.1</v>
      </c>
      <c r="F87" s="3299">
        <v>15</v>
      </c>
    </row>
    <row r="88" spans="1:6" ht="24">
      <c r="A88" s="3299">
        <v>16</v>
      </c>
      <c r="B88" s="3723"/>
      <c r="C88" s="3280" t="s">
        <v>2908</v>
      </c>
      <c r="D88" s="3280" t="s">
        <v>2909</v>
      </c>
      <c r="E88" s="3305">
        <v>0.1</v>
      </c>
      <c r="F88" s="3299">
        <v>15</v>
      </c>
    </row>
    <row r="89" spans="1:6" ht="24">
      <c r="A89" s="3299">
        <v>17</v>
      </c>
      <c r="B89" s="3722"/>
      <c r="C89" s="3280" t="s">
        <v>2910</v>
      </c>
      <c r="D89" s="3280" t="s">
        <v>2911</v>
      </c>
      <c r="E89" s="3305">
        <v>0.1</v>
      </c>
      <c r="F89" s="3299">
        <v>15</v>
      </c>
    </row>
    <row r="90" spans="1:6" ht="14.4">
      <c r="A90" s="3299">
        <v>18</v>
      </c>
      <c r="B90" s="3721" t="s">
        <v>2912</v>
      </c>
      <c r="C90" s="3280" t="s">
        <v>2913</v>
      </c>
      <c r="D90" s="3280" t="s">
        <v>2914</v>
      </c>
      <c r="E90" s="3305">
        <v>0.2</v>
      </c>
      <c r="F90" s="3299">
        <v>25</v>
      </c>
    </row>
    <row r="91" spans="1:6" ht="24">
      <c r="A91" s="3299">
        <v>19</v>
      </c>
      <c r="B91" s="3723"/>
      <c r="C91" s="3280" t="s">
        <v>2915</v>
      </c>
      <c r="D91" s="3280" t="s">
        <v>2916</v>
      </c>
      <c r="E91" s="3305">
        <v>0.2</v>
      </c>
      <c r="F91" s="3299">
        <v>25</v>
      </c>
    </row>
    <row r="92" spans="1:6" ht="14.4">
      <c r="A92" s="3299">
        <v>20</v>
      </c>
      <c r="B92" s="3723"/>
      <c r="C92" s="3280" t="s">
        <v>2917</v>
      </c>
      <c r="D92" s="3280" t="s">
        <v>2918</v>
      </c>
      <c r="E92" s="3305">
        <v>0.15</v>
      </c>
      <c r="F92" s="3299">
        <v>20</v>
      </c>
    </row>
    <row r="93" spans="1:6" ht="24">
      <c r="A93" s="3299">
        <v>21</v>
      </c>
      <c r="B93" s="3723"/>
      <c r="C93" s="3280" t="s">
        <v>2919</v>
      </c>
      <c r="D93" s="3280" t="s">
        <v>2920</v>
      </c>
      <c r="E93" s="3305">
        <v>0.15</v>
      </c>
      <c r="F93" s="3299">
        <v>20</v>
      </c>
    </row>
    <row r="94" spans="1:6" ht="24">
      <c r="A94" s="3299">
        <v>22</v>
      </c>
      <c r="B94" s="3723"/>
      <c r="C94" s="3280" t="s">
        <v>2921</v>
      </c>
      <c r="D94" s="3280" t="s">
        <v>2922</v>
      </c>
      <c r="E94" s="3305">
        <v>0.15</v>
      </c>
      <c r="F94" s="3299">
        <v>20</v>
      </c>
    </row>
    <row r="95" spans="1:6" ht="36">
      <c r="A95" s="3299">
        <v>23</v>
      </c>
      <c r="B95" s="3723"/>
      <c r="C95" s="3280" t="s">
        <v>2923</v>
      </c>
      <c r="D95" s="3280" t="s">
        <v>2924</v>
      </c>
      <c r="E95" s="3305">
        <v>0.15</v>
      </c>
      <c r="F95" s="3299">
        <v>20</v>
      </c>
    </row>
    <row r="96" spans="1:6" ht="24">
      <c r="A96" s="3299">
        <v>24</v>
      </c>
      <c r="B96" s="3723"/>
      <c r="C96" s="3280" t="s">
        <v>2925</v>
      </c>
      <c r="D96" s="3280" t="s">
        <v>2926</v>
      </c>
      <c r="E96" s="3305">
        <v>0.1</v>
      </c>
      <c r="F96" s="3299">
        <v>15</v>
      </c>
    </row>
    <row r="97" spans="1:6" ht="24">
      <c r="A97" s="3299">
        <v>25</v>
      </c>
      <c r="B97" s="3723"/>
      <c r="C97" s="3280" t="s">
        <v>2927</v>
      </c>
      <c r="D97" s="3280" t="s">
        <v>2928</v>
      </c>
      <c r="E97" s="3305">
        <v>0.1</v>
      </c>
      <c r="F97" s="3299">
        <v>15</v>
      </c>
    </row>
    <row r="98" spans="1:6" ht="24">
      <c r="A98" s="3299">
        <v>26</v>
      </c>
      <c r="B98" s="3723"/>
      <c r="C98" s="3280" t="s">
        <v>2929</v>
      </c>
      <c r="D98" s="3280" t="s">
        <v>2930</v>
      </c>
      <c r="E98" s="3305">
        <v>0.1</v>
      </c>
      <c r="F98" s="3299">
        <v>15</v>
      </c>
    </row>
    <row r="99" spans="1:6" ht="24">
      <c r="A99" s="3299">
        <v>27</v>
      </c>
      <c r="B99" s="3723"/>
      <c r="C99" s="3280" t="s">
        <v>2931</v>
      </c>
      <c r="D99" s="3280" t="s">
        <v>2932</v>
      </c>
      <c r="E99" s="3305">
        <v>0.1</v>
      </c>
      <c r="F99" s="3299">
        <v>15</v>
      </c>
    </row>
    <row r="100" spans="1:6" ht="24">
      <c r="A100" s="3299">
        <v>28</v>
      </c>
      <c r="B100" s="3723"/>
      <c r="C100" s="3280" t="s">
        <v>2933</v>
      </c>
      <c r="D100" s="3280" t="s">
        <v>2934</v>
      </c>
      <c r="E100" s="3305">
        <v>0.1</v>
      </c>
      <c r="F100" s="3299">
        <v>15</v>
      </c>
    </row>
    <row r="101" spans="1:6" ht="24">
      <c r="A101" s="3299">
        <v>29</v>
      </c>
      <c r="B101" s="3723"/>
      <c r="C101" s="3280" t="s">
        <v>2935</v>
      </c>
      <c r="D101" s="3280" t="s">
        <v>2936</v>
      </c>
      <c r="E101" s="3305">
        <v>0.1</v>
      </c>
      <c r="F101" s="3299">
        <v>15</v>
      </c>
    </row>
    <row r="102" spans="1:6" ht="24">
      <c r="A102" s="3299">
        <v>30</v>
      </c>
      <c r="B102" s="3723"/>
      <c r="C102" s="3280" t="s">
        <v>2937</v>
      </c>
      <c r="D102" s="3280" t="s">
        <v>2938</v>
      </c>
      <c r="E102" s="3305">
        <v>0.1</v>
      </c>
      <c r="F102" s="3299">
        <v>15</v>
      </c>
    </row>
    <row r="103" spans="1:6" ht="24">
      <c r="A103" s="3299">
        <v>31</v>
      </c>
      <c r="B103" s="3723"/>
      <c r="C103" s="3280" t="s">
        <v>2939</v>
      </c>
      <c r="D103" s="3280" t="s">
        <v>2940</v>
      </c>
      <c r="E103" s="3305">
        <v>0.1</v>
      </c>
      <c r="F103" s="3299">
        <v>15</v>
      </c>
    </row>
    <row r="104" spans="1:6" ht="24">
      <c r="A104" s="3299">
        <v>32</v>
      </c>
      <c r="B104" s="3723"/>
      <c r="C104" s="3280" t="s">
        <v>2941</v>
      </c>
      <c r="D104" s="3280" t="s">
        <v>2942</v>
      </c>
      <c r="E104" s="3305">
        <v>0.1</v>
      </c>
      <c r="F104" s="3299">
        <v>15</v>
      </c>
    </row>
    <row r="105" spans="1:6" ht="24">
      <c r="A105" s="3299">
        <v>33</v>
      </c>
      <c r="B105" s="3723"/>
      <c r="C105" s="3280" t="s">
        <v>2943</v>
      </c>
      <c r="D105" s="3280" t="s">
        <v>2944</v>
      </c>
      <c r="E105" s="3305">
        <v>0.1</v>
      </c>
      <c r="F105" s="3299">
        <v>15</v>
      </c>
    </row>
    <row r="106" spans="1:6" ht="24">
      <c r="A106" s="3299">
        <v>34</v>
      </c>
      <c r="B106" s="3722"/>
      <c r="C106" s="3280" t="s">
        <v>2945</v>
      </c>
      <c r="D106" s="3280" t="s">
        <v>2946</v>
      </c>
      <c r="E106" s="3305">
        <v>0.1</v>
      </c>
      <c r="F106" s="3299">
        <v>15</v>
      </c>
    </row>
    <row r="107" spans="1:6" ht="36">
      <c r="A107" s="3299">
        <v>35</v>
      </c>
      <c r="B107" s="3721" t="s">
        <v>2947</v>
      </c>
      <c r="C107" s="3299" t="s">
        <v>2948</v>
      </c>
      <c r="D107" s="3280" t="s">
        <v>2949</v>
      </c>
      <c r="E107" s="3305">
        <v>0.15</v>
      </c>
      <c r="F107" s="3299">
        <v>20</v>
      </c>
    </row>
    <row r="108" spans="1:6" ht="24">
      <c r="A108" s="3299">
        <v>36</v>
      </c>
      <c r="B108" s="3723"/>
      <c r="C108" s="3299" t="s">
        <v>2950</v>
      </c>
      <c r="D108" s="3280" t="s">
        <v>2951</v>
      </c>
      <c r="E108" s="3305">
        <v>0.15</v>
      </c>
      <c r="F108" s="3299">
        <v>20</v>
      </c>
    </row>
    <row r="109" spans="1:6" ht="24">
      <c r="A109" s="3299">
        <v>37</v>
      </c>
      <c r="B109" s="3723"/>
      <c r="C109" s="3299" t="s">
        <v>2952</v>
      </c>
      <c r="D109" s="3280" t="s">
        <v>2953</v>
      </c>
      <c r="E109" s="3305">
        <v>0.15</v>
      </c>
      <c r="F109" s="3299">
        <v>20</v>
      </c>
    </row>
    <row r="110" spans="1:6" ht="24">
      <c r="A110" s="3299">
        <v>38</v>
      </c>
      <c r="B110" s="3723"/>
      <c r="C110" s="3299" t="s">
        <v>2954</v>
      </c>
      <c r="D110" s="3280" t="s">
        <v>2955</v>
      </c>
      <c r="E110" s="3305">
        <v>0.1</v>
      </c>
      <c r="F110" s="3299">
        <v>15</v>
      </c>
    </row>
    <row r="111" spans="1:6" ht="24">
      <c r="A111" s="3299">
        <v>39</v>
      </c>
      <c r="B111" s="3723"/>
      <c r="C111" s="3299" t="s">
        <v>2956</v>
      </c>
      <c r="D111" s="3280" t="s">
        <v>2957</v>
      </c>
      <c r="E111" s="3305">
        <v>0.1</v>
      </c>
      <c r="F111" s="3299">
        <v>15</v>
      </c>
    </row>
    <row r="112" spans="1:6" ht="24">
      <c r="A112" s="3299">
        <v>40</v>
      </c>
      <c r="B112" s="3722"/>
      <c r="C112" s="3299" t="s">
        <v>2958</v>
      </c>
      <c r="D112" s="3280" t="s">
        <v>2959</v>
      </c>
      <c r="E112" s="3305">
        <v>0.1</v>
      </c>
      <c r="F112" s="3299">
        <v>15</v>
      </c>
    </row>
    <row r="113" spans="1:6" ht="24">
      <c r="A113" s="3299">
        <v>41</v>
      </c>
      <c r="B113" s="3720" t="s">
        <v>2960</v>
      </c>
      <c r="C113" s="3299" t="s">
        <v>2961</v>
      </c>
      <c r="D113" s="3280" t="s">
        <v>2962</v>
      </c>
      <c r="E113" s="3305">
        <v>0.1</v>
      </c>
      <c r="F113" s="3299">
        <v>15</v>
      </c>
    </row>
    <row r="114" spans="1:6" ht="24">
      <c r="A114" s="3299">
        <v>42</v>
      </c>
      <c r="B114" s="3720"/>
      <c r="C114" s="3299" t="s">
        <v>2963</v>
      </c>
      <c r="D114" s="3280" t="s">
        <v>2964</v>
      </c>
      <c r="E114" s="3305">
        <v>0.1</v>
      </c>
      <c r="F114" s="3299">
        <v>15</v>
      </c>
    </row>
    <row r="115" spans="1:6" ht="24">
      <c r="A115" s="3299">
        <v>43</v>
      </c>
      <c r="B115" s="3720"/>
      <c r="C115" s="3299" t="s">
        <v>2965</v>
      </c>
      <c r="D115" s="3280" t="s">
        <v>2966</v>
      </c>
      <c r="E115" s="3305">
        <v>0.1</v>
      </c>
      <c r="F115" s="3299">
        <v>15</v>
      </c>
    </row>
    <row r="116" spans="1:6" ht="24">
      <c r="A116" s="3299">
        <v>44</v>
      </c>
      <c r="B116" s="3721" t="s">
        <v>2967</v>
      </c>
      <c r="C116" s="3299" t="s">
        <v>2968</v>
      </c>
      <c r="D116" s="3280" t="s">
        <v>2969</v>
      </c>
      <c r="E116" s="3305">
        <v>0.1</v>
      </c>
      <c r="F116" s="3299">
        <v>15</v>
      </c>
    </row>
    <row r="117" spans="1:6" ht="24">
      <c r="A117" s="3299">
        <v>45</v>
      </c>
      <c r="B117" s="3722"/>
      <c r="C117" s="3280" t="s">
        <v>2970</v>
      </c>
      <c r="D117" s="3280" t="s">
        <v>2971</v>
      </c>
      <c r="E117" s="3305">
        <v>0.1</v>
      </c>
      <c r="F117" s="3299">
        <v>15</v>
      </c>
    </row>
    <row r="118" spans="1:6" ht="24">
      <c r="A118" s="3299">
        <v>46</v>
      </c>
      <c r="B118" s="3721" t="s">
        <v>2972</v>
      </c>
      <c r="C118" s="3299" t="s">
        <v>2973</v>
      </c>
      <c r="D118" s="3280" t="s">
        <v>2974</v>
      </c>
      <c r="E118" s="3305">
        <v>0.1</v>
      </c>
      <c r="F118" s="3299">
        <v>15</v>
      </c>
    </row>
    <row r="119" spans="1:6" ht="24">
      <c r="A119" s="3299">
        <v>47</v>
      </c>
      <c r="B119" s="3722"/>
      <c r="C119" s="3299" t="s">
        <v>2975</v>
      </c>
      <c r="D119" s="3280" t="s">
        <v>2976</v>
      </c>
      <c r="E119" s="3305">
        <v>0.1</v>
      </c>
      <c r="F119" s="3299">
        <v>15</v>
      </c>
    </row>
    <row r="120" spans="1:6" ht="24">
      <c r="A120" s="3299">
        <v>48</v>
      </c>
      <c r="B120" s="3721" t="s">
        <v>2977</v>
      </c>
      <c r="C120" s="3299" t="s">
        <v>2978</v>
      </c>
      <c r="D120" s="3280" t="s">
        <v>2979</v>
      </c>
      <c r="E120" s="3305">
        <v>0.1</v>
      </c>
      <c r="F120" s="3299">
        <v>15</v>
      </c>
    </row>
    <row r="121" spans="1:6" ht="24">
      <c r="A121" s="3299">
        <v>49</v>
      </c>
      <c r="B121" s="3722"/>
      <c r="C121" s="3299" t="s">
        <v>2980</v>
      </c>
      <c r="D121" s="3280" t="s">
        <v>2981</v>
      </c>
      <c r="E121" s="3305">
        <v>0.1</v>
      </c>
      <c r="F121" s="3299">
        <v>15</v>
      </c>
    </row>
    <row r="122" spans="1:6" ht="24">
      <c r="A122" s="3299">
        <v>50</v>
      </c>
      <c r="B122" s="3720" t="s">
        <v>2982</v>
      </c>
      <c r="C122" s="3299" t="s">
        <v>2983</v>
      </c>
      <c r="D122" s="3280" t="s">
        <v>2984</v>
      </c>
      <c r="E122" s="3305">
        <v>0.1</v>
      </c>
      <c r="F122" s="3299">
        <v>15</v>
      </c>
    </row>
    <row r="123" spans="1:6" ht="24">
      <c r="A123" s="3299">
        <v>51</v>
      </c>
      <c r="B123" s="3720"/>
      <c r="C123" s="3299" t="s">
        <v>2985</v>
      </c>
      <c r="D123" s="3280" t="s">
        <v>2986</v>
      </c>
      <c r="E123" s="3305">
        <v>0.1</v>
      </c>
      <c r="F123" s="3299">
        <v>15</v>
      </c>
    </row>
    <row r="124" spans="1:6" ht="24">
      <c r="A124" s="3299">
        <v>52</v>
      </c>
      <c r="B124" s="3720" t="s">
        <v>2987</v>
      </c>
      <c r="C124" s="3299" t="s">
        <v>2988</v>
      </c>
      <c r="D124" s="3280" t="s">
        <v>2989</v>
      </c>
      <c r="E124" s="3305">
        <v>0.1</v>
      </c>
      <c r="F124" s="3299">
        <v>15</v>
      </c>
    </row>
    <row r="125" spans="1:6" ht="24">
      <c r="A125" s="3299">
        <v>53</v>
      </c>
      <c r="B125" s="3720"/>
      <c r="C125" s="3299" t="s">
        <v>2990</v>
      </c>
      <c r="D125" s="3280" t="s">
        <v>2991</v>
      </c>
      <c r="E125" s="3305">
        <v>0.1</v>
      </c>
      <c r="F125" s="3299">
        <v>15</v>
      </c>
    </row>
    <row r="126" spans="1:6" ht="24">
      <c r="A126" s="3299">
        <v>54</v>
      </c>
      <c r="B126" s="3299" t="s">
        <v>2992</v>
      </c>
      <c r="C126" s="3299" t="s">
        <v>2993</v>
      </c>
      <c r="D126" s="3280" t="s">
        <v>2994</v>
      </c>
      <c r="E126" s="3305">
        <v>0.1</v>
      </c>
      <c r="F126" s="3299">
        <v>15</v>
      </c>
    </row>
    <row r="127" spans="1:6" ht="24">
      <c r="A127" s="3299">
        <v>55</v>
      </c>
      <c r="B127" s="3720" t="s">
        <v>2995</v>
      </c>
      <c r="C127" s="3299" t="s">
        <v>2996</v>
      </c>
      <c r="D127" s="3280" t="s">
        <v>2997</v>
      </c>
      <c r="E127" s="3305">
        <v>0.1</v>
      </c>
      <c r="F127" s="3299">
        <v>15</v>
      </c>
    </row>
    <row r="128" spans="1:6" ht="24">
      <c r="A128" s="3299">
        <v>56</v>
      </c>
      <c r="B128" s="3720"/>
      <c r="C128" s="3299" t="s">
        <v>2998</v>
      </c>
      <c r="D128" s="3280" t="s">
        <v>2999</v>
      </c>
      <c r="E128" s="3305">
        <v>0.1</v>
      </c>
      <c r="F128" s="3299">
        <v>15</v>
      </c>
    </row>
    <row r="129" spans="1:6" ht="24">
      <c r="A129" s="3299">
        <v>57</v>
      </c>
      <c r="B129" s="3720"/>
      <c r="C129" s="3299" t="s">
        <v>3000</v>
      </c>
      <c r="D129" s="3280" t="s">
        <v>3001</v>
      </c>
      <c r="E129" s="3305">
        <v>0.1</v>
      </c>
      <c r="F129" s="3299">
        <v>15</v>
      </c>
    </row>
    <row r="130" spans="1:6" ht="24">
      <c r="A130" s="3299">
        <v>58</v>
      </c>
      <c r="B130" s="3720" t="s">
        <v>3002</v>
      </c>
      <c r="C130" s="3299" t="s">
        <v>3003</v>
      </c>
      <c r="D130" s="3280" t="s">
        <v>3004</v>
      </c>
      <c r="E130" s="3305">
        <v>0.1</v>
      </c>
      <c r="F130" s="3299">
        <v>15</v>
      </c>
    </row>
    <row r="131" spans="1:6" ht="24">
      <c r="A131" s="3299">
        <v>59</v>
      </c>
      <c r="B131" s="3720"/>
      <c r="C131" s="3299" t="s">
        <v>3005</v>
      </c>
      <c r="D131" s="3280" t="s">
        <v>3006</v>
      </c>
      <c r="E131" s="3305">
        <v>0.1</v>
      </c>
      <c r="F131" s="3299">
        <v>15</v>
      </c>
    </row>
    <row r="132" spans="1:6" ht="24">
      <c r="A132" s="3299">
        <v>60</v>
      </c>
      <c r="B132" s="3721" t="s">
        <v>3007</v>
      </c>
      <c r="C132" s="3299" t="s">
        <v>3008</v>
      </c>
      <c r="D132" s="3280" t="s">
        <v>3009</v>
      </c>
      <c r="E132" s="3305">
        <v>0.1</v>
      </c>
      <c r="F132" s="3299">
        <v>15</v>
      </c>
    </row>
    <row r="133" spans="1:6" ht="24">
      <c r="A133" s="3299">
        <v>61</v>
      </c>
      <c r="B133" s="3722"/>
      <c r="C133" s="3299" t="s">
        <v>3010</v>
      </c>
      <c r="D133" s="3280" t="s">
        <v>3011</v>
      </c>
      <c r="E133" s="3305">
        <v>0.1</v>
      </c>
      <c r="F133" s="3299">
        <v>15</v>
      </c>
    </row>
    <row r="134" spans="1:6" ht="24">
      <c r="A134" s="3299">
        <v>62</v>
      </c>
      <c r="B134" s="3299" t="s">
        <v>3012</v>
      </c>
      <c r="C134" s="3299" t="s">
        <v>3013</v>
      </c>
      <c r="D134" s="3280" t="s">
        <v>3014</v>
      </c>
      <c r="E134" s="3305">
        <v>0.1</v>
      </c>
      <c r="F134" s="3299">
        <v>15</v>
      </c>
    </row>
    <row r="135" spans="1:6" ht="24">
      <c r="A135" s="3299">
        <v>63</v>
      </c>
      <c r="B135" s="3720" t="s">
        <v>3015</v>
      </c>
      <c r="C135" s="3299" t="s">
        <v>3016</v>
      </c>
      <c r="D135" s="3280" t="s">
        <v>3017</v>
      </c>
      <c r="E135" s="3305">
        <v>0.1</v>
      </c>
      <c r="F135" s="3299">
        <v>15</v>
      </c>
    </row>
    <row r="136" spans="1:6" ht="24">
      <c r="A136" s="3299">
        <v>64</v>
      </c>
      <c r="B136" s="3720"/>
      <c r="C136" s="3299" t="s">
        <v>3018</v>
      </c>
      <c r="D136" s="3280" t="s">
        <v>3019</v>
      </c>
      <c r="E136" s="3305">
        <v>0.1</v>
      </c>
      <c r="F136" s="3299">
        <v>15</v>
      </c>
    </row>
    <row r="137" spans="1:6" ht="24">
      <c r="A137" s="3299">
        <v>65</v>
      </c>
      <c r="B137" s="3299" t="s">
        <v>3020</v>
      </c>
      <c r="C137" s="3299" t="s">
        <v>3021</v>
      </c>
      <c r="D137" s="3280" t="s">
        <v>3022</v>
      </c>
      <c r="E137" s="3305">
        <v>0.1</v>
      </c>
      <c r="F137" s="3299">
        <v>15</v>
      </c>
    </row>
    <row r="138" spans="1:6" ht="14.4">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0"/>
    <col min="2" max="6" width="9" style="2280" customWidth="1"/>
    <col min="7" max="7" width="9" style="2313"/>
    <col min="8" max="8" width="9" style="2280"/>
    <col min="9" max="12" width="9" style="2280" customWidth="1"/>
    <col min="13" max="13" width="2.21875" style="2280" customWidth="1"/>
    <col min="14" max="14" width="9" style="2313" customWidth="1"/>
    <col min="15" max="17" width="9" style="2280" customWidth="1"/>
    <col min="18" max="18" width="2.33203125" style="2280" customWidth="1"/>
    <col min="19" max="19" width="7.109375" style="2313" customWidth="1"/>
    <col min="20" max="22" width="7.109375" style="2280" customWidth="1"/>
    <col min="23" max="23" width="23.88671875" style="2280" customWidth="1"/>
    <col min="24" max="25" width="9" style="2280"/>
    <col min="26" max="27" width="11.6640625" style="2280" customWidth="1"/>
    <col min="28" max="28" width="9" style="2280"/>
    <col min="29" max="29" width="2" style="2280" customWidth="1"/>
    <col min="30" max="16384" width="9" style="2280"/>
  </cols>
  <sheetData>
    <row r="1" spans="1:34" s="2258" customFormat="1">
      <c r="B1" s="3737" t="s">
        <v>782</v>
      </c>
      <c r="C1" s="3737"/>
      <c r="D1" s="3737"/>
      <c r="E1" s="3737"/>
      <c r="F1" s="3737"/>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59" customFormat="1" ht="1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4">
      <c r="A3" s="2263" t="s">
        <v>2463</v>
      </c>
      <c r="B3" s="2264"/>
      <c r="C3" s="2264"/>
      <c r="D3" s="2265"/>
      <c r="E3" s="2265"/>
      <c r="F3" s="2264"/>
      <c r="G3" s="2266"/>
      <c r="H3" s="2267"/>
      <c r="I3" s="2268">
        <f>ROUND(AVERAGE(I4:I41),2)</f>
        <v>1.47</v>
      </c>
      <c r="J3" s="2268">
        <f>ROUND(AVERAGE(J4:J41),2)</f>
        <v>0.92</v>
      </c>
      <c r="K3" s="2268">
        <f>ROUND(AVERAGE(K4:K41),2)</f>
        <v>1.61</v>
      </c>
      <c r="L3" s="2269">
        <f>ROUND(AVERAGE(L4:L41),2)</f>
        <v>1.07</v>
      </c>
      <c r="N3" s="2266"/>
      <c r="S3" s="2266"/>
      <c r="W3" s="2271"/>
      <c r="X3" s="2272">
        <f>ROUND(SUMPRODUCT(PRODUCT(1+N3:N$40)),4)</f>
        <v>1.6585000000000001</v>
      </c>
      <c r="Y3" s="2272">
        <f>ROUND(SUMPRODUCT(PRODUCT(1+O3:O$40)),4)</f>
        <v>1.3676999999999999</v>
      </c>
      <c r="Z3" s="2272">
        <f t="shared" ref="Z3:Z38" si="0">Y3</f>
        <v>1.3676999999999999</v>
      </c>
      <c r="AA3" s="2272">
        <f>ROUND(SUMPRODUCT(PRODUCT(1+P3:P$40)),4)</f>
        <v>1.7434000000000001</v>
      </c>
      <c r="AB3" s="2272">
        <f>ROUND(SUMPRODUCT(PRODUCT(1+Q3:Q$40)),4)</f>
        <v>1.4609000000000001</v>
      </c>
      <c r="AD3" s="2273">
        <f>ROUND(AVERAGE(I3:I$41)/100,4)</f>
        <v>1.47E-2</v>
      </c>
      <c r="AE3" s="2273">
        <f>ROUND(AVERAGE(J3:J$41)/100,4)</f>
        <v>9.1999999999999998E-3</v>
      </c>
      <c r="AF3" s="2273">
        <f t="shared" ref="AF3:AF29" si="1">AE3</f>
        <v>9.1999999999999998E-3</v>
      </c>
      <c r="AG3" s="2273">
        <f>ROUND(AVERAGE(K3:K$41)/100,4)</f>
        <v>1.61E-2</v>
      </c>
      <c r="AH3" s="2273">
        <f>ROUND(AVERAGE(L3:L$41)/100,4)</f>
        <v>1.0699999999999999E-2</v>
      </c>
    </row>
    <row r="4" spans="1:34" s="2274" customFormat="1" ht="14.4">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 customHeight="1">
      <c r="A5" s="2284" t="s">
        <v>2796</v>
      </c>
      <c r="B5" s="2285">
        <f t="shared" ref="B5" si="2">B6*(1+N5)</f>
        <v>510.07089659554606</v>
      </c>
      <c r="C5" s="2285">
        <f t="shared" ref="C5" si="3">C6*(1+O5)</f>
        <v>352.55593185737411</v>
      </c>
      <c r="D5" s="2285">
        <f t="shared" ref="D5" si="4">C5</f>
        <v>352.55593185737411</v>
      </c>
      <c r="E5" s="2285">
        <f t="shared" ref="E5" si="5">E6*(1+P5)</f>
        <v>737.27992463403655</v>
      </c>
      <c r="F5" s="2285">
        <f t="shared" ref="F5" si="6">F6*(1+Q5)</f>
        <v>335.88319198297864</v>
      </c>
      <c r="G5" s="3260">
        <v>2023</v>
      </c>
      <c r="H5" s="2286">
        <v>1</v>
      </c>
      <c r="I5" s="3074">
        <v>0</v>
      </c>
      <c r="J5" s="3074">
        <v>0</v>
      </c>
      <c r="K5" s="3074">
        <v>0</v>
      </c>
      <c r="L5" s="3075">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1.6585000000000001</v>
      </c>
      <c r="Y5" s="2288">
        <f>ROUND(SUMPRODUCT(PRODUCT(1+O5:O$40)),4)</f>
        <v>1.3676999999999999</v>
      </c>
      <c r="Z5" s="2288">
        <f t="shared" ref="Z5" si="11">Y5</f>
        <v>1.3676999999999999</v>
      </c>
      <c r="AA5" s="2288">
        <f>ROUND(SUMPRODUCT(PRODUCT(1+P5:P$40)),4)</f>
        <v>1.7434000000000001</v>
      </c>
      <c r="AB5" s="2288">
        <f>ROUND(SUMPRODUCT(PRODUCT(1+Q5:Q$40)),4)</f>
        <v>1.4609000000000001</v>
      </c>
      <c r="AC5" s="2288"/>
      <c r="AD5" s="2290">
        <f>ROUND(AVERAGE(I5:I$41)/100,4)</f>
        <v>1.47E-2</v>
      </c>
      <c r="AE5" s="2290">
        <f>ROUND(AVERAGE(J5:J$41)/100,4)</f>
        <v>9.1999999999999998E-3</v>
      </c>
      <c r="AF5" s="2290">
        <f t="shared" ref="AF5" si="12">AE5</f>
        <v>9.1999999999999998E-3</v>
      </c>
      <c r="AG5" s="2290">
        <f>ROUND(AVERAGE(K5:K$41)/100,4)</f>
        <v>1.61E-2</v>
      </c>
      <c r="AH5" s="2290">
        <f>ROUND(AVERAGE(L5:L$41)/100,4)</f>
        <v>1.0699999999999999E-2</v>
      </c>
    </row>
    <row r="6" spans="1:34" s="2291" customFormat="1" ht="14.4" customHeight="1">
      <c r="A6" s="2284" t="s">
        <v>2795</v>
      </c>
      <c r="B6" s="2285">
        <f t="shared" ref="B6" si="13">B7*(1+N6)</f>
        <v>510.07089659554606</v>
      </c>
      <c r="C6" s="2285">
        <f t="shared" ref="C6" si="14">C7*(1+O6)</f>
        <v>352.55593185737411</v>
      </c>
      <c r="D6" s="2285">
        <f t="shared" ref="D6" si="15">C6</f>
        <v>352.55593185737411</v>
      </c>
      <c r="E6" s="2285">
        <f t="shared" ref="E6" si="16">E7*(1+P6)</f>
        <v>737.27992463403655</v>
      </c>
      <c r="F6" s="2285">
        <f t="shared" ref="F6" si="17">F7*(1+Q6)</f>
        <v>335.88319198297864</v>
      </c>
      <c r="G6" s="3260">
        <v>2022</v>
      </c>
      <c r="H6" s="2286">
        <v>4</v>
      </c>
      <c r="I6" s="3074">
        <v>0</v>
      </c>
      <c r="J6" s="3074">
        <v>0</v>
      </c>
      <c r="K6" s="3074">
        <v>0</v>
      </c>
      <c r="L6" s="3075">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1.6585000000000001</v>
      </c>
      <c r="Y6" s="2288">
        <f>ROUND(SUMPRODUCT(PRODUCT(1+O6:O$40)),4)</f>
        <v>1.3676999999999999</v>
      </c>
      <c r="Z6" s="2288">
        <f t="shared" ref="Z6" si="22">Y6</f>
        <v>1.3676999999999999</v>
      </c>
      <c r="AA6" s="2288">
        <f>ROUND(SUMPRODUCT(PRODUCT(1+P6:P$40)),4)</f>
        <v>1.7434000000000001</v>
      </c>
      <c r="AB6" s="2288">
        <f>ROUND(SUMPRODUCT(PRODUCT(1+Q6:Q$40)),4)</f>
        <v>1.4609000000000001</v>
      </c>
      <c r="AC6" s="2288"/>
      <c r="AD6" s="2290">
        <f>ROUND(AVERAGE(I6:I$41)/100,4)</f>
        <v>1.5100000000000001E-2</v>
      </c>
      <c r="AE6" s="2290">
        <f>ROUND(AVERAGE(J6:J$41)/100,4)</f>
        <v>9.4000000000000004E-3</v>
      </c>
      <c r="AF6" s="2290">
        <f t="shared" ref="AF6" si="23">AE6</f>
        <v>9.4000000000000004E-3</v>
      </c>
      <c r="AG6" s="2290">
        <f>ROUND(AVERAGE(K6:K$41)/100,4)</f>
        <v>1.66E-2</v>
      </c>
      <c r="AH6" s="2290">
        <f>ROUND(AVERAGE(L6:L$41)/100,4)</f>
        <v>1.0999999999999999E-2</v>
      </c>
    </row>
    <row r="7" spans="1:34" s="2291" customFormat="1" ht="14.4" customHeight="1">
      <c r="A7" s="2284" t="s">
        <v>2794</v>
      </c>
      <c r="B7" s="2285">
        <f t="shared" ref="B7" si="24">B8*(1+N7)</f>
        <v>510.07089659554606</v>
      </c>
      <c r="C7" s="2285">
        <f t="shared" ref="C7" si="25">C8*(1+O7)</f>
        <v>352.55593185737411</v>
      </c>
      <c r="D7" s="2285">
        <f t="shared" ref="D7" si="26">C7</f>
        <v>352.55593185737411</v>
      </c>
      <c r="E7" s="2285">
        <f t="shared" ref="E7" si="27">E8*(1+P7)</f>
        <v>737.27992463403655</v>
      </c>
      <c r="F7" s="2285">
        <f t="shared" ref="F7" si="28">F8*(1+Q7)</f>
        <v>335.88319198297864</v>
      </c>
      <c r="G7" s="3260">
        <v>2022</v>
      </c>
      <c r="H7" s="2286">
        <v>3</v>
      </c>
      <c r="I7" s="3074">
        <v>0</v>
      </c>
      <c r="J7" s="3074">
        <v>0</v>
      </c>
      <c r="K7" s="3074">
        <v>0</v>
      </c>
      <c r="L7" s="3075">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1.6585000000000001</v>
      </c>
      <c r="Y7" s="2288">
        <f>ROUND(SUMPRODUCT(PRODUCT(1+O7:O$40)),4)</f>
        <v>1.3676999999999999</v>
      </c>
      <c r="Z7" s="2288">
        <f t="shared" ref="Z7" si="33">Y7</f>
        <v>1.3676999999999999</v>
      </c>
      <c r="AA7" s="2288">
        <f>ROUND(SUMPRODUCT(PRODUCT(1+P7:P$40)),4)</f>
        <v>1.7434000000000001</v>
      </c>
      <c r="AB7" s="2288">
        <f>ROUND(SUMPRODUCT(PRODUCT(1+Q7:Q$40)),4)</f>
        <v>1.4609000000000001</v>
      </c>
      <c r="AC7" s="2288"/>
      <c r="AD7" s="2290">
        <f>ROUND(AVERAGE(I7:I$41)/100,4)</f>
        <v>1.55E-2</v>
      </c>
      <c r="AE7" s="2290">
        <f>ROUND(AVERAGE(J7:J$41)/100,4)</f>
        <v>9.7000000000000003E-3</v>
      </c>
      <c r="AF7" s="2290">
        <f t="shared" ref="AF7" si="34">AE7</f>
        <v>9.7000000000000003E-3</v>
      </c>
      <c r="AG7" s="2290">
        <f>ROUND(AVERAGE(K7:K$41)/100,4)</f>
        <v>1.7100000000000001E-2</v>
      </c>
      <c r="AH7" s="2290">
        <f>ROUND(AVERAGE(L7:L$41)/100,4)</f>
        <v>1.1299999999999999E-2</v>
      </c>
    </row>
    <row r="8" spans="1:34" s="2291" customFormat="1" ht="14.4" customHeight="1">
      <c r="A8" s="2284" t="s">
        <v>2793</v>
      </c>
      <c r="B8" s="2285">
        <f t="shared" ref="B8" si="35">B9*(1+N8)</f>
        <v>510.07089659554606</v>
      </c>
      <c r="C8" s="2285">
        <f t="shared" ref="C8" si="36">C9*(1+O8)</f>
        <v>352.55593185737411</v>
      </c>
      <c r="D8" s="2285">
        <f t="shared" ref="D8" si="37">C8</f>
        <v>352.55593185737411</v>
      </c>
      <c r="E8" s="2285">
        <f t="shared" ref="E8" si="38">E9*(1+P8)</f>
        <v>737.27992463403655</v>
      </c>
      <c r="F8" s="2285">
        <f t="shared" ref="F8" si="39">F9*(1+Q8)</f>
        <v>335.88319198297864</v>
      </c>
      <c r="G8" s="3260">
        <v>2022</v>
      </c>
      <c r="H8" s="2286">
        <v>2</v>
      </c>
      <c r="I8" s="3074">
        <v>0</v>
      </c>
      <c r="J8" s="3074">
        <v>0</v>
      </c>
      <c r="K8" s="3074">
        <v>0</v>
      </c>
      <c r="L8" s="3075">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1.6585000000000001</v>
      </c>
      <c r="Y8" s="2288">
        <f>ROUND(SUMPRODUCT(PRODUCT(1+O8:O$40)),4)</f>
        <v>1.3676999999999999</v>
      </c>
      <c r="Z8" s="2288">
        <f t="shared" ref="Z8" si="44">Y8</f>
        <v>1.3676999999999999</v>
      </c>
      <c r="AA8" s="2288">
        <f>ROUND(SUMPRODUCT(PRODUCT(1+P8:P$40)),4)</f>
        <v>1.7434000000000001</v>
      </c>
      <c r="AB8" s="2288">
        <f>ROUND(SUMPRODUCT(PRODUCT(1+Q8:Q$40)),4)</f>
        <v>1.4609000000000001</v>
      </c>
      <c r="AC8" s="2288"/>
      <c r="AD8" s="2290">
        <f>ROUND(AVERAGE(I8:I$41)/100,4)</f>
        <v>1.6E-2</v>
      </c>
      <c r="AE8" s="2290">
        <f>ROUND(AVERAGE(J8:J$41)/100,4)</f>
        <v>0.01</v>
      </c>
      <c r="AF8" s="2290">
        <f t="shared" ref="AF8" si="45">AE8</f>
        <v>0.01</v>
      </c>
      <c r="AG8" s="2290">
        <f>ROUND(AVERAGE(K8:K$41)/100,4)</f>
        <v>1.7600000000000001E-2</v>
      </c>
      <c r="AH8" s="2290">
        <f>ROUND(AVERAGE(L8:L$41)/100,4)</f>
        <v>1.1599999999999999E-2</v>
      </c>
    </row>
    <row r="9" spans="1:34" s="2291" customFormat="1" ht="14.4" customHeight="1">
      <c r="A9" s="2284" t="s">
        <v>2792</v>
      </c>
      <c r="B9" s="2285">
        <f t="shared" ref="B9" si="46">B10*(1+N9)</f>
        <v>510.07089659554606</v>
      </c>
      <c r="C9" s="2285">
        <f t="shared" ref="C9" si="47">C10*(1+O9)</f>
        <v>352.55593185737411</v>
      </c>
      <c r="D9" s="2285">
        <f t="shared" ref="D9" si="48">C9</f>
        <v>352.55593185737411</v>
      </c>
      <c r="E9" s="2285">
        <f t="shared" ref="E9" si="49">E10*(1+P9)</f>
        <v>737.27992463403655</v>
      </c>
      <c r="F9" s="2285">
        <f t="shared" ref="F9" si="50">F10*(1+Q9)</f>
        <v>335.88319198297864</v>
      </c>
      <c r="G9" s="3260">
        <v>2022</v>
      </c>
      <c r="H9" s="2286">
        <v>1</v>
      </c>
      <c r="I9" s="3074">
        <v>0</v>
      </c>
      <c r="J9" s="3074">
        <v>0</v>
      </c>
      <c r="K9" s="3074">
        <v>0</v>
      </c>
      <c r="L9" s="3075">
        <v>0</v>
      </c>
      <c r="M9" s="2288"/>
      <c r="N9" s="2289">
        <f t="shared" ref="N9" si="51">I9/100</f>
        <v>0</v>
      </c>
      <c r="O9" s="2290">
        <f t="shared" ref="O9" si="52">J9/100</f>
        <v>0</v>
      </c>
      <c r="P9" s="2290">
        <f t="shared" ref="P9" si="53">K9/100</f>
        <v>0</v>
      </c>
      <c r="Q9" s="2290">
        <f t="shared" ref="Q9" si="54">L9/100</f>
        <v>0</v>
      </c>
      <c r="R9" s="2288"/>
      <c r="S9" s="2289">
        <f>B9/B10-1</f>
        <v>0</v>
      </c>
      <c r="T9" s="2290">
        <f>C9/C10-1</f>
        <v>0</v>
      </c>
      <c r="U9" s="2290">
        <f>E9/E10-1</f>
        <v>0</v>
      </c>
      <c r="V9" s="2290">
        <f>F9/F10-1</f>
        <v>0</v>
      </c>
      <c r="W9" s="2288"/>
      <c r="X9" s="2288">
        <f>ROUND(SUMPRODUCT(PRODUCT(1+N9:N$40)),4)</f>
        <v>1.6585000000000001</v>
      </c>
      <c r="Y9" s="2288">
        <f>ROUND(SUMPRODUCT(PRODUCT(1+O9:O$40)),4)</f>
        <v>1.3676999999999999</v>
      </c>
      <c r="Z9" s="2288">
        <f t="shared" ref="Z9" si="55">Y9</f>
        <v>1.3676999999999999</v>
      </c>
      <c r="AA9" s="2288">
        <f>ROUND(SUMPRODUCT(PRODUCT(1+P9:P$40)),4)</f>
        <v>1.7434000000000001</v>
      </c>
      <c r="AB9" s="2288">
        <f>ROUND(SUMPRODUCT(PRODUCT(1+Q9:Q$40)),4)</f>
        <v>1.4609000000000001</v>
      </c>
      <c r="AC9" s="2288"/>
      <c r="AD9" s="2290">
        <f>ROUND(AVERAGE(I9:I$41)/100,4)</f>
        <v>1.6400000000000001E-2</v>
      </c>
      <c r="AE9" s="2290">
        <f>ROUND(AVERAGE(J9:J$41)/100,4)</f>
        <v>1.03E-2</v>
      </c>
      <c r="AF9" s="2290">
        <f t="shared" ref="AF9" si="56">AE9</f>
        <v>1.03E-2</v>
      </c>
      <c r="AG9" s="2290">
        <f>ROUND(AVERAGE(K9:K$41)/100,4)</f>
        <v>1.8100000000000002E-2</v>
      </c>
      <c r="AH9" s="2290">
        <f>ROUND(AVERAGE(L9:L$41)/100,4)</f>
        <v>1.2E-2</v>
      </c>
    </row>
    <row r="10" spans="1:34" s="2291" customFormat="1" ht="14.4" customHeight="1">
      <c r="A10" s="2284" t="s">
        <v>2791</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9">
        <v>2021</v>
      </c>
      <c r="H10" s="2286">
        <v>4</v>
      </c>
      <c r="I10" s="3074">
        <v>1.03</v>
      </c>
      <c r="J10" s="3074">
        <v>0.24</v>
      </c>
      <c r="K10" s="3074">
        <v>1.17</v>
      </c>
      <c r="L10" s="3075">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 customHeight="1">
      <c r="A11" s="2284" t="s">
        <v>2645</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6">
        <v>2021</v>
      </c>
      <c r="H11" s="2286">
        <v>3</v>
      </c>
      <c r="I11" s="3074">
        <v>0.47</v>
      </c>
      <c r="J11" s="3074">
        <v>0.41</v>
      </c>
      <c r="K11" s="3074">
        <v>0.48</v>
      </c>
      <c r="L11" s="3075">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 customHeight="1">
      <c r="A12" s="2284" t="s">
        <v>2644</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3">
        <v>2021</v>
      </c>
      <c r="H12" s="2286">
        <v>2</v>
      </c>
      <c r="I12" s="3074">
        <v>0.92</v>
      </c>
      <c r="J12" s="3074">
        <v>0.72</v>
      </c>
      <c r="K12" s="3074">
        <v>0.95</v>
      </c>
      <c r="L12" s="3075">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 customHeight="1">
      <c r="A13" s="2284" t="s">
        <v>2643</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2">
        <v>2021</v>
      </c>
      <c r="H13" s="2286">
        <v>1</v>
      </c>
      <c r="I13" s="3074">
        <v>0.97</v>
      </c>
      <c r="J13" s="3074">
        <v>0.16</v>
      </c>
      <c r="K13" s="3074">
        <v>1.1100000000000001</v>
      </c>
      <c r="L13" s="3075">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 customHeight="1">
      <c r="A14" s="2284" t="s">
        <v>2637</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3">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 customHeight="1">
      <c r="A15" s="2284" t="s">
        <v>2636</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2">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 customHeight="1">
      <c r="A16" s="2284" t="s">
        <v>2491</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 customHeight="1">
      <c r="A17" s="2284" t="s">
        <v>2488</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 customHeight="1">
      <c r="A18" s="2284" t="s">
        <v>2486</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 customHeight="1" thickBot="1">
      <c r="A19" s="2284" t="s">
        <v>2484</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 customHeight="1">
      <c r="A20" s="2284" t="s">
        <v>2478</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 customHeight="1" thickBot="1">
      <c r="A21" s="2284" t="s">
        <v>2479</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2476</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3">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 customHeight="1">
      <c r="A23" s="2284" t="s">
        <v>2471</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3"/>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 customHeight="1">
      <c r="A24" s="2284" t="s">
        <v>2470</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3"/>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2467</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42"/>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2464</v>
      </c>
      <c r="B26" s="2294">
        <v>439</v>
      </c>
      <c r="C26" s="2294">
        <v>327</v>
      </c>
      <c r="D26" s="2294">
        <f t="shared" si="213"/>
        <v>327</v>
      </c>
      <c r="E26" s="2294">
        <v>627</v>
      </c>
      <c r="F26" s="2295">
        <v>283</v>
      </c>
      <c r="G26" s="3738">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 customHeight="1">
      <c r="A27" s="2284" t="s">
        <v>2462</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3"/>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3"/>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42"/>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8">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3"/>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3"/>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8"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4"/>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8" thickBot="1">
      <c r="A34" s="2284" t="s">
        <v>101</v>
      </c>
      <c r="B34" s="2294">
        <v>333</v>
      </c>
      <c r="C34" s="2294">
        <v>277</v>
      </c>
      <c r="D34" s="2294">
        <f t="shared" si="238"/>
        <v>277</v>
      </c>
      <c r="E34" s="2294">
        <v>459</v>
      </c>
      <c r="F34" s="2295">
        <v>249</v>
      </c>
      <c r="G34" s="3732">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3"/>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3"/>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4"/>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8" thickBot="1">
      <c r="A38" s="2284" t="s">
        <v>97</v>
      </c>
      <c r="B38" s="2316">
        <v>318</v>
      </c>
      <c r="C38" s="2316">
        <v>268</v>
      </c>
      <c r="D38" s="2316">
        <f t="shared" si="238"/>
        <v>268</v>
      </c>
      <c r="E38" s="2316">
        <v>437</v>
      </c>
      <c r="F38" s="2317">
        <v>237</v>
      </c>
      <c r="G38" s="3732">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3"/>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8"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3"/>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8"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4"/>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8" thickBot="1">
      <c r="A42" s="2284" t="s">
        <v>800</v>
      </c>
      <c r="B42" s="2294">
        <v>299</v>
      </c>
      <c r="C42" s="2294">
        <v>252</v>
      </c>
      <c r="D42" s="2294">
        <f t="shared" si="238"/>
        <v>252</v>
      </c>
      <c r="E42" s="2294">
        <v>409</v>
      </c>
      <c r="F42" s="2295">
        <v>227</v>
      </c>
      <c r="G42" s="3739">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40"/>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40"/>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41"/>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8" thickBot="1">
      <c r="A46" s="2284" t="s">
        <v>804</v>
      </c>
      <c r="B46" s="2337">
        <v>278</v>
      </c>
      <c r="C46" s="2337">
        <v>234</v>
      </c>
      <c r="D46" s="2337">
        <f t="shared" si="238"/>
        <v>234</v>
      </c>
      <c r="E46" s="2337">
        <v>379</v>
      </c>
      <c r="F46" s="2338">
        <v>220</v>
      </c>
      <c r="G46" s="3732">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3"/>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3"/>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8" thickBot="1">
      <c r="A49" s="2284" t="s">
        <v>807</v>
      </c>
      <c r="B49" s="2301">
        <f>B48/(1+N48)</f>
        <v>275.19025476197027</v>
      </c>
      <c r="C49" s="2339">
        <v>232</v>
      </c>
      <c r="D49" s="2339">
        <f t="shared" si="238"/>
        <v>232</v>
      </c>
      <c r="E49" s="2301">
        <f t="shared" si="249"/>
        <v>375.65990977608692</v>
      </c>
      <c r="F49" s="2301">
        <f t="shared" si="249"/>
        <v>214.12518283971252</v>
      </c>
      <c r="G49" s="3734"/>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8" thickBot="1">
      <c r="A50" s="2284" t="s">
        <v>808</v>
      </c>
      <c r="B50" s="2294">
        <v>275</v>
      </c>
      <c r="C50" s="2294">
        <v>232</v>
      </c>
      <c r="D50" s="2294">
        <f t="shared" si="238"/>
        <v>232</v>
      </c>
      <c r="E50" s="2294">
        <v>376</v>
      </c>
      <c r="F50" s="2295">
        <v>213</v>
      </c>
      <c r="G50" s="3732">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3">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3">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8"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4">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8" thickBot="1">
      <c r="A54" s="2284" t="s">
        <v>812</v>
      </c>
      <c r="B54" s="2294">
        <v>269</v>
      </c>
      <c r="C54" s="2294">
        <v>221</v>
      </c>
      <c r="D54" s="2294">
        <f t="shared" si="238"/>
        <v>221</v>
      </c>
      <c r="E54" s="2294">
        <v>373</v>
      </c>
      <c r="F54" s="2295">
        <v>196</v>
      </c>
      <c r="G54" s="3732">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3">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3">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8"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4">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8" thickBot="1">
      <c r="A58" s="2284" t="s">
        <v>816</v>
      </c>
      <c r="B58" s="2294">
        <v>220</v>
      </c>
      <c r="C58" s="2294">
        <v>187</v>
      </c>
      <c r="D58" s="2294">
        <f t="shared" si="238"/>
        <v>187</v>
      </c>
      <c r="E58" s="2294">
        <v>301</v>
      </c>
      <c r="F58" s="2295">
        <v>168</v>
      </c>
      <c r="G58" s="3732">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3">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3">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4">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8" thickBot="1">
      <c r="A62" s="2284" t="s">
        <v>820</v>
      </c>
      <c r="B62" s="2337">
        <v>214</v>
      </c>
      <c r="C62" s="2337">
        <v>188</v>
      </c>
      <c r="D62" s="2337">
        <f t="shared" si="238"/>
        <v>188</v>
      </c>
      <c r="E62" s="2337">
        <v>289</v>
      </c>
      <c r="F62" s="2338">
        <v>166</v>
      </c>
      <c r="G62" s="3732">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3">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3">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8"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4">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8" thickBot="1">
      <c r="A66" s="2284" t="s">
        <v>824</v>
      </c>
      <c r="B66" s="2294">
        <v>188</v>
      </c>
      <c r="C66" s="2294">
        <v>165</v>
      </c>
      <c r="D66" s="2294">
        <f t="shared" si="238"/>
        <v>165</v>
      </c>
      <c r="E66" s="2294">
        <v>254</v>
      </c>
      <c r="F66" s="2295">
        <v>148</v>
      </c>
      <c r="G66" s="3732">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3">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3">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4">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8" thickBot="1">
      <c r="A70" s="2284" t="s">
        <v>828</v>
      </c>
      <c r="B70" s="2316">
        <v>159</v>
      </c>
      <c r="C70" s="2316">
        <v>141</v>
      </c>
      <c r="D70" s="2316">
        <f t="shared" si="238"/>
        <v>141</v>
      </c>
      <c r="E70" s="2316">
        <v>195</v>
      </c>
      <c r="F70" s="2317">
        <v>122</v>
      </c>
      <c r="G70" s="3732">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3">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3">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4">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8" thickBot="1">
      <c r="A74" s="2284" t="s">
        <v>832</v>
      </c>
      <c r="B74" s="2316">
        <v>138</v>
      </c>
      <c r="C74" s="2316">
        <v>131</v>
      </c>
      <c r="D74" s="2316">
        <f t="shared" si="238"/>
        <v>131</v>
      </c>
      <c r="E74" s="2316">
        <v>155</v>
      </c>
      <c r="F74" s="2317">
        <v>114</v>
      </c>
      <c r="G74" s="3732">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3">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3">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4">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8" thickBot="1">
      <c r="A78" s="2284" t="s">
        <v>836</v>
      </c>
      <c r="B78" s="2337">
        <v>121</v>
      </c>
      <c r="C78" s="2337">
        <v>122</v>
      </c>
      <c r="D78" s="2337">
        <f t="shared" si="238"/>
        <v>122</v>
      </c>
      <c r="E78" s="2337">
        <v>124</v>
      </c>
      <c r="F78" s="2338">
        <v>107</v>
      </c>
      <c r="G78" s="3732">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3">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3">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8"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4">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8" thickBot="1">
      <c r="A82" s="2284" t="s">
        <v>840</v>
      </c>
      <c r="B82" s="2357">
        <v>111</v>
      </c>
      <c r="C82" s="2357">
        <v>114</v>
      </c>
      <c r="D82" s="2357">
        <f t="shared" si="238"/>
        <v>114</v>
      </c>
      <c r="E82" s="2357">
        <v>108</v>
      </c>
      <c r="F82" s="2358">
        <v>104</v>
      </c>
      <c r="G82" s="3732">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3">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3">
        <v>2003</v>
      </c>
      <c r="H84" s="2304">
        <v>2</v>
      </c>
      <c r="I84" s="2359"/>
      <c r="J84" s="2359"/>
      <c r="K84" s="2359"/>
      <c r="L84" s="2359"/>
      <c r="X84" s="2351"/>
      <c r="Y84" s="2351"/>
      <c r="Z84" s="2351"/>
    </row>
    <row r="85" spans="1:26" ht="13.8" thickBot="1">
      <c r="A85" s="2284" t="s">
        <v>843</v>
      </c>
      <c r="B85" s="2361">
        <f t="shared" si="274"/>
        <v>107.25</v>
      </c>
      <c r="C85" s="2361">
        <f t="shared" si="274"/>
        <v>108.75</v>
      </c>
      <c r="D85" s="2361">
        <f t="shared" si="238"/>
        <v>108.75</v>
      </c>
      <c r="E85" s="2361">
        <f t="shared" si="275"/>
        <v>105.75</v>
      </c>
      <c r="F85" s="2361">
        <f t="shared" si="275"/>
        <v>102.5</v>
      </c>
      <c r="G85" s="3734">
        <v>2003</v>
      </c>
      <c r="H85" s="2362">
        <v>1</v>
      </c>
      <c r="I85" s="2359"/>
      <c r="J85" s="2359"/>
      <c r="K85" s="2359"/>
      <c r="L85" s="2359"/>
      <c r="S85" s="2302"/>
      <c r="T85" s="2281"/>
      <c r="U85" s="2281"/>
      <c r="X85" s="2351"/>
      <c r="Y85" s="2351"/>
      <c r="Z85" s="2351"/>
    </row>
    <row r="86" spans="1:26" ht="13.8" thickBot="1">
      <c r="A86" s="2284" t="s">
        <v>844</v>
      </c>
      <c r="B86" s="2363">
        <v>106</v>
      </c>
      <c r="C86" s="2363">
        <v>107</v>
      </c>
      <c r="D86" s="2363">
        <f t="shared" si="238"/>
        <v>107</v>
      </c>
      <c r="E86" s="2363">
        <v>105</v>
      </c>
      <c r="F86" s="2364">
        <v>102</v>
      </c>
      <c r="G86" s="3732">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3">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3">
        <v>2002</v>
      </c>
      <c r="H88" s="2304">
        <v>2</v>
      </c>
      <c r="I88" s="2359"/>
      <c r="J88" s="2359"/>
      <c r="K88" s="2359"/>
      <c r="L88" s="2359"/>
      <c r="X88" s="2351"/>
      <c r="Y88" s="2351"/>
      <c r="Z88" s="2351"/>
    </row>
    <row r="89" spans="1:26" s="2324" customFormat="1" ht="13.8" thickBot="1">
      <c r="A89" s="2320" t="s">
        <v>847</v>
      </c>
      <c r="B89" s="2327">
        <f t="shared" si="276"/>
        <v>103</v>
      </c>
      <c r="C89" s="2327">
        <f t="shared" si="276"/>
        <v>104</v>
      </c>
      <c r="D89" s="2327">
        <f t="shared" si="238"/>
        <v>104</v>
      </c>
      <c r="E89" s="2327">
        <f t="shared" si="277"/>
        <v>103.5</v>
      </c>
      <c r="F89" s="2327">
        <f t="shared" si="277"/>
        <v>100.5</v>
      </c>
      <c r="G89" s="3734">
        <v>2002</v>
      </c>
      <c r="H89" s="2365">
        <v>1</v>
      </c>
      <c r="I89" s="2366"/>
      <c r="J89" s="2366"/>
      <c r="K89" s="2366"/>
      <c r="L89" s="2366"/>
      <c r="N89" s="2367"/>
      <c r="S89" s="2367"/>
      <c r="X89" s="2368"/>
      <c r="Y89" s="2368"/>
      <c r="Z89" s="2368"/>
    </row>
    <row r="90" spans="1:26" ht="13.8"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8"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8"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ht="15.6">
      <c r="A19" s="3064"/>
      <c r="B19" s="1209" t="s">
        <v>2638</v>
      </c>
      <c r="C19" s="1218">
        <v>43697</v>
      </c>
      <c r="D19" s="3065">
        <v>4.25</v>
      </c>
      <c r="E19" s="3065">
        <f t="shared" si="0"/>
        <v>4.25</v>
      </c>
      <c r="F19" s="3065">
        <f t="shared" si="1"/>
        <v>4.25</v>
      </c>
      <c r="G19" s="3065">
        <f t="shared" si="2"/>
        <v>4.25</v>
      </c>
      <c r="H19" s="3065">
        <v>4.8499999999999996</v>
      </c>
      <c r="I19" s="3065"/>
      <c r="J19" s="3065"/>
      <c r="K19" s="3064"/>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290"/>
      <c r="B3" s="1290"/>
      <c r="C3" s="1290"/>
      <c r="D3" s="1290"/>
      <c r="E3" s="1290"/>
    </row>
    <row r="4" spans="1:5" ht="18" thickBot="1">
      <c r="A4" s="3338" t="str">
        <f>IF(项目基本情况!D5="房地产市场价值","估价结果一览表（市场价值不需本页表格)","估价结果一览表")</f>
        <v>估价结果一览表</v>
      </c>
      <c r="B4" s="3338"/>
      <c r="C4" s="3338"/>
      <c r="D4" s="3338"/>
      <c r="E4" s="3338"/>
    </row>
    <row r="5" spans="1:5" ht="14.25" customHeight="1" thickTop="1">
      <c r="A5" s="1287"/>
      <c r="B5" s="1291" t="s">
        <v>562</v>
      </c>
      <c r="C5" s="3339" t="s">
        <v>593</v>
      </c>
      <c r="D5" s="3340"/>
      <c r="E5" s="1287"/>
    </row>
    <row r="6" spans="1:5" ht="46.8">
      <c r="A6" s="1287"/>
      <c r="B6" s="1292" t="str">
        <f>项目基本情况!I1</f>
        <v>北京市大兴区北京经济技术开发区荣华南路10号院4号楼1至2层107号商业用房房地产</v>
      </c>
      <c r="C6" s="3341">
        <f>项目基本情况!C12</f>
        <v>262.86</v>
      </c>
      <c r="D6" s="3341"/>
      <c r="E6" s="1287"/>
    </row>
    <row r="7" spans="1:5" ht="15.6">
      <c r="A7" s="1287"/>
      <c r="B7" s="3335" t="s">
        <v>594</v>
      </c>
      <c r="C7" s="1293" t="str">
        <f>IF('数据-取费表'!B3="万元","总价（万元）","总价（元）")</f>
        <v>总价（元）</v>
      </c>
      <c r="D7" s="1294">
        <f ca="1">IF('数据-取费表'!E3="否",结果表!I102,'结果表 (1修多)'!I104)</f>
        <v>11742745</v>
      </c>
      <c r="E7" s="1287"/>
    </row>
    <row r="8" spans="1:5" ht="31.2">
      <c r="A8" s="1287"/>
      <c r="B8" s="3335"/>
      <c r="C8" s="1295" t="s">
        <v>924</v>
      </c>
      <c r="D8" s="1296" t="str">
        <f ca="1">IF('数据-取费表'!B3="万元",NUMBERSTRING(INT(D7*10000),2)&amp;"元整",NUMBERSTRING(INT(D7),2)&amp;"元整")</f>
        <v>壹仟壹佰柒拾肆万贰仟柒佰肆拾伍元整</v>
      </c>
      <c r="E8" s="1287"/>
    </row>
    <row r="9" spans="1:5" ht="15.6">
      <c r="A9" s="1287"/>
      <c r="B9" s="3335"/>
      <c r="C9" s="1297" t="s">
        <v>1020</v>
      </c>
      <c r="D9" s="1294">
        <f ca="1">IF('数据-取费表'!E3="否",结果表!I103,'结果表 (1修多)'!I105)</f>
        <v>44673</v>
      </c>
      <c r="E9" s="1287"/>
    </row>
    <row r="10" spans="1:5" ht="15.6">
      <c r="A10" s="1287"/>
      <c r="B10" s="3342"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42"/>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42" t="str">
        <f>IF('数据-取费表'!E3="否",结果表!F110,'结果表 (1修多)'!F112)</f>
        <v>——</v>
      </c>
      <c r="C15" s="1288" t="str">
        <f>C7</f>
        <v>总价（元）</v>
      </c>
      <c r="D15" s="1294" t="str">
        <f>IF('数据-取费表'!E3="否",结果表!I110,'结果表 (1修多)'!I112)</f>
        <v>——</v>
      </c>
      <c r="E15" s="1287"/>
    </row>
    <row r="16" spans="1:5" ht="15.6">
      <c r="A16" s="1287"/>
      <c r="B16" s="3342"/>
      <c r="C16" s="1295" t="s">
        <v>924</v>
      </c>
      <c r="D16" s="1294" t="e">
        <f>IF('数据-取费表'!B3="万元",NUMBERSTRING(INT(D15*10000),2)&amp;"元整",NUMBERSTRING(INT(D15),2)&amp;"元整")</f>
        <v>#VALUE!</v>
      </c>
      <c r="E16" s="1287"/>
    </row>
    <row r="17" spans="1:5" ht="15.6">
      <c r="A17" s="1287"/>
      <c r="B17" s="3342"/>
      <c r="C17" s="1297" t="s">
        <v>1020</v>
      </c>
      <c r="D17" s="1294" t="e">
        <f ca="1">IF('数据-取费表'!E3="否",结果表!I111,'结果表 (1修多)'!I113)</f>
        <v>#VALUE!</v>
      </c>
      <c r="E17" s="1287"/>
    </row>
    <row r="18" spans="1:5" ht="15.6">
      <c r="A18" s="1287"/>
      <c r="B18" s="3342" t="str">
        <f>IF('数据-取费表'!E3="否",结果表!F112,'结果表 (1修多)'!F114)</f>
        <v>3.抵押担保权已注销时的房地产抵押价值</v>
      </c>
      <c r="C18" s="1288" t="str">
        <f>C7</f>
        <v>总价（元）</v>
      </c>
      <c r="D18" s="1294">
        <f ca="1">IF('数据-取费表'!E3="否",结果表!I112,'结果表 (1修多)'!I114)</f>
        <v>11742745</v>
      </c>
      <c r="E18" s="1287"/>
    </row>
    <row r="19" spans="1:5" ht="31.2">
      <c r="A19" s="1287"/>
      <c r="B19" s="3342"/>
      <c r="C19" s="1295" t="s">
        <v>924</v>
      </c>
      <c r="D19" s="1294" t="str">
        <f ca="1">IF('数据-取费表'!B3="万元",NUMBERSTRING(INT(D18*10000),2)&amp;"元整",NUMBERSTRING(INT(D18),2)&amp;"元整")</f>
        <v>壹仟壹佰柒拾肆万贰仟柒佰肆拾伍元整</v>
      </c>
      <c r="E19" s="1287"/>
    </row>
    <row r="20" spans="1:5" ht="15.6">
      <c r="A20" s="1287"/>
      <c r="B20" s="3342"/>
      <c r="C20" s="1297" t="s">
        <v>1020</v>
      </c>
      <c r="D20" s="1294">
        <f ca="1">IF('数据-取费表'!E3="否",结果表!I113,'结果表 (1修多)'!I115)</f>
        <v>44673</v>
      </c>
      <c r="E20" s="1287"/>
    </row>
    <row r="21" spans="1:5" ht="15.6">
      <c r="A21" s="1287"/>
      <c r="B21" s="3335" t="str">
        <f>IF('数据-取费表'!E3="否",结果表!F114,'结果表 (1修多)'!F116)</f>
        <v>——</v>
      </c>
      <c r="C21" s="1293" t="str">
        <f>C7</f>
        <v>总价（元）</v>
      </c>
      <c r="D21" s="1294" t="str">
        <f>IF('数据-取费表'!E3="否",结果表!I114,'结果表 (1修多)'!I116)</f>
        <v>——</v>
      </c>
      <c r="E21" s="1287"/>
    </row>
    <row r="22" spans="1:5" ht="15.6">
      <c r="A22" s="1287"/>
      <c r="B22" s="3335"/>
      <c r="C22" s="1295" t="s">
        <v>924</v>
      </c>
      <c r="D22" s="1296" t="e">
        <f>IF('数据-取费表'!B3="万元",NUMBERSTRING(INT(D21*10000),2)&amp;"元整",NUMBERSTRING(INT(D21),2)&amp;"元整")</f>
        <v>#VALUE!</v>
      </c>
      <c r="E22" s="1287"/>
    </row>
    <row r="23" spans="1:5" ht="16.2" thickBot="1">
      <c r="A23" s="1287"/>
      <c r="B23" s="3336"/>
      <c r="C23" s="1302" t="s">
        <v>1020</v>
      </c>
      <c r="D23" s="1303" t="e">
        <f ca="1">IF('数据-取费表'!E3="否",结果表!I115,'结果表 (1修多)'!I117)</f>
        <v>#VALUE!</v>
      </c>
      <c r="E23" s="1287"/>
    </row>
    <row r="24" spans="1:5" ht="15" thickTop="1">
      <c r="A24" s="1287"/>
      <c r="B24" s="1287"/>
      <c r="C24" s="1287"/>
      <c r="D24" s="1287"/>
      <c r="E24" s="1287"/>
    </row>
    <row r="25" spans="1:5" ht="18.75" customHeight="1" thickBot="1">
      <c r="A25" s="1287"/>
      <c r="B25" s="3350" t="s">
        <v>1021</v>
      </c>
      <c r="C25" s="3350"/>
      <c r="D25" s="3350"/>
      <c r="E25" s="1287"/>
    </row>
    <row r="26" spans="1:5" ht="18.75" customHeight="1" thickTop="1">
      <c r="A26" s="1287"/>
      <c r="B26" s="3353" t="s">
        <v>923</v>
      </c>
      <c r="C26" s="3354"/>
      <c r="D26" s="3351" t="s">
        <v>922</v>
      </c>
      <c r="E26" s="1287"/>
    </row>
    <row r="27" spans="1:5" ht="18.75" customHeight="1">
      <c r="A27" s="1287"/>
      <c r="B27" s="3355"/>
      <c r="C27" s="3356"/>
      <c r="D27" s="3352"/>
      <c r="E27" s="1287"/>
    </row>
    <row r="28" spans="1:5" ht="15.6">
      <c r="A28" s="1287"/>
      <c r="B28" s="3343" t="s">
        <v>594</v>
      </c>
      <c r="C28" s="1304" t="s">
        <v>925</v>
      </c>
      <c r="D28" s="1305">
        <f ca="1">IF('数据-取费表'!E3="否",结果表!I102,'结果表 (1修多)'!I104)</f>
        <v>11742745</v>
      </c>
      <c r="E28" s="1287"/>
    </row>
    <row r="29" spans="1:5" ht="31.2">
      <c r="A29" s="1287"/>
      <c r="B29" s="3344"/>
      <c r="C29" s="1306" t="s">
        <v>924</v>
      </c>
      <c r="D29" s="1307" t="str">
        <f ca="1">IF('数据-取费表'!B3="万元",NUMBERSTRING(INT(D28*10000),2)&amp;"元整",NUMBERSTRING(INT(D28),2)&amp;"元整")</f>
        <v>壹仟壹佰柒拾肆万贰仟柒佰肆拾伍元整</v>
      </c>
      <c r="E29" s="1287"/>
    </row>
    <row r="30" spans="1:5" ht="15.6">
      <c r="A30" s="1287"/>
      <c r="B30" s="3345"/>
      <c r="C30" s="1297" t="s">
        <v>927</v>
      </c>
      <c r="D30" s="1308">
        <f ca="1">IF('数据-取费表'!E3="否",结果表!I103,'结果表 (1修多)'!I105)</f>
        <v>44673</v>
      </c>
      <c r="E30" s="1287"/>
    </row>
    <row r="31" spans="1:5" ht="15.6">
      <c r="A31" s="1287"/>
      <c r="B31" s="3348" t="str">
        <f>B10</f>
        <v>2.估价师所知悉的法定优先受偿款</v>
      </c>
      <c r="C31" s="1309" t="s">
        <v>926</v>
      </c>
      <c r="D31" s="1310">
        <f>IF('数据-取费表'!E3="否",结果表!I105,'结果表 (1修多)'!I107)</f>
        <v>0</v>
      </c>
      <c r="E31" s="1287"/>
    </row>
    <row r="32" spans="1:5" ht="15.6">
      <c r="A32" s="1287"/>
      <c r="B32" s="3357"/>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6" t="str">
        <f>B15</f>
        <v>——</v>
      </c>
      <c r="C36" s="1309" t="str">
        <f>C28</f>
        <v>总价</v>
      </c>
      <c r="D36" s="1310" t="str">
        <f>IF('数据-取费表'!E3="否",结果表!I110,'结果表 (1修多)'!I112)</f>
        <v>——</v>
      </c>
      <c r="E36" s="1287"/>
    </row>
    <row r="37" spans="1:5" ht="15.6">
      <c r="A37" s="1287"/>
      <c r="B37" s="3346"/>
      <c r="C37" s="1306" t="s">
        <v>924</v>
      </c>
      <c r="D37" s="1311" t="e">
        <f>IF('数据-取费表'!B3="万元",NUMBERSTRING(INT(D36*10000),2)&amp;"元整",NUMBERSTRING(INT(D36),2)&amp;"元整")</f>
        <v>#VALUE!</v>
      </c>
      <c r="E37" s="1287"/>
    </row>
    <row r="38" spans="1:5" ht="15.6">
      <c r="A38" s="1287"/>
      <c r="B38" s="3346"/>
      <c r="C38" s="1297" t="s">
        <v>928</v>
      </c>
      <c r="D38" s="1308" t="e">
        <f ca="1">IF('数据-取费表'!E3="否",结果表!D113,'结果表 (1修多)'!D117)</f>
        <v>#VALUE!</v>
      </c>
      <c r="E38" s="1287"/>
    </row>
    <row r="39" spans="1:5" ht="15.6">
      <c r="A39" s="1287"/>
      <c r="B39" s="3347" t="str">
        <f>B18</f>
        <v>3.抵押担保权已注销时的房地产抵押价值</v>
      </c>
      <c r="C39" s="1309" t="str">
        <f>C28</f>
        <v>总价</v>
      </c>
      <c r="D39" s="1310">
        <f ca="1">IF('数据-取费表'!E3="否",结果表!I112,'结果表 (1修多)'!I114)</f>
        <v>11742745</v>
      </c>
      <c r="E39" s="1287"/>
    </row>
    <row r="40" spans="1:5" ht="31.2">
      <c r="A40" s="1287"/>
      <c r="B40" s="3347"/>
      <c r="C40" s="1306" t="s">
        <v>924</v>
      </c>
      <c r="D40" s="1311" t="str">
        <f ca="1">IF('数据-取费表'!B3="万元",NUMBERSTRING(INT(D39*10000),2)&amp;"元整",NUMBERSTRING(INT(D39),2)&amp;"元整")</f>
        <v>壹仟壹佰柒拾肆万贰仟柒佰肆拾伍元整</v>
      </c>
      <c r="E40" s="1287"/>
    </row>
    <row r="41" spans="1:5" ht="15.6">
      <c r="A41" s="1287"/>
      <c r="B41" s="3347"/>
      <c r="C41" s="1297" t="s">
        <v>928</v>
      </c>
      <c r="D41" s="1308">
        <f ca="1">IF('数据-取费表'!E3="否",结果表!D115,'结果表 (1修多)'!D119)</f>
        <v>44673</v>
      </c>
      <c r="E41" s="1287"/>
    </row>
    <row r="42" spans="1:5" ht="15.6">
      <c r="A42" s="1287"/>
      <c r="B42" s="3346" t="str">
        <f>B21</f>
        <v>——</v>
      </c>
      <c r="C42" s="1309" t="str">
        <f>C28</f>
        <v>总价</v>
      </c>
      <c r="D42" s="1310" t="str">
        <f>IF('数据-取费表'!E3="否",结果表!I114,'结果表 (1修多)'!I116)</f>
        <v>——</v>
      </c>
      <c r="E42" s="1287"/>
    </row>
    <row r="43" spans="1:5" ht="15.6">
      <c r="A43" s="1287"/>
      <c r="B43" s="3348"/>
      <c r="C43" s="1306" t="s">
        <v>924</v>
      </c>
      <c r="D43" s="1312" t="e">
        <f>IF('数据-取费表'!B3="万元",NUMBERSTRING(INT(D42*10000),2)&amp;"元整",NUMBERSTRING(INT(D42),2)&amp;"元整")</f>
        <v>#VALUE!</v>
      </c>
      <c r="E43" s="1287"/>
    </row>
    <row r="44" spans="1:5" ht="16.2" thickBot="1">
      <c r="A44" s="1287"/>
      <c r="B44" s="3349"/>
      <c r="C44" s="1302" t="s">
        <v>928</v>
      </c>
      <c r="D44" s="1313" t="e">
        <f ca="1">IF('数据-取费表'!E3="否",结果表!D117,'结果表 (1修多)'!D121)</f>
        <v>#VALUE!</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64" t="str">
        <f>IF(项目基本情况!D5="房地产市场价值","估价结果一览表","结果表-2")</f>
        <v>结果表-2</v>
      </c>
      <c r="B1" s="3364"/>
      <c r="C1" s="3364"/>
      <c r="D1" s="3364"/>
      <c r="E1" s="3364"/>
      <c r="F1" s="3364"/>
      <c r="G1" s="3364"/>
      <c r="H1" s="3364"/>
      <c r="I1" s="3364"/>
    </row>
    <row r="2" spans="1:9" ht="30" customHeight="1" thickTop="1">
      <c r="A2" s="3365" t="s">
        <v>1022</v>
      </c>
      <c r="B2" s="3365" t="s">
        <v>1023</v>
      </c>
      <c r="C2" s="3365" t="s">
        <v>1024</v>
      </c>
      <c r="D2" s="3365" t="str">
        <f>IF('数据-取费表'!E3="否",结果表!D119,'结果表 (1修多)'!D123)</f>
        <v>出让国有建设用地使用权价值</v>
      </c>
      <c r="E2" s="3365"/>
      <c r="F2" s="3365" t="s">
        <v>1025</v>
      </c>
      <c r="G2" s="3365"/>
      <c r="H2" s="3365" t="s">
        <v>1026</v>
      </c>
      <c r="I2" s="3365"/>
    </row>
    <row r="3" spans="1:9" ht="15.6">
      <c r="A3" s="3360"/>
      <c r="B3" s="3360"/>
      <c r="C3" s="3360"/>
      <c r="D3" s="776" t="s">
        <v>1027</v>
      </c>
      <c r="E3" s="776" t="s">
        <v>1028</v>
      </c>
      <c r="F3" s="776" t="s">
        <v>1027</v>
      </c>
      <c r="G3" s="776" t="s">
        <v>1029</v>
      </c>
      <c r="H3" s="776" t="s">
        <v>1027</v>
      </c>
      <c r="I3" s="776" t="s">
        <v>1029</v>
      </c>
    </row>
    <row r="4" spans="1:9" ht="46.5" customHeight="1">
      <c r="A4" s="776" t="str">
        <f>项目基本情况!I1</f>
        <v>北京市大兴区北京经济技术开发区荣华南路10号院4号楼1至2层107号商业用房房地产</v>
      </c>
      <c r="B4" s="776">
        <f>结果表!B121</f>
        <v>262.86</v>
      </c>
      <c r="C4" s="776">
        <f>结果表!C121</f>
        <v>0</v>
      </c>
      <c r="D4" s="776">
        <f ca="1">IF('数据-取费表'!E3="否",结果表!D121,'结果表 (1修多)'!D125)</f>
        <v>10380604</v>
      </c>
      <c r="E4" s="776">
        <f ca="1">IF('数据-取费表'!E3="否",结果表!E121,'结果表 (1修多)'!E125)</f>
        <v>39491</v>
      </c>
      <c r="F4" s="776">
        <f ca="1">IF('数据-取费表'!E3="否",结果表!F121,'结果表 (1修多)'!F125)</f>
        <v>1362141</v>
      </c>
      <c r="G4" s="776">
        <f ca="1">IF('数据-取费表'!E3="否",结果表!G121,'结果表 (1修多)'!G125)</f>
        <v>5182</v>
      </c>
      <c r="H4" s="776">
        <f ca="1">IF('数据-取费表'!E3="否",结果表!H121,'结果表 (1修多)'!H125)</f>
        <v>11742745</v>
      </c>
      <c r="I4" s="776">
        <f ca="1">IF('数据-取费表'!E3="否",结果表!I121,'结果表 (1修多)'!I125)</f>
        <v>44673</v>
      </c>
    </row>
    <row r="5" spans="1:9" ht="15">
      <c r="A5" s="3360" t="s">
        <v>1030</v>
      </c>
      <c r="B5" s="3360"/>
      <c r="C5" s="3360"/>
      <c r="D5" s="3358" t="str">
        <f ca="1">IF('数据-取费表'!E3="否",结果表!D122,'结果表 (1修多)'!D126)</f>
        <v>壹仟零叁拾捌万零陆佰零肆元整</v>
      </c>
      <c r="E5" s="3358"/>
      <c r="F5" s="3358" t="str">
        <f ca="1">IF('数据-取费表'!E3="否",结果表!F122,'结果表 (1修多)'!F126)</f>
        <v>壹佰叁拾陆万贰仟壹佰肆拾壹元整</v>
      </c>
      <c r="G5" s="3358"/>
      <c r="H5" s="3358" t="str">
        <f ca="1">IF('数据-取费表'!E3="否",结果表!H122,'结果表 (1修多)'!H126)</f>
        <v>壹仟壹佰柒拾肆万贰仟柒佰肆拾伍元整</v>
      </c>
      <c r="I5" s="3358"/>
    </row>
    <row r="6" spans="1:9" ht="15.6">
      <c r="A6" s="3359" t="str">
        <f>IF('数据-取费表'!E3="否",结果表!A123,'结果表 (1修多)'!A127)</f>
        <v>估价师所知悉的法定优先受偿款</v>
      </c>
      <c r="B6" s="3359"/>
      <c r="C6" s="3359"/>
      <c r="D6" s="3359">
        <f>IF('数据-取费表'!E3="否",结果表!D123,'结果表 (1修多)'!D127)</f>
        <v>0</v>
      </c>
      <c r="E6" s="3359"/>
      <c r="F6" s="3359"/>
      <c r="G6" s="3359"/>
      <c r="H6" s="3359"/>
      <c r="I6" s="3359"/>
    </row>
    <row r="7" spans="1:9" ht="15">
      <c r="A7" s="3360" t="s">
        <v>1030</v>
      </c>
      <c r="B7" s="3360"/>
      <c r="C7" s="3360"/>
      <c r="D7" s="3361">
        <f>IF('数据-取费表'!E3="否",结果表!D124,'结果表 (1修多)'!D128)</f>
        <v>0</v>
      </c>
      <c r="E7" s="3362"/>
      <c r="F7" s="3362"/>
      <c r="G7" s="3362"/>
      <c r="H7" s="3362"/>
      <c r="I7" s="3363"/>
    </row>
    <row r="8" spans="1:9" ht="15.6">
      <c r="A8" s="3359" t="str">
        <f>IF('数据-取费表'!E3="否",结果表!A125,'结果表 (1修多)'!A129)</f>
        <v/>
      </c>
      <c r="B8" s="3359"/>
      <c r="C8" s="3359"/>
      <c r="D8" s="3359" t="str">
        <f>IF('数据-取费表'!E3="否",结果表!D125,'结果表 (1修多)'!D129)</f>
        <v>——</v>
      </c>
      <c r="E8" s="3359"/>
      <c r="F8" s="3359"/>
      <c r="G8" s="3359"/>
      <c r="H8" s="3359"/>
      <c r="I8" s="3359"/>
    </row>
    <row r="9" spans="1:9" ht="15">
      <c r="A9" s="3360" t="s">
        <v>1030</v>
      </c>
      <c r="B9" s="3360"/>
      <c r="C9" s="3360"/>
      <c r="D9" s="3358" t="e">
        <f ca="1">IF('数据-取费表'!E3="否",结果表!D126,'结果表 (1修多)'!D130)</f>
        <v>#VALUE!</v>
      </c>
      <c r="E9" s="3358"/>
      <c r="F9" s="3358"/>
      <c r="G9" s="3358"/>
      <c r="H9" s="3358"/>
      <c r="I9" s="3358"/>
    </row>
    <row r="10" spans="1:9" ht="15.6">
      <c r="A10" s="3359" t="str">
        <f>IF('数据-取费表'!E3="否",结果表!A127,'结果表 (1修多)'!A131)</f>
        <v>抵押担保权已注销时的房地产抵押价值</v>
      </c>
      <c r="B10" s="3359"/>
      <c r="C10" s="3359"/>
      <c r="D10" s="3359">
        <f ca="1">IF('数据-取费表'!E3="否",结果表!D127,'结果表 (1修多)'!D130)</f>
        <v>11742745</v>
      </c>
      <c r="E10" s="3359"/>
      <c r="F10" s="3359"/>
      <c r="G10" s="3359"/>
      <c r="H10" s="3359"/>
      <c r="I10" s="3359"/>
    </row>
    <row r="11" spans="1:9" ht="15">
      <c r="A11" s="3360" t="s">
        <v>1030</v>
      </c>
      <c r="B11" s="3360"/>
      <c r="C11" s="3360"/>
      <c r="D11" s="3358">
        <f ca="1">IF('数据-取费表'!E3="否",结果表!D128,'结果表 (1修多)'!D132)</f>
        <v>44673</v>
      </c>
      <c r="E11" s="3358"/>
      <c r="F11" s="3358"/>
      <c r="G11" s="3358"/>
      <c r="H11" s="3358"/>
      <c r="I11" s="3358"/>
    </row>
    <row r="12" spans="1:9" ht="15.6">
      <c r="A12" s="3359" t="str">
        <f>IF('数据-取费表'!E3="否",结果表!A129,'结果表 (1修多)'!A133)</f>
        <v/>
      </c>
      <c r="B12" s="3359"/>
      <c r="C12" s="3359"/>
      <c r="D12" s="3359" t="str">
        <f>IF('数据-取费表'!E3="否",结果表!D129,'结果表 (1修多)'!D133)</f>
        <v>——</v>
      </c>
      <c r="E12" s="3359"/>
      <c r="F12" s="3359"/>
      <c r="G12" s="3359"/>
      <c r="H12" s="3359"/>
      <c r="I12" s="3359"/>
    </row>
    <row r="13" spans="1:9" ht="15.6" thickBot="1">
      <c r="A13" s="3366" t="s">
        <v>1030</v>
      </c>
      <c r="B13" s="3366"/>
      <c r="C13" s="3366"/>
      <c r="D13" s="3367">
        <f>IF('数据-取费表'!E3="否",结果表!D130,'结果表 (1修多)'!D134)</f>
        <v>0</v>
      </c>
      <c r="E13" s="3367"/>
      <c r="F13" s="3367"/>
      <c r="G13" s="3367"/>
      <c r="H13" s="3367"/>
      <c r="I13" s="3367"/>
    </row>
    <row r="14" spans="1:9" ht="14.4" thickTop="1">
      <c r="A14" s="3368" t="str">
        <f>IF('数据-取费表'!E3="否",结果表!A131,'结果表 (1修多)'!A135)</f>
        <v>单位：平方米、元、元/平方米（币种：人民币）</v>
      </c>
      <c r="B14" s="3368"/>
      <c r="C14" s="3368"/>
      <c r="D14" s="3368"/>
      <c r="E14" s="3368"/>
      <c r="F14" s="3368"/>
      <c r="G14" s="3368"/>
      <c r="H14" s="3368"/>
      <c r="I14" s="3368"/>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73" t="s">
        <v>1043</v>
      </c>
      <c r="B1" s="3373"/>
      <c r="C1" s="3373"/>
      <c r="D1" s="3373"/>
    </row>
    <row r="2" spans="1:4" ht="17.399999999999999">
      <c r="A2" s="3372" t="s">
        <v>1032</v>
      </c>
      <c r="B2" s="3372"/>
      <c r="C2" s="3372"/>
      <c r="D2" s="3372"/>
    </row>
    <row r="3" spans="1:4" ht="17.399999999999999">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7.399999999999999">
      <c r="A7" s="3372" t="s">
        <v>1037</v>
      </c>
      <c r="B7" s="3372"/>
      <c r="C7" s="3372"/>
      <c r="D7" s="3372"/>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9" t="s">
        <v>2492</v>
      </c>
      <c r="B12" s="3371"/>
      <c r="C12" s="3371"/>
      <c r="D12" s="3371"/>
    </row>
    <row r="13" spans="1:4" ht="15.6">
      <c r="A13" s="33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1"/>
      <c r="C13" s="3371"/>
      <c r="D13" s="3371"/>
    </row>
    <row r="14" spans="1:4" ht="30" customHeight="1">
      <c r="A14" s="336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1"/>
      <c r="C14" s="3371"/>
      <c r="D14" s="3371"/>
    </row>
    <row r="15" spans="1:4" ht="15.75" customHeight="1">
      <c r="A15" s="3369" t="str">
        <f>IF(项目基本情况!D4="抵押","4.本次评估估价师所知悉的法定优先受偿款情况说明如下：","——")</f>
        <v>4.本次评估估价师所知悉的法定优先受偿款情况说明如下：</v>
      </c>
      <c r="B15" s="3371"/>
      <c r="C15" s="3371"/>
      <c r="D15" s="3371"/>
    </row>
    <row r="16" spans="1:4" ht="75" customHeight="1">
      <c r="A16" s="3369"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9"/>
      <c r="C16" s="3369"/>
      <c r="D16" s="3369"/>
    </row>
    <row r="17" spans="1:4" ht="63.75" customHeight="1">
      <c r="A17" s="3370" t="s">
        <v>1045</v>
      </c>
      <c r="B17" s="3370"/>
      <c r="C17" s="3370"/>
      <c r="D17" s="3370"/>
    </row>
    <row r="18" spans="1:4" ht="15.75" customHeight="1">
      <c r="A18" s="3369" t="str">
        <f>IF(项目基本情况!D4="抵押",结果表!L106,"——")</f>
        <v>本次评估不存在估价师所知悉的法定优先受偿款。</v>
      </c>
      <c r="B18" s="3369"/>
      <c r="C18" s="3369"/>
      <c r="D18" s="3369"/>
    </row>
    <row r="19" spans="1:4" ht="46.5" customHeight="1">
      <c r="A19" s="33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9"/>
      <c r="C19" s="3369"/>
      <c r="D19" s="3369"/>
    </row>
    <row r="20" spans="1:4" ht="15">
      <c r="A20" s="3370" t="s">
        <v>2493</v>
      </c>
      <c r="B20" s="3370"/>
      <c r="C20" s="3370"/>
      <c r="D20" s="3370"/>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9" t="s">
        <v>1124</v>
      </c>
      <c r="B15" s="3374" t="s">
        <v>1125</v>
      </c>
      <c r="C15" s="3375"/>
    </row>
    <row r="16" spans="1:7" ht="14.4">
      <c r="A16" s="3380"/>
      <c r="B16" s="3374" t="s">
        <v>1126</v>
      </c>
      <c r="C16" s="3375"/>
    </row>
    <row r="17" spans="1:3" ht="14.4">
      <c r="A17" s="3380"/>
      <c r="B17" s="3374" t="s">
        <v>1127</v>
      </c>
      <c r="C17" s="3375"/>
    </row>
    <row r="18" spans="1:3" ht="14.4">
      <c r="A18" s="3381"/>
      <c r="B18" s="3376" t="s">
        <v>1128</v>
      </c>
      <c r="C18" s="3375"/>
    </row>
    <row r="19" spans="1:3" ht="14.4">
      <c r="A19" s="1340" t="s">
        <v>1129</v>
      </c>
      <c r="B19" s="1341"/>
      <c r="C19" s="1342"/>
    </row>
    <row r="20" spans="1:3" ht="14.4">
      <c r="A20" s="3377" t="s">
        <v>1130</v>
      </c>
      <c r="B20" s="3376" t="s">
        <v>1131</v>
      </c>
      <c r="C20" s="3375"/>
    </row>
    <row r="21" spans="1:3" ht="14.4">
      <c r="A21" s="3377"/>
      <c r="B21" s="3376" t="s">
        <v>1132</v>
      </c>
      <c r="C21" s="3375"/>
    </row>
    <row r="22" spans="1:3" ht="14.4">
      <c r="A22" s="3377"/>
      <c r="B22" s="3376" t="s">
        <v>1133</v>
      </c>
      <c r="C22" s="3375"/>
    </row>
    <row r="23" spans="1:3" ht="14.4">
      <c r="A23" s="3377"/>
      <c r="B23" s="3378" t="s">
        <v>1134</v>
      </c>
      <c r="C23" s="1343" t="s">
        <v>1135</v>
      </c>
    </row>
    <row r="24" spans="1:3" ht="14.4">
      <c r="A24" s="3377"/>
      <c r="B24" s="3378"/>
      <c r="C24" s="1343" t="s">
        <v>1136</v>
      </c>
    </row>
    <row r="25" spans="1:3" ht="14.4">
      <c r="A25" s="3377"/>
      <c r="B25" s="3378"/>
      <c r="C25" s="1343" t="s">
        <v>1137</v>
      </c>
    </row>
    <row r="26" spans="1:3" ht="14.4">
      <c r="A26" s="3377"/>
      <c r="B26" s="3378"/>
      <c r="C26" s="1343" t="s">
        <v>1138</v>
      </c>
    </row>
    <row r="27" spans="1:3" ht="14.4">
      <c r="A27" s="3377"/>
      <c r="B27" s="3378"/>
      <c r="C27" s="1343" t="s">
        <v>1139</v>
      </c>
    </row>
    <row r="28" spans="1:3" ht="14.4">
      <c r="A28" s="3377"/>
      <c r="B28" s="3378"/>
      <c r="C28" s="1343" t="s">
        <v>1140</v>
      </c>
    </row>
    <row r="29" spans="1:3" ht="14.4">
      <c r="A29" s="3377"/>
      <c r="B29" s="3378"/>
      <c r="C29" s="1343" t="s">
        <v>1141</v>
      </c>
    </row>
    <row r="30" spans="1:3" ht="14.4">
      <c r="A30" s="3377"/>
      <c r="B30" s="3378"/>
      <c r="C30" s="1343" t="s">
        <v>1142</v>
      </c>
    </row>
    <row r="31" spans="1:3" ht="14.4">
      <c r="A31" s="3377"/>
      <c r="B31" s="337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4" customWidth="1"/>
    <col min="2" max="2" width="38.6640625" style="2974" customWidth="1"/>
    <col min="3" max="3" width="26" style="2974" customWidth="1"/>
    <col min="4" max="4" width="35" style="2974" hidden="1" customWidth="1"/>
    <col min="5" max="5" width="30.109375" style="2974" customWidth="1"/>
    <col min="6" max="6" width="35.44140625" style="2974" customWidth="1"/>
    <col min="7" max="7" width="31" style="2974" customWidth="1"/>
    <col min="8" max="8" width="37.44140625" style="2974" hidden="1" customWidth="1"/>
    <col min="9" max="16384" width="22.6640625" style="2974"/>
  </cols>
  <sheetData>
    <row r="1" spans="1:8" ht="24" customHeight="1">
      <c r="A1" s="2977"/>
      <c r="B1" s="2977"/>
      <c r="C1" s="2977"/>
      <c r="D1" s="2977"/>
      <c r="E1" s="2977"/>
      <c r="F1" s="2977"/>
      <c r="G1" s="2977"/>
      <c r="H1" s="2977"/>
    </row>
    <row r="2" spans="1:8" ht="24" customHeight="1">
      <c r="A2" s="2978" t="s">
        <v>566</v>
      </c>
      <c r="B2" s="2979">
        <f ca="1">TODAY()</f>
        <v>44704</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2472</v>
      </c>
      <c r="B12" s="1230">
        <f ca="1">IF(C12&lt;B2,"已过期",1120040230)</f>
        <v>1120040230</v>
      </c>
      <c r="C12" s="2987">
        <v>44864</v>
      </c>
      <c r="D12" s="2994" t="str">
        <f t="shared" ca="1" si="0"/>
        <v>苏海（注册号：1120040230）</v>
      </c>
      <c r="E12" s="2996" t="s">
        <v>2472</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2485</v>
      </c>
      <c r="B14" s="1230">
        <f ca="1">IF(C14&lt;B2,"已过期",1119980106)</f>
        <v>1119980106</v>
      </c>
      <c r="C14" s="2987">
        <v>44969</v>
      </c>
      <c r="D14" s="2994" t="str">
        <f t="shared" ca="1" si="0"/>
        <v>刘俊财（注册号：1119980106）</v>
      </c>
      <c r="E14" s="2996" t="s">
        <v>2585</v>
      </c>
      <c r="F14" s="1230">
        <f ca="1">IF(G14&lt;B2,"已过期",96010063)</f>
        <v>96010063</v>
      </c>
      <c r="G14" s="2985">
        <v>47483</v>
      </c>
      <c r="H14" s="2986" t="str">
        <f t="shared" ca="1" si="1"/>
        <v>刘俊财（注册号：96010063）</v>
      </c>
    </row>
    <row r="15" spans="1:8" ht="24" customHeight="1">
      <c r="A15" s="1230" t="s">
        <v>2797</v>
      </c>
      <c r="B15" s="1230">
        <v>1120210056</v>
      </c>
      <c r="C15" s="2987">
        <v>45410</v>
      </c>
      <c r="D15" s="2994" t="str">
        <f t="shared" ref="D15" si="2">A15&amp;"（注册号："&amp;B15&amp;"）"</f>
        <v>宁小鳗（注册号：1120210056）</v>
      </c>
      <c r="E15" s="2996" t="s">
        <v>2588</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82" t="s">
        <v>582</v>
      </c>
      <c r="B17" s="3382"/>
      <c r="C17" s="3382"/>
      <c r="D17" s="3382"/>
      <c r="E17" s="3382"/>
      <c r="F17" s="3382"/>
      <c r="G17" s="3382"/>
      <c r="H17" s="3382"/>
    </row>
    <row r="18" spans="1:8" ht="24" customHeight="1">
      <c r="A18" s="3383" t="s">
        <v>583</v>
      </c>
      <c r="B18" s="3383"/>
      <c r="C18" s="3383"/>
      <c r="D18" s="2983"/>
      <c r="E18" s="3384" t="s">
        <v>584</v>
      </c>
      <c r="F18" s="3383"/>
      <c r="G18" s="3383"/>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2586</v>
      </c>
      <c r="B20" s="2990" t="s">
        <v>2587</v>
      </c>
      <c r="C20" s="2985">
        <v>44820</v>
      </c>
      <c r="D20" s="2997"/>
      <c r="E20" s="2999" t="s">
        <v>588</v>
      </c>
      <c r="F20" s="2992" t="s">
        <v>2798</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2786</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为估价委托人在向上海浦东发展银行股份有限公司北京经济技术开发区支行办理贷款手续过程中，确定房地产抵押贷款额度提供参考依据而评估房地产抵押价值。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ht="14.4">
      <c r="A54" s="3385"/>
      <c r="B54" s="9" t="s">
        <v>1280</v>
      </c>
      <c r="C54" s="9" t="s">
        <v>1281</v>
      </c>
    </row>
    <row r="55" spans="1:4" ht="14.4">
      <c r="A55" s="3385"/>
      <c r="B55" s="9" t="s">
        <v>1282</v>
      </c>
      <c r="C55" s="9" t="s">
        <v>1283</v>
      </c>
    </row>
    <row r="56" spans="1:4" ht="14.4">
      <c r="A56" s="3385"/>
      <c r="B56" s="9" t="s">
        <v>1284</v>
      </c>
      <c r="C56" s="9" t="s">
        <v>1285</v>
      </c>
    </row>
    <row r="57" spans="1:4" ht="14.4">
      <c r="A57" s="338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2022-05-23T01:01:17Z</dcterms:modified>
</cp:coreProperties>
</file>