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假设开发法" sheetId="12" state="hidden" r:id="rId20"/>
    <sheet name="收益法-2号楼" sheetId="15" state="hidden" r:id="rId21"/>
    <sheet name="比较法-商业" sheetId="33" state="hidden" r:id="rId22"/>
    <sheet name="成本法 (元)" sheetId="69"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基准地价修正" sheetId="43"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案例信息" sheetId="80" state="hidden" r:id="rId40"/>
    <sheet name="结果表-6号楼" sheetId="85" state="hidden" r:id="rId41"/>
    <sheet name="成本法-6号楼" sheetId="83" state="hidden" r:id="rId42"/>
    <sheet name="收益法-6号楼" sheetId="82" state="hidden" r:id="rId43"/>
    <sheet name="基准地价修正 (2)" sheetId="84" state="hidden" r:id="rId44"/>
    <sheet name="Sheet1" sheetId="81"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s>
  <externalReferences>
    <externalReference r:id="rId52"/>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41">'成本法-6号楼'!$A$1:$G$57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基准地价修正!$A$1:$J$44,基准地价修正!$A$47:$H$101,基准地价修正!$R$1:$V$16</definedName>
    <definedName name="_xlnm.Print_Area" localSheetId="43">'基准地价修正 (2)'!$A$1:$J$44,'基准地价修正 (2)'!$A$47:$H$101,'基准地价修正 (2)'!$R$1:$V$16</definedName>
    <definedName name="_xlnm.Print_Area" localSheetId="19">假设开发法!$A$1:$K$32</definedName>
    <definedName name="_xlnm.Print_Area" localSheetId="17">结果表!$A$1:$I$127</definedName>
    <definedName name="_xlnm.Print_Area" localSheetId="40">'结果表-6号楼'!$A$1:$I$127</definedName>
    <definedName name="_xlnm.Print_Area" localSheetId="24">'收益法 (元)'!$A$1:$F$43,'收益法 (元)'!$H$3:$M$29,'收益法 (元)'!$A$45:$F$71,'收益法 (元)'!$I$46:$N$65</definedName>
    <definedName name="_xlnm.Print_Area" localSheetId="26">'收益法（汇总）'!$A$1:$F$13</definedName>
    <definedName name="_xlnm.Print_Area" localSheetId="20">'收益法-2号楼'!$A$1:$F$43,'收益法-2号楼'!$H$3:$M$29,'收益法-2号楼'!$A$46:$F$71,'收益法-2号楼'!$I$46:$N$65</definedName>
    <definedName name="_xlnm.Print_Area" localSheetId="42">'收益法-6号楼'!$A$1:$F$43,'收益法-6号楼'!$H$3:$M$29,'收益法-6号楼'!$A$46:$F$71,'收益法-6号楼'!$I$46:$N$65</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C34" i="34" l="1"/>
  <c r="E105" i="34"/>
  <c r="F105" i="34"/>
  <c r="D105" i="34"/>
  <c r="G19" i="6"/>
  <c r="K13" i="3"/>
  <c r="I13" i="3"/>
  <c r="N6" i="1"/>
  <c r="G7" i="34" l="1"/>
  <c r="I7" i="34" s="1"/>
  <c r="E7" i="34"/>
  <c r="G23" i="4"/>
  <c r="U3" i="43" l="1"/>
  <c r="U2" i="43"/>
  <c r="J49" i="82" l="1"/>
  <c r="A126" i="85" l="1"/>
  <c r="A120" i="85"/>
  <c r="A118" i="85"/>
  <c r="H112" i="85"/>
  <c r="H111" i="85"/>
  <c r="D126" i="85" s="1"/>
  <c r="D127" i="85" s="1"/>
  <c r="E111" i="85"/>
  <c r="E109" i="85"/>
  <c r="A124" i="85" s="1"/>
  <c r="E107" i="85"/>
  <c r="A122" i="85" s="1"/>
  <c r="H106" i="85"/>
  <c r="H103" i="85" s="1"/>
  <c r="D120" i="85" s="1"/>
  <c r="H105" i="85"/>
  <c r="H104" i="85"/>
  <c r="D101" i="85"/>
  <c r="C101" i="85"/>
  <c r="D93" i="85"/>
  <c r="C91" i="85"/>
  <c r="E90" i="85"/>
  <c r="D89" i="85"/>
  <c r="C89" i="85"/>
  <c r="C87" i="85"/>
  <c r="C92" i="85" s="1"/>
  <c r="D78" i="85"/>
  <c r="H77" i="85"/>
  <c r="D77" i="85"/>
  <c r="C76" i="85"/>
  <c r="D68" i="85"/>
  <c r="F59" i="85"/>
  <c r="E59" i="85"/>
  <c r="N56" i="85"/>
  <c r="M56" i="85"/>
  <c r="K56" i="85"/>
  <c r="J56" i="85"/>
  <c r="F56" i="85"/>
  <c r="O55" i="85"/>
  <c r="N55" i="85"/>
  <c r="K55" i="85"/>
  <c r="J55" i="85"/>
  <c r="J57" i="85" s="1"/>
  <c r="J59" i="85" s="1"/>
  <c r="J61" i="85" s="1"/>
  <c r="I55" i="85"/>
  <c r="F55" i="85"/>
  <c r="O53" i="85" s="1"/>
  <c r="O54" i="85"/>
  <c r="N54" i="85"/>
  <c r="F54" i="85"/>
  <c r="N53" i="85"/>
  <c r="F53" i="85"/>
  <c r="F52" i="85"/>
  <c r="K49" i="85"/>
  <c r="F48" i="85"/>
  <c r="O52" i="85" s="1"/>
  <c r="E48" i="85"/>
  <c r="N52" i="85" s="1"/>
  <c r="D48" i="85"/>
  <c r="M52" i="85" s="1"/>
  <c r="F33" i="85"/>
  <c r="C25" i="85"/>
  <c r="C24" i="85"/>
  <c r="D17" i="85"/>
  <c r="C17" i="85"/>
  <c r="L4" i="85"/>
  <c r="K4" i="85"/>
  <c r="A2" i="85"/>
  <c r="H1" i="85"/>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B101" i="84"/>
  <c r="M100" i="84"/>
  <c r="N100" i="84" s="1"/>
  <c r="K100" i="84"/>
  <c r="J100" i="84" s="1"/>
  <c r="D100" i="84"/>
  <c r="B100" i="84"/>
  <c r="N99" i="84"/>
  <c r="M99" i="84"/>
  <c r="K99" i="84"/>
  <c r="J99" i="84"/>
  <c r="D99" i="84"/>
  <c r="B99" i="84"/>
  <c r="N98" i="84"/>
  <c r="M98" i="84"/>
  <c r="K98" i="84"/>
  <c r="J98" i="84"/>
  <c r="D98" i="84"/>
  <c r="M97" i="84"/>
  <c r="N97" i="84" s="1"/>
  <c r="K97" i="84"/>
  <c r="J97" i="84"/>
  <c r="D97" i="84"/>
  <c r="B97" i="84"/>
  <c r="N96" i="84"/>
  <c r="M96" i="84"/>
  <c r="K96" i="84"/>
  <c r="J96" i="84" s="1"/>
  <c r="D96" i="84"/>
  <c r="N95" i="84"/>
  <c r="M95" i="84"/>
  <c r="K95" i="84"/>
  <c r="J95" i="84"/>
  <c r="D95" i="84"/>
  <c r="B95" i="84"/>
  <c r="M94" i="84"/>
  <c r="N94" i="84" s="1"/>
  <c r="K94" i="84"/>
  <c r="J94" i="84" s="1"/>
  <c r="D94" i="84"/>
  <c r="B94" i="84"/>
  <c r="M93" i="84"/>
  <c r="N93" i="84" s="1"/>
  <c r="K93" i="84"/>
  <c r="J93" i="84" s="1"/>
  <c r="F93" i="84"/>
  <c r="H101" i="84" s="1"/>
  <c r="D93" i="84"/>
  <c r="E93" i="84" s="1"/>
  <c r="B91" i="84" s="1"/>
  <c r="B90" i="84"/>
  <c r="D88" i="84"/>
  <c r="B88" i="84"/>
  <c r="B87" i="84"/>
  <c r="B86" i="84"/>
  <c r="B85" i="84"/>
  <c r="D84" i="84"/>
  <c r="B84" i="84"/>
  <c r="F83" i="84"/>
  <c r="H88" i="84" s="1"/>
  <c r="G88" i="84" s="1"/>
  <c r="B83" i="84"/>
  <c r="N80" i="84"/>
  <c r="M80" i="84"/>
  <c r="K80" i="84"/>
  <c r="J80" i="84"/>
  <c r="D80" i="84"/>
  <c r="M79" i="84"/>
  <c r="N79" i="84" s="1"/>
  <c r="K79" i="84"/>
  <c r="J79" i="84" s="1"/>
  <c r="D79" i="84"/>
  <c r="B79" i="84"/>
  <c r="N78" i="84"/>
  <c r="M78" i="84"/>
  <c r="K78" i="84"/>
  <c r="J78" i="84" s="1"/>
  <c r="D78" i="84"/>
  <c r="N77" i="84"/>
  <c r="M77" i="84"/>
  <c r="K77" i="84"/>
  <c r="J77" i="84" s="1"/>
  <c r="D77" i="84"/>
  <c r="B77" i="84"/>
  <c r="M76" i="84"/>
  <c r="N76" i="84" s="1"/>
  <c r="K76" i="84"/>
  <c r="J76" i="84" s="1"/>
  <c r="D76" i="84"/>
  <c r="E72" i="84" s="1"/>
  <c r="B76" i="84"/>
  <c r="N75" i="84"/>
  <c r="M75" i="84"/>
  <c r="K75" i="84"/>
  <c r="J75" i="84" s="1"/>
  <c r="D75" i="84"/>
  <c r="B75" i="84"/>
  <c r="N74" i="84"/>
  <c r="M74" i="84"/>
  <c r="K74" i="84"/>
  <c r="J74" i="84"/>
  <c r="D74" i="84"/>
  <c r="B74" i="84"/>
  <c r="N73" i="84"/>
  <c r="M73" i="84"/>
  <c r="K73" i="84"/>
  <c r="J73" i="84" s="1"/>
  <c r="D73" i="84"/>
  <c r="B73" i="84"/>
  <c r="M72" i="84"/>
  <c r="N72" i="84" s="1"/>
  <c r="K72" i="84"/>
  <c r="J72" i="84" s="1"/>
  <c r="F72" i="84"/>
  <c r="H73" i="84" s="1"/>
  <c r="D72" i="84"/>
  <c r="B72" i="84"/>
  <c r="B70" i="84"/>
  <c r="N69" i="84"/>
  <c r="M69" i="84"/>
  <c r="K69" i="84"/>
  <c r="J69" i="84"/>
  <c r="D69" i="84"/>
  <c r="B69" i="84"/>
  <c r="N68" i="84"/>
  <c r="M68" i="84"/>
  <c r="K68" i="84"/>
  <c r="J68" i="84" s="1"/>
  <c r="D68" i="84" s="1"/>
  <c r="B68" i="84"/>
  <c r="M67" i="84"/>
  <c r="N67" i="84" s="1"/>
  <c r="K67" i="84"/>
  <c r="J67" i="84" s="1"/>
  <c r="B67" i="84"/>
  <c r="N66" i="84"/>
  <c r="M66" i="84"/>
  <c r="K66" i="84"/>
  <c r="D66" i="84" s="1"/>
  <c r="N65" i="84"/>
  <c r="M65" i="84"/>
  <c r="K65" i="84"/>
  <c r="J65" i="84" s="1"/>
  <c r="D65" i="84"/>
  <c r="B65" i="84"/>
  <c r="M64" i="84"/>
  <c r="N64" i="84" s="1"/>
  <c r="K64" i="84"/>
  <c r="J64" i="84" s="1"/>
  <c r="D64" i="84"/>
  <c r="N63" i="84"/>
  <c r="M63" i="84"/>
  <c r="K63" i="84"/>
  <c r="J63" i="84"/>
  <c r="D63" i="84"/>
  <c r="B63" i="84"/>
  <c r="N62" i="84"/>
  <c r="M62" i="84"/>
  <c r="K62" i="84"/>
  <c r="J62" i="84" s="1"/>
  <c r="D62" i="84"/>
  <c r="B62" i="84"/>
  <c r="M61" i="84"/>
  <c r="N61" i="84" s="1"/>
  <c r="K61" i="84"/>
  <c r="F61" i="84"/>
  <c r="H63" i="84" s="1"/>
  <c r="B61" i="84"/>
  <c r="B58" i="84"/>
  <c r="B57" i="84"/>
  <c r="B56" i="84"/>
  <c r="B54" i="84"/>
  <c r="B52" i="84"/>
  <c r="B51" i="84"/>
  <c r="B50" i="84"/>
  <c r="E44" i="84"/>
  <c r="C44" i="84" s="1"/>
  <c r="H42" i="84"/>
  <c r="H41" i="84"/>
  <c r="H40" i="84"/>
  <c r="H39" i="84"/>
  <c r="H38" i="84"/>
  <c r="J24" i="84"/>
  <c r="G24" i="84"/>
  <c r="E24" i="84"/>
  <c r="Q32" i="84" s="1"/>
  <c r="M23" i="84"/>
  <c r="I23" i="84"/>
  <c r="C22" i="84"/>
  <c r="C20" i="84"/>
  <c r="I18" i="84"/>
  <c r="G18" i="84"/>
  <c r="G17" i="84"/>
  <c r="E17" i="84"/>
  <c r="C17" i="84"/>
  <c r="C13" i="84"/>
  <c r="C11" i="84"/>
  <c r="E11" i="84" s="1"/>
  <c r="AH10" i="84"/>
  <c r="AG10" i="84"/>
  <c r="AD10" i="84"/>
  <c r="AC10" i="84"/>
  <c r="Z10" i="84"/>
  <c r="Y10" i="84"/>
  <c r="C10" i="84"/>
  <c r="AJ9" i="84"/>
  <c r="AJ10" i="84" s="1"/>
  <c r="AI9" i="84"/>
  <c r="AI10" i="84" s="1"/>
  <c r="AH9" i="84"/>
  <c r="AG9" i="84"/>
  <c r="AF9" i="84"/>
  <c r="AF10" i="84" s="1"/>
  <c r="AE9" i="84"/>
  <c r="AE10" i="84" s="1"/>
  <c r="AD9" i="84"/>
  <c r="AC9" i="84"/>
  <c r="AB9" i="84"/>
  <c r="AB10" i="84" s="1"/>
  <c r="AA9" i="84"/>
  <c r="AA10" i="84" s="1"/>
  <c r="Z9" i="84"/>
  <c r="C9" i="84"/>
  <c r="E8" i="84"/>
  <c r="C7" i="84"/>
  <c r="G3" i="84"/>
  <c r="B116" i="84" s="1"/>
  <c r="I2" i="84"/>
  <c r="N10" i="84" s="1"/>
  <c r="G2" i="84"/>
  <c r="S3" i="84" s="1"/>
  <c r="G41" i="83"/>
  <c r="C40" i="83"/>
  <c r="F38" i="83"/>
  <c r="E37" i="83"/>
  <c r="F36" i="83"/>
  <c r="F35" i="83"/>
  <c r="F34" i="83"/>
  <c r="F30" i="83"/>
  <c r="F48" i="83" s="1"/>
  <c r="G22" i="83"/>
  <c r="F21" i="83"/>
  <c r="F40" i="83" s="1"/>
  <c r="C21" i="83"/>
  <c r="F20" i="83"/>
  <c r="F39" i="83" s="1"/>
  <c r="E19" i="83"/>
  <c r="C19" i="83"/>
  <c r="E10" i="83"/>
  <c r="E9" i="83"/>
  <c r="F7" i="83"/>
  <c r="J49" i="15"/>
  <c r="P74" i="82"/>
  <c r="Q72" i="82"/>
  <c r="F60" i="82"/>
  <c r="Q59" i="82"/>
  <c r="K59" i="82"/>
  <c r="P61" i="82" s="1"/>
  <c r="Q58" i="82"/>
  <c r="Q51" i="82"/>
  <c r="J50" i="82"/>
  <c r="M47" i="82"/>
  <c r="D46" i="82"/>
  <c r="F33" i="82"/>
  <c r="F61" i="82" s="1"/>
  <c r="F32" i="82"/>
  <c r="F28" i="82"/>
  <c r="F23" i="82"/>
  <c r="D24" i="82" s="1"/>
  <c r="D23" i="82"/>
  <c r="D22" i="82"/>
  <c r="F21" i="82"/>
  <c r="F20" i="82"/>
  <c r="M19" i="82"/>
  <c r="M18" i="82"/>
  <c r="F18" i="82"/>
  <c r="F17" i="82"/>
  <c r="F15" i="82"/>
  <c r="D33" i="84"/>
  <c r="D37" i="84"/>
  <c r="H37" i="84" s="1"/>
  <c r="U19" i="1"/>
  <c r="E2" i="83"/>
  <c r="K21" i="84" l="1"/>
  <c r="M1" i="84"/>
  <c r="M6" i="84"/>
  <c r="M10" i="84"/>
  <c r="N9" i="84"/>
  <c r="N2" i="84"/>
  <c r="S5" i="84"/>
  <c r="O21" i="84"/>
  <c r="N4" i="84"/>
  <c r="C6" i="83"/>
  <c r="J26" i="84"/>
  <c r="E26" i="84"/>
  <c r="C18" i="85"/>
  <c r="D18" i="85" s="1"/>
  <c r="D121" i="85"/>
  <c r="K120" i="85"/>
  <c r="C94" i="85"/>
  <c r="H109" i="85"/>
  <c r="D1" i="84"/>
  <c r="M3" i="84"/>
  <c r="M5" i="84"/>
  <c r="S6" i="84"/>
  <c r="M7" i="84"/>
  <c r="X7" i="84"/>
  <c r="N8" i="84"/>
  <c r="E9" i="84"/>
  <c r="M11" i="84"/>
  <c r="I21" i="84"/>
  <c r="G26" i="84"/>
  <c r="C27" i="84"/>
  <c r="N32" i="84"/>
  <c r="D67" i="84"/>
  <c r="H68" i="84"/>
  <c r="K88" i="84"/>
  <c r="J88" i="84" s="1"/>
  <c r="M88" i="84"/>
  <c r="N88" i="84" s="1"/>
  <c r="M12" i="84"/>
  <c r="D21" i="84"/>
  <c r="M21" i="84"/>
  <c r="N1" i="84"/>
  <c r="M2" i="84"/>
  <c r="N3" i="84"/>
  <c r="M4" i="84"/>
  <c r="N5" i="84"/>
  <c r="C6" i="84"/>
  <c r="N7" i="84"/>
  <c r="Z7" i="84"/>
  <c r="M9" i="84"/>
  <c r="E10" i="84"/>
  <c r="N11" i="84"/>
  <c r="N12" i="84"/>
  <c r="E21" i="84"/>
  <c r="J21" i="84"/>
  <c r="N21" i="84"/>
  <c r="H26" i="84"/>
  <c r="O32" i="84"/>
  <c r="F37" i="84"/>
  <c r="F41" i="84"/>
  <c r="H77" i="84"/>
  <c r="H80" i="84"/>
  <c r="H74" i="84"/>
  <c r="H78" i="84"/>
  <c r="H75" i="84"/>
  <c r="H79" i="84"/>
  <c r="H76" i="84"/>
  <c r="H72" i="84"/>
  <c r="P32" i="84"/>
  <c r="H69" i="84"/>
  <c r="H66" i="84"/>
  <c r="H67" i="84"/>
  <c r="H64" i="84"/>
  <c r="H61" i="84"/>
  <c r="H116" i="84"/>
  <c r="F42" i="84"/>
  <c r="F40" i="84"/>
  <c r="F38" i="84"/>
  <c r="S2"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C118" i="84" s="1"/>
  <c r="S4" i="84"/>
  <c r="N6" i="84"/>
  <c r="F50" i="84" s="1"/>
  <c r="M8" i="84"/>
  <c r="C21" i="84"/>
  <c r="H21" i="84"/>
  <c r="L21" i="84"/>
  <c r="F26" i="84"/>
  <c r="M32" i="84"/>
  <c r="F39" i="84"/>
  <c r="J61" i="84"/>
  <c r="D61" i="84"/>
  <c r="E61" i="84" s="1"/>
  <c r="B59" i="84" s="1"/>
  <c r="H62" i="84"/>
  <c r="H65" i="84"/>
  <c r="J66" i="84"/>
  <c r="H89" i="84"/>
  <c r="G89" i="84" s="1"/>
  <c r="H90" i="84"/>
  <c r="G90" i="84" s="1"/>
  <c r="H94" i="84"/>
  <c r="H97" i="84"/>
  <c r="H100" i="84"/>
  <c r="H83" i="84"/>
  <c r="G83" i="84" s="1"/>
  <c r="H84" i="84"/>
  <c r="G84" i="84" s="1"/>
  <c r="H85" i="84"/>
  <c r="G85" i="84" s="1"/>
  <c r="H86" i="84"/>
  <c r="G86" i="84" s="1"/>
  <c r="H87" i="84"/>
  <c r="G87" i="84" s="1"/>
  <c r="H93" i="84"/>
  <c r="H96" i="84"/>
  <c r="H99" i="84"/>
  <c r="H98" i="84"/>
  <c r="H95" i="84"/>
  <c r="D26" i="84" l="1"/>
  <c r="C25" i="84" s="1"/>
  <c r="D124" i="85"/>
  <c r="D125" i="85" s="1"/>
  <c r="H110" i="85"/>
  <c r="H52" i="84"/>
  <c r="G52" i="84" s="1"/>
  <c r="H51" i="84"/>
  <c r="G51" i="84" s="1"/>
  <c r="H50" i="84"/>
  <c r="G50" i="84" s="1"/>
  <c r="H58" i="84"/>
  <c r="G58" i="84" s="1"/>
  <c r="H56" i="84"/>
  <c r="G56" i="84" s="1"/>
  <c r="H57" i="84"/>
  <c r="G57" i="84" s="1"/>
  <c r="H55" i="84"/>
  <c r="G55" i="84" s="1"/>
  <c r="H53" i="84"/>
  <c r="G53" i="84" s="1"/>
  <c r="H54" i="84"/>
  <c r="G54" i="84" s="1"/>
  <c r="M90" i="84"/>
  <c r="N90" i="84" s="1"/>
  <c r="K90" i="84"/>
  <c r="K87" i="84"/>
  <c r="J87" i="84" s="1"/>
  <c r="M87" i="84"/>
  <c r="G21" i="84"/>
  <c r="K85" i="84"/>
  <c r="M85" i="84"/>
  <c r="N85" i="84" s="1"/>
  <c r="D116" i="84"/>
  <c r="K83" i="84"/>
  <c r="M83" i="84"/>
  <c r="N83" i="84" s="1"/>
  <c r="K86" i="84"/>
  <c r="J86" i="84" s="1"/>
  <c r="M86" i="84"/>
  <c r="M89" i="84"/>
  <c r="N89" i="84" s="1"/>
  <c r="K89" i="84"/>
  <c r="K84" i="84"/>
  <c r="J84" i="84" s="1"/>
  <c r="M84" i="84"/>
  <c r="N84" i="84" s="1"/>
  <c r="D5" i="84"/>
  <c r="C5" i="84"/>
  <c r="I41" i="40"/>
  <c r="G41" i="40"/>
  <c r="E41" i="40"/>
  <c r="M53" i="84" l="1"/>
  <c r="N53" i="84" s="1"/>
  <c r="K53" i="84"/>
  <c r="K58" i="84"/>
  <c r="M58" i="84"/>
  <c r="N58" i="84" s="1"/>
  <c r="D90" i="84"/>
  <c r="J90" i="84"/>
  <c r="K55" i="84"/>
  <c r="M55" i="84"/>
  <c r="N55" i="84" s="1"/>
  <c r="M50" i="84"/>
  <c r="N50" i="84" s="1"/>
  <c r="K50" i="84"/>
  <c r="D85" i="84"/>
  <c r="J85" i="84"/>
  <c r="J83" i="84"/>
  <c r="D83" i="84"/>
  <c r="E83" i="84" s="1"/>
  <c r="B81" i="84" s="1"/>
  <c r="K57" i="84"/>
  <c r="J57" i="84" s="1"/>
  <c r="D57" i="84" s="1"/>
  <c r="M57" i="84"/>
  <c r="N57" i="84" s="1"/>
  <c r="K51" i="84"/>
  <c r="M51" i="84"/>
  <c r="N51" i="84" s="1"/>
  <c r="D89" i="84"/>
  <c r="J89" i="84"/>
  <c r="D86" i="84"/>
  <c r="N86" i="84"/>
  <c r="D87" i="84"/>
  <c r="N87" i="84"/>
  <c r="M54" i="84"/>
  <c r="N54" i="84" s="1"/>
  <c r="K54" i="84"/>
  <c r="K56" i="84"/>
  <c r="M56" i="84"/>
  <c r="N56" i="84" s="1"/>
  <c r="M52" i="84"/>
  <c r="N52" i="84" s="1"/>
  <c r="K52" i="84"/>
  <c r="I34" i="40"/>
  <c r="G34" i="40"/>
  <c r="E34" i="40"/>
  <c r="E66" i="40"/>
  <c r="F66" i="40"/>
  <c r="G66" i="40"/>
  <c r="H66" i="40" s="1"/>
  <c r="D66" i="40"/>
  <c r="I7" i="40"/>
  <c r="G7" i="40"/>
  <c r="E7" i="40"/>
  <c r="I5" i="40"/>
  <c r="G5" i="40"/>
  <c r="E5" i="40"/>
  <c r="C34" i="40"/>
  <c r="E109" i="40"/>
  <c r="F109" i="40" s="1"/>
  <c r="D109" i="40"/>
  <c r="D52" i="84" l="1"/>
  <c r="J52" i="84"/>
  <c r="J54" i="84"/>
  <c r="D54" i="84"/>
  <c r="J51" i="84"/>
  <c r="D51" i="84"/>
  <c r="D55" i="84"/>
  <c r="J55" i="84"/>
  <c r="D58" i="84"/>
  <c r="J58" i="84"/>
  <c r="D50" i="84"/>
  <c r="J50" i="84"/>
  <c r="J53" i="84"/>
  <c r="D53" i="84"/>
  <c r="D56" i="84"/>
  <c r="J56" i="84"/>
  <c r="G22" i="4"/>
  <c r="E50" i="84" l="1"/>
  <c r="B48" i="84" s="1"/>
  <c r="C28" i="84" s="1"/>
  <c r="E104" i="33"/>
  <c r="F104" i="33"/>
  <c r="G104" i="33"/>
  <c r="D104" i="33"/>
  <c r="J52" i="67" l="1"/>
  <c r="G89" i="33"/>
  <c r="E89" i="33"/>
  <c r="F89" i="33"/>
  <c r="D89" i="33"/>
  <c r="O19" i="1"/>
  <c r="J49" i="67"/>
  <c r="N18" i="1" l="1"/>
  <c r="I7" i="79"/>
  <c r="N20" i="1" l="1"/>
  <c r="C37" i="34" s="1"/>
  <c r="I29" i="79"/>
  <c r="I28" i="79"/>
  <c r="N28" i="79"/>
  <c r="M28" i="79"/>
  <c r="P28" i="79" s="1"/>
  <c r="L28" i="79"/>
  <c r="N29" i="79"/>
  <c r="M29" i="79"/>
  <c r="L29" i="79"/>
  <c r="P6" i="79"/>
  <c r="O6" i="79"/>
  <c r="N6" i="79"/>
  <c r="M6" i="79"/>
  <c r="L6" i="79"/>
  <c r="K6" i="79"/>
  <c r="O7" i="79"/>
  <c r="N7" i="79"/>
  <c r="M7" i="79"/>
  <c r="P7" i="79" s="1"/>
  <c r="L7" i="79"/>
  <c r="K7" i="79"/>
  <c r="I37" i="34" l="1"/>
  <c r="G37" i="34"/>
  <c r="E37" i="34"/>
  <c r="Y6" i="1"/>
  <c r="C36" i="33"/>
  <c r="E36" i="33" s="1"/>
  <c r="G36" i="33" s="1"/>
  <c r="I36" i="33" s="1"/>
  <c r="P29" i="79"/>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18" i="36"/>
  <c r="U18" i="36"/>
  <c r="H25" i="40"/>
  <c r="AB25" i="40" s="1"/>
  <c r="J25" i="40"/>
  <c r="AC25" i="40" s="1"/>
  <c r="H29" i="39"/>
  <c r="AB29" i="39" s="1"/>
  <c r="J29" i="39"/>
  <c r="AC29" i="39" s="1"/>
  <c r="G66" i="36"/>
  <c r="J18" i="36"/>
  <c r="F68" i="35"/>
  <c r="H18" i="35"/>
  <c r="S18" i="35"/>
  <c r="G68" i="35"/>
  <c r="J18" i="35"/>
  <c r="F77" i="37"/>
  <c r="H21" i="37"/>
  <c r="F21" i="37"/>
  <c r="F84" i="34"/>
  <c r="H21" i="34"/>
  <c r="AB21" i="34" s="1"/>
  <c r="F83" i="33"/>
  <c r="G83" i="33" s="1"/>
  <c r="H21" i="33"/>
  <c r="U21" i="33" s="1"/>
  <c r="F21" i="33"/>
  <c r="S21" i="33" s="1"/>
  <c r="E83" i="21"/>
  <c r="S21" i="21"/>
  <c r="H1" i="69"/>
  <c r="U29" i="39"/>
  <c r="W29" i="39"/>
  <c r="AC18" i="36"/>
  <c r="W18" i="36"/>
  <c r="AB21" i="37"/>
  <c r="U21" i="37"/>
  <c r="AA21" i="37"/>
  <c r="S21" i="37"/>
  <c r="AA21" i="33"/>
  <c r="AB18" i="35"/>
  <c r="U18" i="35"/>
  <c r="AC18" i="35"/>
  <c r="W18" i="35"/>
  <c r="G77" i="37"/>
  <c r="J21" i="37"/>
  <c r="G84" i="34"/>
  <c r="J21" i="34"/>
  <c r="AC21" i="34" s="1"/>
  <c r="J21" i="33"/>
  <c r="W21" i="33" s="1"/>
  <c r="F83" i="21"/>
  <c r="H21" i="21"/>
  <c r="F38" i="69"/>
  <c r="E37" i="69"/>
  <c r="F36" i="69"/>
  <c r="F35" i="69"/>
  <c r="F21" i="69"/>
  <c r="F40" i="69" s="1"/>
  <c r="F20" i="69"/>
  <c r="F39" i="69" s="1"/>
  <c r="E10" i="69"/>
  <c r="E9" i="69"/>
  <c r="AC21" i="37"/>
  <c r="W21" i="37"/>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5" s="1"/>
  <c r="C48" i="35" s="1"/>
  <c r="D48" i="35" s="1"/>
  <c r="E15" i="4"/>
  <c r="F8" i="1" s="1"/>
  <c r="G8" i="1" s="1"/>
  <c r="A7" i="1"/>
  <c r="A8" i="1"/>
  <c r="B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M18" i="85" s="1"/>
  <c r="B118" i="85" s="1"/>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H39" i="33"/>
  <c r="AB39" i="33" s="1"/>
  <c r="F26" i="33"/>
  <c r="AA26" i="33" s="1"/>
  <c r="S40" i="33"/>
  <c r="H39" i="37"/>
  <c r="AB39" i="37"/>
  <c r="S27" i="35"/>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s="1"/>
  <c r="F25" i="34"/>
  <c r="S25" i="34"/>
  <c r="H23" i="34"/>
  <c r="U23" i="34" s="1"/>
  <c r="J23" i="34"/>
  <c r="F19" i="34"/>
  <c r="H17" i="34"/>
  <c r="U17" i="34" s="1"/>
  <c r="F15" i="34"/>
  <c r="J15" i="34"/>
  <c r="W15" i="34" s="1"/>
  <c r="H15" i="34"/>
  <c r="AB15" i="34" s="1"/>
  <c r="J28" i="34"/>
  <c r="W28" i="34"/>
  <c r="F41" i="33"/>
  <c r="AA41" i="33" s="1"/>
  <c r="J19" i="33"/>
  <c r="AC19" i="33" s="1"/>
  <c r="J15" i="33"/>
  <c r="AC15"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s="1"/>
  <c r="J17" i="34"/>
  <c r="AC17" i="34" s="1"/>
  <c r="W17" i="34"/>
  <c r="AB17" i="34"/>
  <c r="AA15" i="34"/>
  <c r="S15" i="34"/>
  <c r="H37" i="33"/>
  <c r="AB37" i="33" s="1"/>
  <c r="H15" i="33"/>
  <c r="AB15"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s="1"/>
  <c r="J45" i="34"/>
  <c r="W45" i="34" s="1"/>
  <c r="F45" i="34"/>
  <c r="AA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s="1"/>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G54" i="43" s="1"/>
  <c r="M54" i="43" s="1"/>
  <c r="F72" i="43"/>
  <c r="H75" i="43" s="1"/>
  <c r="U17" i="39"/>
  <c r="S14" i="35"/>
  <c r="U43" i="21"/>
  <c r="U35" i="21"/>
  <c r="AC35" i="21"/>
  <c r="G10" i="1"/>
  <c r="AC11" i="39"/>
  <c r="AZ563" i="3"/>
  <c r="AZ501" i="3"/>
  <c r="W37" i="37"/>
  <c r="W44" i="34"/>
  <c r="AC44" i="34"/>
  <c r="S15" i="37"/>
  <c r="U13" i="37"/>
  <c r="U12" i="40"/>
  <c r="AA12" i="40"/>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D48" i="9"/>
  <c r="M52" i="9" s="1"/>
  <c r="K9" i="1"/>
  <c r="M9" i="1" s="1"/>
  <c r="D93" i="9"/>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B41" i="1"/>
  <c r="F48" i="9" s="1"/>
  <c r="O52" i="9" s="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U44" i="34"/>
  <c r="U43" i="34"/>
  <c r="AC39" i="34"/>
  <c r="W41" i="34"/>
  <c r="AC42" i="34"/>
  <c r="AB35" i="34"/>
  <c r="U39" i="34"/>
  <c r="S43" i="34"/>
  <c r="AB41" i="34"/>
  <c r="AA25" i="34"/>
  <c r="U28" i="34"/>
  <c r="S17" i="34"/>
  <c r="AA29"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G13" i="3"/>
  <c r="BL17" i="3"/>
  <c r="AZ17" i="3" s="1"/>
  <c r="BL13" i="3"/>
  <c r="J56" i="9"/>
  <c r="J57" i="9" s="1"/>
  <c r="J59" i="9" s="1"/>
  <c r="J61" i="9" s="1"/>
  <c r="A24" i="51"/>
  <c r="B18" i="72" s="1"/>
  <c r="U29" i="34"/>
  <c r="E5" i="6"/>
  <c r="E32" i="6"/>
  <c r="E19" i="69"/>
  <c r="E19" i="68"/>
  <c r="E19" i="11"/>
  <c r="E1" i="73"/>
  <c r="G22" i="69"/>
  <c r="G22" i="68"/>
  <c r="G26" i="12"/>
  <c r="G22" i="11"/>
  <c r="C6" i="43"/>
  <c r="B19" i="53"/>
  <c r="B37" i="72" s="1"/>
  <c r="A4" i="51"/>
  <c r="B6" i="72" s="1"/>
  <c r="L20" i="6"/>
  <c r="K11" i="1"/>
  <c r="M11" i="1" s="1"/>
  <c r="O11" i="1" s="1"/>
  <c r="B9" i="1"/>
  <c r="K7" i="1"/>
  <c r="U32" i="40"/>
  <c r="AB31" i="40"/>
  <c r="S37"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A31" i="34"/>
  <c r="AA30"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7" i="73"/>
  <c r="B13" i="76"/>
  <c r="D3" i="73"/>
  <c r="E8" i="76"/>
  <c r="E12" i="76"/>
  <c r="E9" i="76"/>
  <c r="E10" i="76"/>
  <c r="B11" i="76"/>
  <c r="F6" i="73"/>
  <c r="B7" i="76"/>
  <c r="F5" i="73"/>
  <c r="E11" i="76"/>
  <c r="E13" i="76"/>
  <c r="E7" i="76"/>
  <c r="B9" i="76"/>
  <c r="E2" i="68"/>
  <c r="F4" i="73"/>
  <c r="E2" i="69"/>
  <c r="F20" i="31"/>
  <c r="F7" i="73"/>
  <c r="D6" i="73"/>
  <c r="B10" i="76"/>
  <c r="D5" i="73"/>
  <c r="B8" i="76"/>
  <c r="AO13" i="1"/>
  <c r="F3" i="73"/>
  <c r="D4" i="73"/>
  <c r="B12" i="76"/>
  <c r="AB45" i="34" l="1"/>
  <c r="S45" i="34"/>
  <c r="AC45" i="34"/>
  <c r="M20" i="15"/>
  <c r="F34" i="82"/>
  <c r="F62" i="82" s="1"/>
  <c r="M20" i="82"/>
  <c r="AB8" i="34"/>
  <c r="W8" i="34"/>
  <c r="AB33" i="34"/>
  <c r="AC33" i="34"/>
  <c r="U21" i="34"/>
  <c r="W21" i="34"/>
  <c r="S21" i="34"/>
  <c r="AC15" i="34"/>
  <c r="S27" i="34"/>
  <c r="AC27" i="34"/>
  <c r="U27" i="34"/>
  <c r="AA33" i="34"/>
  <c r="D1" i="43"/>
  <c r="B14" i="74"/>
  <c r="F19" i="6"/>
  <c r="C7" i="34"/>
  <c r="C7" i="21"/>
  <c r="J51" i="67"/>
  <c r="B7" i="1"/>
  <c r="E7" i="1" s="1"/>
  <c r="G1" i="83"/>
  <c r="G1" i="82"/>
  <c r="BA14" i="3"/>
  <c r="G29" i="6"/>
  <c r="M7" i="1"/>
  <c r="U21" i="1"/>
  <c r="G7" i="1"/>
  <c r="C7" i="37"/>
  <c r="C52" i="37" s="1"/>
  <c r="D52" i="37" s="1"/>
  <c r="E52" i="37" s="1"/>
  <c r="F52" i="37" s="1"/>
  <c r="G52" i="37" s="1"/>
  <c r="H52" i="37" s="1"/>
  <c r="I52" i="37" s="1"/>
  <c r="J52" i="37" s="1"/>
  <c r="K52" i="37" s="1"/>
  <c r="L52" i="37" s="1"/>
  <c r="M52" i="37" s="1"/>
  <c r="N52" i="37" s="1"/>
  <c r="O52" i="37" s="1"/>
  <c r="C7" i="33"/>
  <c r="M47" i="9"/>
  <c r="G23" i="84"/>
  <c r="M47" i="85"/>
  <c r="J51" i="82"/>
  <c r="G23" i="43"/>
  <c r="C23" i="43" s="1"/>
  <c r="C7" i="40"/>
  <c r="C63" i="40" s="1"/>
  <c r="C7" i="39"/>
  <c r="C67" i="39" s="1"/>
  <c r="C69" i="39" s="1"/>
  <c r="C42" i="1"/>
  <c r="C7" i="36"/>
  <c r="C46" i="36" s="1"/>
  <c r="D46" i="36" s="1"/>
  <c r="E46" i="36" s="1"/>
  <c r="F46" i="36" s="1"/>
  <c r="G46" i="36" s="1"/>
  <c r="H46" i="36" s="1"/>
  <c r="I46" i="36" s="1"/>
  <c r="O7" i="1"/>
  <c r="P7" i="1" s="1"/>
  <c r="F3" i="35"/>
  <c r="G1" i="67"/>
  <c r="K1" i="12"/>
  <c r="BL19" i="3"/>
  <c r="BL18" i="3"/>
  <c r="BA19" i="3"/>
  <c r="BL15" i="3"/>
  <c r="W34" i="40"/>
  <c r="K85" i="43"/>
  <c r="D85" i="43" s="1"/>
  <c r="F34" i="67"/>
  <c r="F62" i="67" s="1"/>
  <c r="F34" i="15"/>
  <c r="F62" i="15" s="1"/>
  <c r="BA20" i="3"/>
  <c r="AZ20" i="3" s="1"/>
  <c r="BA21" i="3"/>
  <c r="AZ21" i="3" s="1"/>
  <c r="BA22" i="3"/>
  <c r="AZ22" i="3" s="1"/>
  <c r="BA23" i="3"/>
  <c r="AZ23" i="3" s="1"/>
  <c r="J51" i="15"/>
  <c r="D23" i="15"/>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34" i="40"/>
  <c r="S28" i="40"/>
  <c r="AC15" i="40"/>
  <c r="S15" i="40"/>
  <c r="AB15" i="40"/>
  <c r="W28" i="40"/>
  <c r="U9" i="40"/>
  <c r="S9" i="40"/>
  <c r="W9" i="40"/>
  <c r="F54" i="9"/>
  <c r="F32" i="15"/>
  <c r="F60" i="15" s="1"/>
  <c r="F52" i="9"/>
  <c r="F30" i="68"/>
  <c r="F48" i="68" s="1"/>
  <c r="D68" i="9"/>
  <c r="F30" i="69"/>
  <c r="F48" i="69" s="1"/>
  <c r="F31" i="12"/>
  <c r="C31" i="12" s="1"/>
  <c r="F28" i="15"/>
  <c r="F32" i="67"/>
  <c r="F60" i="67" s="1"/>
  <c r="F28" i="67"/>
  <c r="C28" i="67" s="1"/>
  <c r="G1" i="69"/>
  <c r="G1" i="68"/>
  <c r="G1" i="15"/>
  <c r="B6" i="1"/>
  <c r="E6" i="1" s="1"/>
  <c r="F28" i="6"/>
  <c r="BA15" i="3"/>
  <c r="AZ15" i="3" s="1"/>
  <c r="AZ18" i="3"/>
  <c r="AZ19" i="3"/>
  <c r="BL5" i="3"/>
  <c r="H5" i="3"/>
  <c r="AZ14" i="3"/>
  <c r="F29" i="6"/>
  <c r="F6" i="1"/>
  <c r="S33" i="33"/>
  <c r="H69" i="43"/>
  <c r="E19" i="6"/>
  <c r="E115" i="33"/>
  <c r="F115" i="33" s="1"/>
  <c r="G115" i="33" s="1"/>
  <c r="H115" i="33" s="1"/>
  <c r="I115" i="33" s="1"/>
  <c r="J115" i="33" s="1"/>
  <c r="K115" i="33" s="1"/>
  <c r="L115" i="33" s="1"/>
  <c r="M115" i="33" s="1"/>
  <c r="F27" i="33"/>
  <c r="AA27" i="33" s="1"/>
  <c r="C18" i="9"/>
  <c r="D18" i="9" s="1"/>
  <c r="G5" i="3"/>
  <c r="B3" i="3" s="1"/>
  <c r="E434" i="3" s="1"/>
  <c r="BB5" i="3"/>
  <c r="E14" i="6" s="1"/>
  <c r="E63" i="39" s="1"/>
  <c r="N54" i="43"/>
  <c r="D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AC26" i="33"/>
  <c r="U26" i="33"/>
  <c r="S26" i="33"/>
  <c r="AB25" i="33"/>
  <c r="AC25" i="33"/>
  <c r="AA25" i="33"/>
  <c r="C24" i="12"/>
  <c r="C40" i="69"/>
  <c r="C40" i="68"/>
  <c r="C21" i="68"/>
  <c r="G28" i="6"/>
  <c r="G30" i="6" s="1"/>
  <c r="G31" i="6" s="1"/>
  <c r="D19" i="53"/>
  <c r="B38" i="72" s="1"/>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G58" i="43" s="1"/>
  <c r="H51" i="43"/>
  <c r="G51" i="43" s="1"/>
  <c r="H56" i="43"/>
  <c r="G56" i="43" s="1"/>
  <c r="H65" i="43"/>
  <c r="D72" i="43"/>
  <c r="D76" i="43"/>
  <c r="D80" i="43"/>
  <c r="D61" i="43"/>
  <c r="P61" i="15"/>
  <c r="C94" i="9"/>
  <c r="C92" i="9"/>
  <c r="C48" i="69"/>
  <c r="C48" i="68"/>
  <c r="C77" i="9"/>
  <c r="C74" i="9" s="1"/>
  <c r="C30" i="11"/>
  <c r="C21" i="69"/>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G90" i="43" s="1"/>
  <c r="I18" i="43"/>
  <c r="E17" i="43" s="1"/>
  <c r="C17" i="43" s="1"/>
  <c r="A1" i="79"/>
  <c r="H55" i="43"/>
  <c r="G55" i="43" s="1"/>
  <c r="H86" i="43"/>
  <c r="G86" i="43" s="1"/>
  <c r="H87" i="43"/>
  <c r="G87" i="43" s="1"/>
  <c r="H89" i="43"/>
  <c r="G89" i="43" s="1"/>
  <c r="H88" i="43"/>
  <c r="G88" i="43" s="1"/>
  <c r="H84" i="43"/>
  <c r="G84" i="43" s="1"/>
  <c r="D67" i="39"/>
  <c r="D69" i="39" s="1"/>
  <c r="A19" i="51"/>
  <c r="B14" i="72" s="1"/>
  <c r="T35" i="4"/>
  <c r="H110" i="9"/>
  <c r="H52" i="43"/>
  <c r="G52" i="43" s="1"/>
  <c r="K5" i="4"/>
  <c r="B47" i="48" s="1"/>
  <c r="Y8" i="71"/>
  <c r="Z8" i="71" s="1"/>
  <c r="X8" i="71"/>
  <c r="AB8" i="71"/>
  <c r="AA8" i="71"/>
  <c r="B8" i="74"/>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K1" i="73"/>
  <c r="B20" i="31"/>
  <c r="B21" i="31" s="1"/>
  <c r="I1" i="73"/>
  <c r="B39" i="1" s="1"/>
  <c r="B13" i="70"/>
  <c r="D9" i="69"/>
  <c r="M9" i="67"/>
  <c r="L47" i="82"/>
  <c r="L48" i="82"/>
  <c r="F13" i="82"/>
  <c r="F27" i="83"/>
  <c r="M22" i="67"/>
  <c r="L47" i="67"/>
  <c r="F8" i="82"/>
  <c r="F43" i="82"/>
  <c r="L48" i="15"/>
  <c r="C76" i="15"/>
  <c r="F7" i="82"/>
  <c r="M28" i="67"/>
  <c r="M26" i="15"/>
  <c r="M24" i="82"/>
  <c r="M8" i="82"/>
  <c r="M23" i="15"/>
  <c r="F8" i="67"/>
  <c r="F38" i="67"/>
  <c r="F8" i="15"/>
  <c r="M22" i="15"/>
  <c r="L47" i="15"/>
  <c r="F40" i="67"/>
  <c r="F9" i="15"/>
  <c r="F6" i="82"/>
  <c r="J15" i="67"/>
  <c r="C76" i="82"/>
  <c r="F16" i="15"/>
  <c r="F37" i="82"/>
  <c r="L48" i="67"/>
  <c r="F36" i="15"/>
  <c r="F6" i="15"/>
  <c r="M27" i="82"/>
  <c r="F13" i="67"/>
  <c r="F40" i="82"/>
  <c r="M23" i="82"/>
  <c r="F26" i="67"/>
  <c r="M22" i="82"/>
  <c r="D9" i="68"/>
  <c r="M6" i="15"/>
  <c r="M24" i="67"/>
  <c r="D9" i="83"/>
  <c r="M8" i="15"/>
  <c r="G1" i="73"/>
  <c r="F42" i="67"/>
  <c r="F38" i="82"/>
  <c r="M9" i="82"/>
  <c r="F6" i="67"/>
  <c r="J15" i="82"/>
  <c r="F9" i="82"/>
  <c r="M8" i="67"/>
  <c r="F37" i="67"/>
  <c r="F42" i="82"/>
  <c r="F16" i="67"/>
  <c r="C36" i="83"/>
  <c r="C76" i="67"/>
  <c r="M23" i="67"/>
  <c r="M28" i="82"/>
  <c r="F36" i="82"/>
  <c r="J15" i="15"/>
  <c r="M6" i="82"/>
  <c r="F13" i="15"/>
  <c r="F26" i="15"/>
  <c r="F42" i="15"/>
  <c r="M26" i="67"/>
  <c r="F9" i="67"/>
  <c r="M26" i="82"/>
  <c r="F26" i="82"/>
  <c r="F36" i="67"/>
  <c r="F16" i="82"/>
  <c r="M24" i="15"/>
  <c r="F37" i="15"/>
  <c r="M9" i="15"/>
  <c r="M29" i="82"/>
  <c r="F40" i="15"/>
  <c r="C36" i="68"/>
  <c r="F38" i="15"/>
  <c r="M28" i="15"/>
  <c r="M6" i="67"/>
  <c r="J34" i="34" l="1"/>
  <c r="H34" i="34"/>
  <c r="F34" i="34"/>
  <c r="J85" i="43"/>
  <c r="Q71" i="82"/>
  <c r="F64" i="82"/>
  <c r="F66" i="82"/>
  <c r="C6" i="82"/>
  <c r="C32" i="82" s="1"/>
  <c r="F31" i="82"/>
  <c r="C27" i="82"/>
  <c r="F51" i="82"/>
  <c r="L58" i="82"/>
  <c r="Q73" i="82" s="1"/>
  <c r="F65" i="82"/>
  <c r="F68" i="82"/>
  <c r="F71" i="82"/>
  <c r="F50" i="82"/>
  <c r="M7" i="82"/>
  <c r="J6" i="82" s="1"/>
  <c r="J18" i="82" s="1"/>
  <c r="L57" i="82"/>
  <c r="C9" i="83"/>
  <c r="C47" i="83"/>
  <c r="D45" i="83" s="1"/>
  <c r="C29" i="83"/>
  <c r="D27" i="83" s="1"/>
  <c r="F45" i="83"/>
  <c r="AZ5" i="3"/>
  <c r="AY6" i="3" s="1"/>
  <c r="E91" i="3"/>
  <c r="G6" i="1"/>
  <c r="I24" i="84"/>
  <c r="C24" i="84" s="1"/>
  <c r="C77" i="85"/>
  <c r="C74" i="85" s="1"/>
  <c r="C28" i="82"/>
  <c r="C48" i="83"/>
  <c r="C30" i="83"/>
  <c r="L59" i="82"/>
  <c r="N59" i="82"/>
  <c r="J53" i="82"/>
  <c r="I54" i="82"/>
  <c r="J57" i="82"/>
  <c r="J55" i="82" s="1"/>
  <c r="J58" i="82" s="1"/>
  <c r="Q50" i="82" s="1"/>
  <c r="M59" i="82"/>
  <c r="P26" i="43"/>
  <c r="O23" i="43"/>
  <c r="L60" i="82"/>
  <c r="P28" i="84"/>
  <c r="M24" i="84"/>
  <c r="O23" i="84"/>
  <c r="C23" i="84"/>
  <c r="P26" i="84"/>
  <c r="P25" i="84"/>
  <c r="P27" i="84"/>
  <c r="P29" i="84"/>
  <c r="L56" i="82"/>
  <c r="M11" i="82"/>
  <c r="J10" i="82" s="1"/>
  <c r="F11" i="82"/>
  <c r="F65" i="67"/>
  <c r="N59" i="67"/>
  <c r="L59" i="67"/>
  <c r="Q74" i="67" s="1"/>
  <c r="M59" i="67"/>
  <c r="F51" i="67"/>
  <c r="C27" i="67"/>
  <c r="F66" i="67"/>
  <c r="F68" i="67"/>
  <c r="F64" i="67"/>
  <c r="Q71" i="67"/>
  <c r="BA5" i="3"/>
  <c r="E301" i="3"/>
  <c r="M84" i="43"/>
  <c r="N84" i="43" s="1"/>
  <c r="K84" i="43"/>
  <c r="M86" i="43"/>
  <c r="N86" i="43" s="1"/>
  <c r="K86" i="43"/>
  <c r="M87" i="43"/>
  <c r="N87" i="43" s="1"/>
  <c r="K87" i="43"/>
  <c r="M83" i="43"/>
  <c r="N83" i="43" s="1"/>
  <c r="K83" i="43"/>
  <c r="M88" i="43"/>
  <c r="N88" i="43" s="1"/>
  <c r="K88" i="43"/>
  <c r="M89" i="43"/>
  <c r="N89" i="43" s="1"/>
  <c r="K89" i="43"/>
  <c r="M90" i="43"/>
  <c r="N90" i="43" s="1"/>
  <c r="K90" i="43"/>
  <c r="E28" i="6"/>
  <c r="K14" i="1" s="1"/>
  <c r="M14" i="1" s="1"/>
  <c r="K6" i="1"/>
  <c r="D3" i="40"/>
  <c r="E270" i="3"/>
  <c r="F7" i="36"/>
  <c r="AA7" i="36" s="1"/>
  <c r="R36" i="36" s="1"/>
  <c r="AB28" i="40"/>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F68" i="15"/>
  <c r="C27" i="15"/>
  <c r="F65" i="15"/>
  <c r="F51" i="15"/>
  <c r="AR6" i="3"/>
  <c r="E261" i="3"/>
  <c r="E508" i="3"/>
  <c r="E384" i="3"/>
  <c r="E347" i="3"/>
  <c r="E216" i="3"/>
  <c r="E343" i="3"/>
  <c r="E12" i="6"/>
  <c r="E57" i="40" s="1"/>
  <c r="E124" i="3"/>
  <c r="E503" i="3"/>
  <c r="E380" i="3"/>
  <c r="E337" i="3"/>
  <c r="E175" i="3"/>
  <c r="E586" i="3"/>
  <c r="E183" i="3"/>
  <c r="E538" i="3"/>
  <c r="E555" i="3"/>
  <c r="AN6" i="3"/>
  <c r="E254" i="3"/>
  <c r="E213" i="3"/>
  <c r="E169" i="3"/>
  <c r="E418" i="3"/>
  <c r="E390" i="3"/>
  <c r="E574" i="3"/>
  <c r="E153" i="3"/>
  <c r="E280" i="3"/>
  <c r="E303" i="3"/>
  <c r="E302" i="3"/>
  <c r="E304" i="3"/>
  <c r="E321" i="3"/>
  <c r="E523" i="3"/>
  <c r="E285" i="3"/>
  <c r="E328" i="3"/>
  <c r="E319" i="3"/>
  <c r="E441" i="3"/>
  <c r="E210" i="3"/>
  <c r="E162" i="3"/>
  <c r="E447" i="3"/>
  <c r="E477" i="3"/>
  <c r="E515" i="3"/>
  <c r="E207" i="3"/>
  <c r="E14" i="3"/>
  <c r="E150" i="3"/>
  <c r="E433" i="3"/>
  <c r="E560" i="3"/>
  <c r="E253" i="3"/>
  <c r="AA6" i="3"/>
  <c r="E402" i="3"/>
  <c r="E159" i="3"/>
  <c r="E221" i="3"/>
  <c r="E17" i="3"/>
  <c r="E565" i="3"/>
  <c r="E237" i="3"/>
  <c r="E298" i="3"/>
  <c r="E338" i="3"/>
  <c r="E506" i="3"/>
  <c r="S6" i="3"/>
  <c r="E97" i="3"/>
  <c r="E359" i="3"/>
  <c r="O6" i="3"/>
  <c r="E426" i="3"/>
  <c r="E501" i="3"/>
  <c r="E53" i="3"/>
  <c r="E29" i="3"/>
  <c r="E317" i="3"/>
  <c r="E272" i="3"/>
  <c r="E92" i="3"/>
  <c r="E476" i="3"/>
  <c r="E432" i="3"/>
  <c r="E585" i="3"/>
  <c r="E549" i="3"/>
  <c r="E318" i="3"/>
  <c r="E168" i="3"/>
  <c r="E571" i="3"/>
  <c r="E177" i="3"/>
  <c r="E353" i="3"/>
  <c r="E399" i="3"/>
  <c r="E495" i="3"/>
  <c r="E350" i="3"/>
  <c r="E134" i="3"/>
  <c r="E180" i="3"/>
  <c r="E361" i="3"/>
  <c r="E528" i="3"/>
  <c r="E185" i="3"/>
  <c r="E231" i="3"/>
  <c r="E439" i="3"/>
  <c r="E561" i="3"/>
  <c r="E533" i="3"/>
  <c r="E143" i="3"/>
  <c r="E410" i="3"/>
  <c r="E388" i="3"/>
  <c r="E305" i="3"/>
  <c r="E530" i="3"/>
  <c r="E44" i="3"/>
  <c r="E331" i="3"/>
  <c r="E186" i="3"/>
  <c r="E27" i="3"/>
  <c r="AS6" i="3"/>
  <c r="E414" i="3"/>
  <c r="E107" i="3"/>
  <c r="E397" i="3"/>
  <c r="E351" i="3"/>
  <c r="E72" i="3"/>
  <c r="E587" i="3"/>
  <c r="E228" i="3"/>
  <c r="AM6" i="3"/>
  <c r="E291" i="3"/>
  <c r="E126" i="3"/>
  <c r="E71" i="3"/>
  <c r="E547" i="3"/>
  <c r="E411" i="3"/>
  <c r="E271" i="3"/>
  <c r="E567" i="3"/>
  <c r="E279" i="3"/>
  <c r="E475" i="3"/>
  <c r="E457" i="3"/>
  <c r="E568" i="3"/>
  <c r="E11" i="6"/>
  <c r="E60" i="39" s="1"/>
  <c r="E546" i="3"/>
  <c r="E505" i="3"/>
  <c r="E478" i="3"/>
  <c r="E379" i="3"/>
  <c r="E269" i="3"/>
  <c r="E31" i="3"/>
  <c r="E257" i="3"/>
  <c r="E111" i="3"/>
  <c r="E429" i="3"/>
  <c r="E481" i="3"/>
  <c r="E511" i="3"/>
  <c r="E15" i="6"/>
  <c r="E64" i="39" s="1"/>
  <c r="E8" i="6"/>
  <c r="F27" i="6" s="1"/>
  <c r="F31" i="6" s="1"/>
  <c r="E13" i="6"/>
  <c r="E58" i="40" s="1"/>
  <c r="E10" i="6"/>
  <c r="E403" i="3"/>
  <c r="E367" i="3"/>
  <c r="E548" i="3"/>
  <c r="U6" i="3"/>
  <c r="E145" i="3"/>
  <c r="E196" i="3"/>
  <c r="E93" i="3"/>
  <c r="E357" i="3"/>
  <c r="E208" i="3"/>
  <c r="E54" i="3"/>
  <c r="E468" i="3"/>
  <c r="E344" i="3"/>
  <c r="E519" i="3"/>
  <c r="I24" i="43"/>
  <c r="C24" i="43" s="1"/>
  <c r="S36" i="33"/>
  <c r="J57" i="67"/>
  <c r="J55" i="67" s="1"/>
  <c r="J58" i="67" s="1"/>
  <c r="Q50" i="67" s="1"/>
  <c r="L56" i="67"/>
  <c r="L58" i="67"/>
  <c r="Q60" i="67" s="1"/>
  <c r="J53" i="67"/>
  <c r="F1" i="67" s="1"/>
  <c r="I54" i="67"/>
  <c r="J7" i="36"/>
  <c r="AC7" i="36" s="1"/>
  <c r="V36" i="36" s="1"/>
  <c r="I36" i="36" s="1"/>
  <c r="H7" i="36"/>
  <c r="W27" i="33"/>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E471" i="3"/>
  <c r="E537" i="3"/>
  <c r="W6" i="3"/>
  <c r="E288" i="3"/>
  <c r="E438" i="3"/>
  <c r="E474" i="3"/>
  <c r="E529" i="3"/>
  <c r="E532" i="3"/>
  <c r="E313" i="3"/>
  <c r="E224" i="3"/>
  <c r="E157" i="3"/>
  <c r="E306" i="3"/>
  <c r="E352" i="3"/>
  <c r="E136" i="3"/>
  <c r="E461" i="3"/>
  <c r="AP6" i="1"/>
  <c r="C36" i="69" s="1"/>
  <c r="J7" i="37"/>
  <c r="W7" i="37" s="1"/>
  <c r="S27" i="33"/>
  <c r="AC36" i="3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E59" i="40"/>
  <c r="P6" i="1"/>
  <c r="C13" i="12" s="1"/>
  <c r="D18" i="53"/>
  <c r="B35" i="72" s="1"/>
  <c r="C7" i="74"/>
  <c r="E61" i="43"/>
  <c r="B59" i="43" s="1"/>
  <c r="E30" i="6"/>
  <c r="H7" i="34"/>
  <c r="AB7" i="34" s="1"/>
  <c r="E67" i="39"/>
  <c r="F67" i="39" s="1"/>
  <c r="J7" i="34"/>
  <c r="W7" i="34" s="1"/>
  <c r="F7" i="34"/>
  <c r="S7" i="34" s="1"/>
  <c r="AA26" i="35"/>
  <c r="S26" i="35"/>
  <c r="AC26" i="35"/>
  <c r="W26" i="35"/>
  <c r="AB26" i="35"/>
  <c r="U26" i="35"/>
  <c r="C9" i="69"/>
  <c r="C9" i="68"/>
  <c r="E72" i="43"/>
  <c r="B70" i="43" s="1"/>
  <c r="D5" i="43"/>
  <c r="C7" i="43"/>
  <c r="C5" i="43" s="1"/>
  <c r="D10" i="52"/>
  <c r="D125" i="9"/>
  <c r="D11" i="52" s="1"/>
  <c r="B7" i="74"/>
  <c r="H7" i="37"/>
  <c r="AB7" i="37" s="1"/>
  <c r="T42" i="37" s="1"/>
  <c r="G42" i="37" s="1"/>
  <c r="B40" i="1"/>
  <c r="H7" i="33"/>
  <c r="J7" i="33"/>
  <c r="D65" i="40"/>
  <c r="E63" i="40"/>
  <c r="F48" i="35"/>
  <c r="S7" i="36"/>
  <c r="AB7" i="36"/>
  <c r="T36" i="36" s="1"/>
  <c r="G36" i="36" s="1"/>
  <c r="U7" i="36"/>
  <c r="F7" i="33"/>
  <c r="E58" i="21"/>
  <c r="W7" i="36"/>
  <c r="F7" i="37"/>
  <c r="D14" i="71"/>
  <c r="C13" i="71"/>
  <c r="P28" i="43"/>
  <c r="B66" i="40" s="1"/>
  <c r="P25" i="43"/>
  <c r="P29" i="43"/>
  <c r="P27" i="43"/>
  <c r="B70" i="39" s="1"/>
  <c r="M11" i="67"/>
  <c r="J10" i="67" s="1"/>
  <c r="F11" i="15"/>
  <c r="M11" i="15"/>
  <c r="J10" i="15" s="1"/>
  <c r="F11" i="67"/>
  <c r="AE11" i="1"/>
  <c r="AE9" i="1"/>
  <c r="AE8" i="1"/>
  <c r="AE12" i="1"/>
  <c r="AE10" i="1"/>
  <c r="F43" i="15"/>
  <c r="F7" i="67"/>
  <c r="F7" i="15"/>
  <c r="F43" i="67"/>
  <c r="C16" i="82"/>
  <c r="M29" i="15"/>
  <c r="M29" i="67"/>
  <c r="C33" i="82" l="1"/>
  <c r="AA34" i="34"/>
  <c r="S34" i="34"/>
  <c r="AB34" i="34"/>
  <c r="T49" i="34" s="1"/>
  <c r="G49" i="34" s="1"/>
  <c r="G53" i="34" s="1"/>
  <c r="H53" i="34" s="1"/>
  <c r="U34" i="34"/>
  <c r="AC34" i="34"/>
  <c r="W34" i="34"/>
  <c r="E3" i="6"/>
  <c r="F71" i="67"/>
  <c r="M7" i="67"/>
  <c r="J6" i="67" s="1"/>
  <c r="J18" i="67" s="1"/>
  <c r="F31" i="67"/>
  <c r="F50" i="67"/>
  <c r="F59" i="67" s="1"/>
  <c r="C6" i="67"/>
  <c r="C32" i="67" s="1"/>
  <c r="M6" i="1"/>
  <c r="M16" i="1" s="1"/>
  <c r="AC7" i="37"/>
  <c r="V42" i="37" s="1"/>
  <c r="I42" i="37" s="1"/>
  <c r="Q61" i="67"/>
  <c r="F59" i="82"/>
  <c r="M17" i="67"/>
  <c r="Q60" i="82"/>
  <c r="C49" i="82"/>
  <c r="C61" i="82" s="1"/>
  <c r="M17" i="82"/>
  <c r="J5" i="82"/>
  <c r="J26" i="82" s="1"/>
  <c r="J19" i="82"/>
  <c r="F31" i="15"/>
  <c r="T11" i="84"/>
  <c r="V11" i="84" s="1"/>
  <c r="C42" i="84"/>
  <c r="T2" i="84"/>
  <c r="V2" i="84" s="1"/>
  <c r="T3" i="84"/>
  <c r="V3" i="84" s="1"/>
  <c r="T14" i="84"/>
  <c r="V14" i="84" s="1"/>
  <c r="C37" i="84"/>
  <c r="T9" i="84"/>
  <c r="V9" i="84" s="1"/>
  <c r="T10" i="84"/>
  <c r="V10" i="84" s="1"/>
  <c r="C40" i="84"/>
  <c r="T6" i="84"/>
  <c r="V6" i="84" s="1"/>
  <c r="T5" i="84"/>
  <c r="V5" i="84" s="1"/>
  <c r="C39" i="84"/>
  <c r="T13" i="84"/>
  <c r="V13" i="84" s="1"/>
  <c r="T12" i="84"/>
  <c r="V12" i="84" s="1"/>
  <c r="T4" i="84"/>
  <c r="V4" i="84" s="1"/>
  <c r="T15" i="84"/>
  <c r="V15" i="84" s="1"/>
  <c r="C38" i="84"/>
  <c r="T7" i="84"/>
  <c r="V7" i="84" s="1"/>
  <c r="T8" i="84"/>
  <c r="V8" i="84" s="1"/>
  <c r="C41" i="84"/>
  <c r="T16" i="84"/>
  <c r="V16" i="84" s="1"/>
  <c r="C33" i="84"/>
  <c r="Q57" i="82"/>
  <c r="Q66" i="82"/>
  <c r="Q52" i="82"/>
  <c r="F1" i="82"/>
  <c r="Q74" i="82"/>
  <c r="Q61" i="82"/>
  <c r="F22" i="83"/>
  <c r="C26" i="83" s="1"/>
  <c r="D22" i="83" s="1"/>
  <c r="L36" i="84"/>
  <c r="L36" i="43"/>
  <c r="P36" i="43" s="1"/>
  <c r="F24" i="82"/>
  <c r="C53" i="82"/>
  <c r="C10" i="82"/>
  <c r="C5" i="82" s="1"/>
  <c r="G16" i="1"/>
  <c r="F10" i="39" s="1"/>
  <c r="S10" i="39" s="1"/>
  <c r="E27" i="6"/>
  <c r="K26" i="6" s="1"/>
  <c r="M26" i="6" s="1"/>
  <c r="I26" i="6" s="1"/>
  <c r="S26" i="6" s="1"/>
  <c r="E56" i="39"/>
  <c r="K16" i="1"/>
  <c r="B29" i="1" s="1"/>
  <c r="E61" i="39"/>
  <c r="H16" i="1"/>
  <c r="D89" i="43"/>
  <c r="J89" i="43"/>
  <c r="J83" i="43"/>
  <c r="D83" i="43"/>
  <c r="D86" i="43"/>
  <c r="J86" i="43"/>
  <c r="D90" i="43"/>
  <c r="J90" i="43"/>
  <c r="D88" i="43"/>
  <c r="J88" i="43"/>
  <c r="D87" i="43"/>
  <c r="J87" i="43"/>
  <c r="D84" i="43"/>
  <c r="J84" i="43"/>
  <c r="F71" i="15"/>
  <c r="C6" i="15"/>
  <c r="C32" i="15" s="1"/>
  <c r="M7" i="15"/>
  <c r="F50" i="15"/>
  <c r="Q16" i="1"/>
  <c r="Q61" i="15"/>
  <c r="Q52" i="15"/>
  <c r="Q73" i="15"/>
  <c r="F1" i="15"/>
  <c r="E51" i="40"/>
  <c r="E16" i="6"/>
  <c r="E60" i="40"/>
  <c r="E56" i="40"/>
  <c r="E62" i="39"/>
  <c r="AC6" i="3"/>
  <c r="Q73" i="67"/>
  <c r="Q52" i="67"/>
  <c r="H6" i="3"/>
  <c r="J58" i="43"/>
  <c r="D58" i="43"/>
  <c r="J56" i="43"/>
  <c r="D56" i="43"/>
  <c r="J52" i="43"/>
  <c r="D52" i="43"/>
  <c r="J53" i="43"/>
  <c r="D53" i="43"/>
  <c r="J55" i="43"/>
  <c r="D55" i="43"/>
  <c r="J51" i="43"/>
  <c r="D51" i="43"/>
  <c r="J50" i="43"/>
  <c r="D50" i="43"/>
  <c r="E69" i="39"/>
  <c r="AC7" i="34"/>
  <c r="U7" i="34"/>
  <c r="AA7" i="34"/>
  <c r="R49" i="34" s="1"/>
  <c r="AG11" i="1"/>
  <c r="AG9" i="1"/>
  <c r="AG10" i="1"/>
  <c r="AG8" i="1"/>
  <c r="AG12" i="1"/>
  <c r="AG7" i="1"/>
  <c r="AG6" i="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AE7" i="1"/>
  <c r="AE6" i="1"/>
  <c r="M27" i="67"/>
  <c r="C16" i="15"/>
  <c r="C16" i="67"/>
  <c r="M27" i="15"/>
  <c r="F41" i="82"/>
  <c r="V49" i="34" l="1"/>
  <c r="I49" i="34" s="1"/>
  <c r="G54" i="34" s="1"/>
  <c r="H54" i="34" s="1"/>
  <c r="K21" i="6"/>
  <c r="S8" i="1" s="1"/>
  <c r="E8" i="70" s="1"/>
  <c r="K22" i="6"/>
  <c r="E65" i="39"/>
  <c r="C10" i="67"/>
  <c r="C5" i="67" s="1"/>
  <c r="C38" i="67" s="1"/>
  <c r="J5" i="67"/>
  <c r="J24" i="67" s="1"/>
  <c r="C49" i="67"/>
  <c r="C48" i="67" s="1"/>
  <c r="C66" i="67" s="1"/>
  <c r="O6" i="1"/>
  <c r="O16" i="1" s="1"/>
  <c r="C48" i="82"/>
  <c r="C66" i="82" s="1"/>
  <c r="J24" i="82"/>
  <c r="K24" i="6"/>
  <c r="M24" i="6" s="1"/>
  <c r="I24" i="6" s="1"/>
  <c r="S24" i="6" s="1"/>
  <c r="C49" i="15"/>
  <c r="C48" i="15" s="1"/>
  <c r="C66" i="15" s="1"/>
  <c r="F59" i="15"/>
  <c r="J6" i="15"/>
  <c r="J18" i="15" s="1"/>
  <c r="M17" i="15"/>
  <c r="G41" i="84"/>
  <c r="I41" i="84" s="1"/>
  <c r="E41" i="84"/>
  <c r="E39" i="84"/>
  <c r="G39" i="84"/>
  <c r="I39" i="84" s="1"/>
  <c r="C34" i="84"/>
  <c r="E34" i="84" s="1"/>
  <c r="E33" i="84"/>
  <c r="G37" i="84"/>
  <c r="I37" i="84" s="1"/>
  <c r="E37" i="84"/>
  <c r="G42" i="84"/>
  <c r="I42" i="84" s="1"/>
  <c r="E42" i="84"/>
  <c r="G38" i="84"/>
  <c r="I38" i="84" s="1"/>
  <c r="E38" i="84"/>
  <c r="G40" i="84"/>
  <c r="I40" i="84" s="1"/>
  <c r="E40" i="84"/>
  <c r="F69" i="82"/>
  <c r="J29" i="82"/>
  <c r="C24" i="83"/>
  <c r="C44" i="83"/>
  <c r="D41" i="83" s="1"/>
  <c r="F41" i="83"/>
  <c r="L37" i="84"/>
  <c r="N36" i="84"/>
  <c r="Q36" i="84"/>
  <c r="M36" i="84"/>
  <c r="P36" i="84"/>
  <c r="O36" i="84"/>
  <c r="N36" i="43"/>
  <c r="Q36" i="43"/>
  <c r="L37" i="43"/>
  <c r="P37" i="43" s="1"/>
  <c r="O36" i="43"/>
  <c r="M36" i="43"/>
  <c r="C38" i="82"/>
  <c r="C24" i="82"/>
  <c r="AA10" i="39"/>
  <c r="J10" i="40"/>
  <c r="AC10" i="40" s="1"/>
  <c r="F10" i="40"/>
  <c r="S10" i="40" s="1"/>
  <c r="J10" i="39"/>
  <c r="W10" i="39" s="1"/>
  <c r="H10" i="39"/>
  <c r="U10" i="39" s="1"/>
  <c r="H10" i="40"/>
  <c r="K23" i="6"/>
  <c r="M23" i="6" s="1"/>
  <c r="I23" i="6" s="1"/>
  <c r="S23" i="6" s="1"/>
  <c r="K19" i="6"/>
  <c r="S6" i="1" s="1"/>
  <c r="AR6" i="1" s="1"/>
  <c r="K20" i="6"/>
  <c r="S7" i="1" s="1"/>
  <c r="E31" i="6"/>
  <c r="K25" i="6"/>
  <c r="M25" i="6" s="1"/>
  <c r="I25" i="6" s="1"/>
  <c r="S25" i="6" s="1"/>
  <c r="E83" i="43"/>
  <c r="B81" i="43" s="1"/>
  <c r="C10" i="15"/>
  <c r="C5" i="15" s="1"/>
  <c r="C38" i="15" s="1"/>
  <c r="F27" i="69"/>
  <c r="F27" i="11"/>
  <c r="F28" i="12"/>
  <c r="C29" i="12" s="1"/>
  <c r="D28" i="12" s="1"/>
  <c r="E6" i="3"/>
  <c r="E49" i="34"/>
  <c r="E54" i="34" s="1"/>
  <c r="F54" i="34" s="1"/>
  <c r="E50" i="43"/>
  <c r="B48" i="43" s="1"/>
  <c r="C28" i="43" s="1"/>
  <c r="T10" i="43" s="1"/>
  <c r="V10" i="43" s="1"/>
  <c r="B1" i="74"/>
  <c r="M21" i="6"/>
  <c r="I21" i="6" s="1"/>
  <c r="S21" i="6" s="1"/>
  <c r="S11" i="1"/>
  <c r="E11" i="70" s="1"/>
  <c r="M22" i="6"/>
  <c r="I22" i="6" s="1"/>
  <c r="S22" i="6" s="1"/>
  <c r="S9" i="1"/>
  <c r="T8" i="1"/>
  <c r="AR8" i="1"/>
  <c r="M20" i="6"/>
  <c r="I20" i="6" s="1"/>
  <c r="S10" i="1"/>
  <c r="E10" i="70" s="1"/>
  <c r="S12" i="1"/>
  <c r="C20" i="11"/>
  <c r="D17" i="12"/>
  <c r="C17" i="12" s="1"/>
  <c r="D10" i="11"/>
  <c r="C10" i="11" s="1"/>
  <c r="D20" i="12"/>
  <c r="C20" i="12" s="1"/>
  <c r="C18" i="12" s="1"/>
  <c r="D25" i="6"/>
  <c r="D15" i="6"/>
  <c r="D22" i="6"/>
  <c r="D21" i="6"/>
  <c r="D24" i="6"/>
  <c r="D20" i="6"/>
  <c r="D26" i="6"/>
  <c r="D8" i="6"/>
  <c r="D14" i="6"/>
  <c r="D6" i="6"/>
  <c r="D9" i="6"/>
  <c r="D10" i="6"/>
  <c r="D29" i="6"/>
  <c r="D19" i="6"/>
  <c r="M19" i="9" s="1"/>
  <c r="C118" i="9" s="1"/>
  <c r="B2" i="74" s="1"/>
  <c r="C18" i="4"/>
  <c r="D23" i="6"/>
  <c r="D5" i="6"/>
  <c r="D12" i="6"/>
  <c r="D11" i="6"/>
  <c r="D13" i="6"/>
  <c r="D28" i="6"/>
  <c r="D30" i="6" s="1"/>
  <c r="E61" i="40"/>
  <c r="H26" i="6"/>
  <c r="P14" i="1"/>
  <c r="P16" i="1" s="1"/>
  <c r="C11" i="12" s="1"/>
  <c r="N16" i="1"/>
  <c r="F50" i="83" s="1"/>
  <c r="L16" i="1"/>
  <c r="H67" i="39"/>
  <c r="G69" i="39"/>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C17" i="82"/>
  <c r="C17" i="67"/>
  <c r="D10" i="83"/>
  <c r="F41" i="15"/>
  <c r="F27" i="68"/>
  <c r="F41" i="67"/>
  <c r="C14" i="67"/>
  <c r="D10" i="68"/>
  <c r="C17" i="15"/>
  <c r="I53" i="34" l="1"/>
  <c r="J53" i="34" s="1"/>
  <c r="R50" i="34"/>
  <c r="C50" i="34" s="1"/>
  <c r="C60" i="82"/>
  <c r="C60" i="67"/>
  <c r="AQ8" i="1"/>
  <c r="I54" i="34"/>
  <c r="J54" i="34" s="1"/>
  <c r="E53" i="34"/>
  <c r="F53" i="34" s="1"/>
  <c r="F69" i="67"/>
  <c r="J5" i="15"/>
  <c r="J24" i="15" s="1"/>
  <c r="W10" i="40"/>
  <c r="M19" i="6"/>
  <c r="C10" i="83"/>
  <c r="C8" i="83" s="1"/>
  <c r="D19" i="83"/>
  <c r="D37" i="83" s="1"/>
  <c r="C37" i="83" s="1"/>
  <c r="M19" i="85"/>
  <c r="C118" i="85" s="1"/>
  <c r="S20" i="6"/>
  <c r="L18" i="85"/>
  <c r="K27" i="6"/>
  <c r="T6" i="1"/>
  <c r="AB10" i="39"/>
  <c r="E7" i="70"/>
  <c r="C30" i="84"/>
  <c r="B2" i="84" s="1"/>
  <c r="B3" i="84" s="1"/>
  <c r="C31" i="84"/>
  <c r="O37" i="43"/>
  <c r="P37" i="84"/>
  <c r="O37" i="84"/>
  <c r="N37" i="84"/>
  <c r="M37" i="84"/>
  <c r="Q37" i="84"/>
  <c r="Q37" i="43"/>
  <c r="M37" i="43"/>
  <c r="N37" i="43"/>
  <c r="AA10" i="40"/>
  <c r="AC10" i="39"/>
  <c r="AB10" i="40"/>
  <c r="U10" i="40"/>
  <c r="E6" i="70"/>
  <c r="AQ6" i="1"/>
  <c r="C28" i="11"/>
  <c r="C27" i="11" s="1"/>
  <c r="F69" i="15"/>
  <c r="C60" i="15"/>
  <c r="C29" i="11"/>
  <c r="D27" i="11" s="1"/>
  <c r="C47" i="11"/>
  <c r="D45" i="11" s="1"/>
  <c r="C29" i="68"/>
  <c r="D27" i="68" s="1"/>
  <c r="F45" i="68"/>
  <c r="C47" i="68"/>
  <c r="D45" i="68" s="1"/>
  <c r="F45" i="69"/>
  <c r="C47" i="69"/>
  <c r="D45" i="69" s="1"/>
  <c r="C29" i="69"/>
  <c r="D27" i="69" s="1"/>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T3" i="43"/>
  <c r="V3" i="43" s="1"/>
  <c r="T5" i="43"/>
  <c r="V5" i="43" s="1"/>
  <c r="C38" i="43"/>
  <c r="G38" i="43" s="1"/>
  <c r="I38" i="43" s="1"/>
  <c r="T16" i="43"/>
  <c r="V16" i="43" s="1"/>
  <c r="H24" i="6"/>
  <c r="R24" i="6" s="1"/>
  <c r="R11" i="1" s="1"/>
  <c r="H22" i="6"/>
  <c r="R22" i="6" s="1"/>
  <c r="R9" i="1" s="1"/>
  <c r="C25" i="11"/>
  <c r="C22" i="11" s="1"/>
  <c r="H21" i="6"/>
  <c r="R21" i="6" s="1"/>
  <c r="R8" i="1" s="1"/>
  <c r="H25" i="6"/>
  <c r="R25" i="6" s="1"/>
  <c r="R12" i="1"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C15" i="12"/>
  <c r="C12" i="12"/>
  <c r="D27" i="6"/>
  <c r="D31" i="6" s="1"/>
  <c r="D8" i="74"/>
  <c r="D7" i="74"/>
  <c r="C10" i="69"/>
  <c r="C8" i="69" s="1"/>
  <c r="D19" i="69"/>
  <c r="F50" i="69"/>
  <c r="F50" i="11"/>
  <c r="F50" i="68"/>
  <c r="C4" i="52"/>
  <c r="B45" i="72" s="1"/>
  <c r="A10" i="51"/>
  <c r="B9" i="72" s="1"/>
  <c r="A7" i="51"/>
  <c r="B7" i="72" s="1"/>
  <c r="C10" i="68"/>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82"/>
  <c r="M21" i="82"/>
  <c r="C34" i="83"/>
  <c r="C14" i="15"/>
  <c r="F35" i="82"/>
  <c r="C49" i="34" l="1"/>
  <c r="V2" i="43"/>
  <c r="C6" i="69"/>
  <c r="C15" i="82"/>
  <c r="C18" i="82"/>
  <c r="C38" i="83"/>
  <c r="C35" i="83"/>
  <c r="L19" i="85"/>
  <c r="J20" i="82"/>
  <c r="J17" i="82" s="1"/>
  <c r="C34" i="82"/>
  <c r="C31" i="82" s="1"/>
  <c r="F63" i="82"/>
  <c r="C62" i="82" s="1"/>
  <c r="C59" i="82" s="1"/>
  <c r="C31" i="11"/>
  <c r="G42" i="43"/>
  <c r="I42" i="43" s="1"/>
  <c r="G37" i="43"/>
  <c r="I37" i="43" s="1"/>
  <c r="E40" i="43"/>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C11" i="40" s="1"/>
  <c r="I6" i="6"/>
  <c r="G3" i="43" s="1"/>
  <c r="I69" i="39"/>
  <c r="J67" i="39"/>
  <c r="D9" i="71"/>
  <c r="I63" i="40"/>
  <c r="H65" i="40"/>
  <c r="I58" i="21"/>
  <c r="J58" i="21" s="1"/>
  <c r="K58" i="21" s="1"/>
  <c r="L58" i="21" s="1"/>
  <c r="M58" i="21" s="1"/>
  <c r="N58" i="21" s="1"/>
  <c r="O58" i="21" s="1"/>
  <c r="H7" i="21" s="1"/>
  <c r="J48" i="35"/>
  <c r="C33" i="83" l="1"/>
  <c r="C39" i="83" s="1"/>
  <c r="C19" i="82"/>
  <c r="C20" i="82" s="1"/>
  <c r="C26" i="82" s="1"/>
  <c r="N94" i="46"/>
  <c r="H26" i="43"/>
  <c r="J26" i="43"/>
  <c r="E26" i="43"/>
  <c r="N370" i="46"/>
  <c r="Z7" i="43"/>
  <c r="G26" i="43"/>
  <c r="F26" i="43"/>
  <c r="B116" i="43"/>
  <c r="F11" i="40"/>
  <c r="J11" i="40"/>
  <c r="H11" i="40"/>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C42" i="83" l="1"/>
  <c r="C46" i="83"/>
  <c r="C45" i="83" s="1"/>
  <c r="C43" i="83"/>
  <c r="C23" i="82"/>
  <c r="C29" i="82" s="1"/>
  <c r="D26" i="43"/>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AB11" i="40"/>
  <c r="U11" i="40"/>
  <c r="AC11" i="40"/>
  <c r="W11" i="40"/>
  <c r="AA11" i="40"/>
  <c r="S11" i="40"/>
  <c r="AA7" i="21"/>
  <c r="R48" i="21" s="1"/>
  <c r="E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I52" i="21"/>
  <c r="J52" i="21" s="1"/>
  <c r="U7" i="35"/>
  <c r="AB7" i="35"/>
  <c r="T38" i="35" s="1"/>
  <c r="G38" i="35" s="1"/>
  <c r="R49" i="21"/>
  <c r="G52" i="21"/>
  <c r="H52" i="21" s="1"/>
  <c r="F7" i="35"/>
  <c r="F35" i="67"/>
  <c r="M21" i="15"/>
  <c r="F35" i="15"/>
  <c r="M21" i="67"/>
  <c r="C41" i="83" l="1"/>
  <c r="C49" i="83" s="1"/>
  <c r="C51" i="83" s="1"/>
  <c r="Q49" i="82"/>
  <c r="C57" i="82"/>
  <c r="C64" i="82" s="1"/>
  <c r="C36" i="82"/>
  <c r="J14" i="82"/>
  <c r="J59" i="82"/>
  <c r="J60" i="82" s="1"/>
  <c r="C13" i="82"/>
  <c r="C118" i="43"/>
  <c r="D116" i="43" s="1"/>
  <c r="C33" i="43"/>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J22" i="82" l="1"/>
  <c r="J13" i="82"/>
  <c r="J23" i="82" s="1"/>
  <c r="Q48" i="82"/>
  <c r="L46" i="82"/>
  <c r="Q70" i="82"/>
  <c r="C75" i="82"/>
  <c r="C37" i="82"/>
  <c r="C30" i="82" s="1"/>
  <c r="C39" i="82" s="1"/>
  <c r="C56" i="82"/>
  <c r="C65" i="82" s="1"/>
  <c r="C58" i="82" s="1"/>
  <c r="C67" i="82" s="1"/>
  <c r="C68" i="82" s="1"/>
  <c r="C7" i="69"/>
  <c r="C5" i="69" s="1"/>
  <c r="C34" i="43"/>
  <c r="E34" i="43" s="1"/>
  <c r="C31" i="43" s="1"/>
  <c r="E33" i="43"/>
  <c r="C6" i="68"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L51" i="82"/>
  <c r="Q69" i="67" l="1"/>
  <c r="Q68" i="67" s="1"/>
  <c r="C23" i="69"/>
  <c r="C20" i="69"/>
  <c r="J16" i="82"/>
  <c r="J25" i="82" s="1"/>
  <c r="Q67" i="82"/>
  <c r="C71" i="82"/>
  <c r="C40" i="82"/>
  <c r="Q69" i="82"/>
  <c r="Q68" i="82" s="1"/>
  <c r="C80" i="82"/>
  <c r="C79" i="82" s="1"/>
  <c r="C7" i="83"/>
  <c r="C5" i="83" s="1"/>
  <c r="C30" i="43"/>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E6" i="76"/>
  <c r="C28" i="69" l="1"/>
  <c r="C27" i="69" s="1"/>
  <c r="C25" i="69"/>
  <c r="C22" i="69" s="1"/>
  <c r="C43" i="82"/>
  <c r="Q47" i="82"/>
  <c r="Q53" i="82" s="1"/>
  <c r="B2" i="82"/>
  <c r="Q65" i="82"/>
  <c r="Q75" i="82" s="1"/>
  <c r="Q56" i="82"/>
  <c r="Q62" i="82" s="1"/>
  <c r="C83" i="82"/>
  <c r="C82" i="82" s="1"/>
  <c r="C46" i="82"/>
  <c r="C23" i="83"/>
  <c r="C20" i="83"/>
  <c r="C25" i="83" s="1"/>
  <c r="E2" i="76"/>
  <c r="B2" i="43"/>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2" i="34"/>
  <c r="D2" i="36"/>
  <c r="B6" i="76"/>
  <c r="L51" i="15"/>
  <c r="D19" i="85"/>
  <c r="D2" i="35"/>
  <c r="C31" i="69" l="1"/>
  <c r="C52" i="69" s="1"/>
  <c r="B2" i="69" s="1"/>
  <c r="B3" i="69" s="1"/>
  <c r="D21" i="85"/>
  <c r="D102" i="85"/>
  <c r="B3" i="82"/>
  <c r="C28" i="83"/>
  <c r="C27" i="83" s="1"/>
  <c r="C22" i="83"/>
  <c r="B2" i="76"/>
  <c r="B3" i="76" s="1"/>
  <c r="B3" i="43"/>
  <c r="B3" i="33"/>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7" i="1"/>
  <c r="D19" i="9"/>
  <c r="AO6" i="1"/>
  <c r="AO11" i="1"/>
  <c r="AO10" i="1"/>
  <c r="D20" i="85"/>
  <c r="AO8" i="1"/>
  <c r="AO12" i="1"/>
  <c r="AO9" i="1"/>
  <c r="C57" i="69" l="1"/>
  <c r="C56" i="69" s="1"/>
  <c r="D103" i="85"/>
  <c r="C31" i="83"/>
  <c r="C52" i="83" s="1"/>
  <c r="B2" i="83" s="1"/>
  <c r="D21" i="9"/>
  <c r="D102"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19" i="85"/>
  <c r="C102" i="85" l="1"/>
  <c r="C21" i="85"/>
  <c r="G19" i="85"/>
  <c r="G21" i="85" s="1"/>
  <c r="D22" i="85"/>
  <c r="C57" i="83"/>
  <c r="C56" i="83"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83"/>
  <c r="D34" i="85"/>
  <c r="D35" i="85"/>
  <c r="C42" i="40" l="1"/>
  <c r="C43" i="40"/>
  <c r="E47" i="40"/>
  <c r="F47" i="40" s="1"/>
  <c r="E46" i="40"/>
  <c r="F46" i="40" s="1"/>
  <c r="I47" i="40"/>
  <c r="J47" i="40" s="1"/>
  <c r="C20" i="85"/>
  <c r="C103" i="85" l="1"/>
  <c r="G20" i="85"/>
  <c r="C32" i="85" s="1"/>
  <c r="B58" i="40"/>
  <c r="F58" i="40" s="1"/>
  <c r="B54" i="40"/>
  <c r="F54" i="40" s="1"/>
  <c r="B53" i="40"/>
  <c r="F53" i="40" s="1"/>
  <c r="B59" i="40"/>
  <c r="F59" i="40" s="1"/>
  <c r="B52" i="40"/>
  <c r="F52" i="40" s="1"/>
  <c r="B56" i="40"/>
  <c r="F56" i="40" s="1"/>
  <c r="B60" i="40"/>
  <c r="F60" i="40" s="1"/>
  <c r="B57" i="40"/>
  <c r="F57" i="40" s="1"/>
  <c r="B51" i="40"/>
  <c r="F51" i="40" s="1"/>
  <c r="D27" i="85" l="1"/>
  <c r="I118" i="85"/>
  <c r="C35" i="85"/>
  <c r="G118" i="85" s="1"/>
  <c r="F118" i="85" s="1"/>
  <c r="F119" i="85" s="1"/>
  <c r="F61" i="40"/>
  <c r="B2" i="40" s="1"/>
  <c r="C34" i="85" l="1"/>
  <c r="H102" i="85"/>
  <c r="E118" i="85"/>
  <c r="D118" i="85" s="1"/>
  <c r="D119" i="85" s="1"/>
  <c r="C105" i="85"/>
  <c r="H118" i="85"/>
  <c r="B3" i="40"/>
  <c r="C7" i="68"/>
  <c r="C5" i="68" s="1"/>
  <c r="H119" i="85" l="1"/>
  <c r="H101" i="85"/>
  <c r="C104" i="85"/>
  <c r="C23" i="68"/>
  <c r="C20" i="68"/>
  <c r="M48" i="85" l="1"/>
  <c r="D45" i="85"/>
  <c r="H107" i="85"/>
  <c r="G15" i="74" s="1"/>
  <c r="C28" i="68"/>
  <c r="C27" i="68" s="1"/>
  <c r="C25" i="68"/>
  <c r="C22" i="68" s="1"/>
  <c r="E15" i="74" l="1"/>
  <c r="F15" i="74"/>
  <c r="M49" i="85"/>
  <c r="D122" i="85"/>
  <c r="D123" i="85" s="1"/>
  <c r="H108" i="85"/>
  <c r="C78" i="85"/>
  <c r="C73" i="85" s="1"/>
  <c r="D55" i="85"/>
  <c r="M53" i="85" s="1"/>
  <c r="C72" i="85"/>
  <c r="D53" i="85"/>
  <c r="D52" i="85"/>
  <c r="C85" i="85"/>
  <c r="C64" i="85"/>
  <c r="C63" i="85" s="1"/>
  <c r="C67" i="85" s="1"/>
  <c r="C93" i="85"/>
  <c r="C86" i="85" s="1"/>
  <c r="C31" i="68"/>
  <c r="C52" i="68" s="1"/>
  <c r="B2" i="68" s="1"/>
  <c r="C19" i="9"/>
  <c r="C79" i="85" l="1"/>
  <c r="C80" i="85" s="1"/>
  <c r="E80" i="85" s="1"/>
  <c r="E81" i="85" s="1"/>
  <c r="C68" i="85"/>
  <c r="D54" i="85" s="1"/>
  <c r="D59" i="85"/>
  <c r="M55" i="85" s="1"/>
  <c r="C95" i="85"/>
  <c r="L68" i="85"/>
  <c r="M68" i="85" s="1"/>
  <c r="L64" i="85"/>
  <c r="M64" i="85" s="1"/>
  <c r="L67" i="85"/>
  <c r="M67" i="85" s="1"/>
  <c r="L63" i="85"/>
  <c r="M63" i="85" s="1"/>
  <c r="L66" i="85"/>
  <c r="M66" i="85" s="1"/>
  <c r="L65" i="85"/>
  <c r="M65" i="85" s="1"/>
  <c r="C57" i="68"/>
  <c r="C56" i="68" s="1"/>
  <c r="C21" i="9"/>
  <c r="C102" i="9"/>
  <c r="G19" i="9"/>
  <c r="G21" i="9" s="1"/>
  <c r="D22" i="9"/>
  <c r="B3" i="68"/>
  <c r="C81" i="85" l="1"/>
  <c r="M69" i="85"/>
  <c r="N69" i="85" s="1"/>
  <c r="C96" i="85"/>
  <c r="E96" i="85" s="1"/>
  <c r="E97" i="85" s="1"/>
  <c r="C20" i="9"/>
  <c r="C103" i="9" l="1"/>
  <c r="G20" i="9"/>
  <c r="G25" i="9" s="1"/>
  <c r="C97" i="85"/>
  <c r="D58" i="85" s="1"/>
  <c r="D56" i="85" s="1"/>
  <c r="M54" i="85" s="1"/>
  <c r="N57" i="85" s="1"/>
  <c r="N58" i="85" s="1"/>
  <c r="D34" i="9"/>
  <c r="D35" i="9"/>
  <c r="C32" i="9" l="1"/>
  <c r="I118" i="9" s="1"/>
  <c r="H102" i="9" s="1"/>
  <c r="D7" i="53" s="1"/>
  <c r="B21" i="72" s="1"/>
  <c r="D27" i="9"/>
  <c r="N59" i="85"/>
  <c r="N61" i="85" s="1"/>
  <c r="P57" i="85"/>
  <c r="C35" i="9" l="1"/>
  <c r="C34" i="9" s="1"/>
  <c r="H118" i="9"/>
  <c r="H119" i="9" s="1"/>
  <c r="H5" i="52" s="1"/>
  <c r="C105" i="9"/>
  <c r="I4" i="52"/>
  <c r="N60" i="85"/>
  <c r="G118" i="9" l="1"/>
  <c r="G4" i="52" s="1"/>
  <c r="B52" i="72" s="1"/>
  <c r="H4" i="52"/>
  <c r="H101" i="9"/>
  <c r="M48" i="9" s="1"/>
  <c r="C104" i="9"/>
  <c r="F118" i="9" l="1"/>
  <c r="F119" i="9" s="1"/>
  <c r="F5" i="52" s="1"/>
  <c r="B53" i="72" s="1"/>
  <c r="E118" i="9"/>
  <c r="D118" i="9" s="1"/>
  <c r="D5" i="53"/>
  <c r="D6" i="53" s="1"/>
  <c r="B22" i="72" s="1"/>
  <c r="D45" i="9"/>
  <c r="C85" i="9" s="1"/>
  <c r="H107" i="9"/>
  <c r="D14" i="74" s="1"/>
  <c r="B5" i="74" s="1"/>
  <c r="C5" i="74" s="1"/>
  <c r="E4" i="52" l="1"/>
  <c r="B48" i="72" s="1"/>
  <c r="F4" i="52"/>
  <c r="B51" i="72" s="1"/>
  <c r="B20" i="72"/>
  <c r="C78" i="9"/>
  <c r="C73" i="9" s="1"/>
  <c r="M49" i="9"/>
  <c r="L64" i="9" s="1"/>
  <c r="M64" i="9" s="1"/>
  <c r="D122" i="9"/>
  <c r="D123" i="9" s="1"/>
  <c r="D9" i="52" s="1"/>
  <c r="D13" i="53"/>
  <c r="D14" i="53" s="1"/>
  <c r="B32" i="72" s="1"/>
  <c r="D52" i="9"/>
  <c r="E14" i="74"/>
  <c r="F14" i="74"/>
  <c r="H108" i="9"/>
  <c r="D15" i="53" s="1"/>
  <c r="B31" i="72" s="1"/>
  <c r="G14" i="74"/>
  <c r="B6" i="74" s="1"/>
  <c r="D6" i="74" s="1"/>
  <c r="C93" i="9"/>
  <c r="C86" i="9" s="1"/>
  <c r="C95" i="9" s="1"/>
  <c r="D53" i="9"/>
  <c r="C64" i="9"/>
  <c r="C63" i="9" s="1"/>
  <c r="C67" i="9" s="1"/>
  <c r="C68" i="9" s="1"/>
  <c r="D54" i="9" s="1"/>
  <c r="D55" i="9"/>
  <c r="M53" i="9" s="1"/>
  <c r="C72" i="9"/>
  <c r="D5" i="74"/>
  <c r="D119" i="9"/>
  <c r="D5" i="52" s="1"/>
  <c r="B49" i="72" s="1"/>
  <c r="D4" i="52"/>
  <c r="B47" i="72" s="1"/>
  <c r="L68" i="9" l="1"/>
  <c r="M68" i="9" s="1"/>
  <c r="C79" i="9"/>
  <c r="C80" i="9" s="1"/>
  <c r="E80" i="9" s="1"/>
  <c r="E81" i="9" s="1"/>
  <c r="L63" i="9"/>
  <c r="M63" i="9" s="1"/>
  <c r="D59" i="9"/>
  <c r="M55" i="9" s="1"/>
  <c r="B30" i="72"/>
  <c r="L66" i="9"/>
  <c r="M66" i="9" s="1"/>
  <c r="L65" i="9"/>
  <c r="M65" i="9" s="1"/>
  <c r="D8" i="52"/>
  <c r="L67" i="9"/>
  <c r="M67" i="9" s="1"/>
  <c r="C6" i="74"/>
  <c r="C96" i="9"/>
  <c r="E96" i="9" s="1"/>
  <c r="E97" i="9" s="1"/>
  <c r="M69" i="9" l="1"/>
  <c r="N69" i="9" s="1"/>
  <c r="C97" i="9"/>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<sst xmlns="http://schemas.openxmlformats.org/spreadsheetml/2006/main" count="9290" uniqueCount="3484">
  <si>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</si>
  <si>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</si>
  <si>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</si>
  <si>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</si>
  <si>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</si>
  <si>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</si>
  <si>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</si>
  <si>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</si>
  <si>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</si>
  <si>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</si>
  <si>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</si>
  <si>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</si>
  <si>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</si>
  <si>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</si>
  <si>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</si>
  <si>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</si>
  <si>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</si>
  <si>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</si>
  <si>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</si>
  <si>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</si>
  <si>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</si>
  <si>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</si>
  <si>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</si>
  <si>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</si>
  <si>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</si>
  <si>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</si>
  <si>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</si>
  <si>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</si>
  <si>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</si>
  <si>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</si>
  <si>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</si>
  <si>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</si>
  <si>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</si>
  <si>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</si>
  <si>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</si>
  <si>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</si>
  <si>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</si>
  <si>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</si>
  <si>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</si>
  <si>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</si>
  <si>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</si>
  <si>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</si>
  <si>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</si>
  <si>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</si>
  <si>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</si>
  <si>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</si>
  <si>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</si>
  <si>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</si>
  <si>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</si>
  <si>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</si>
  <si>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</si>
  <si>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</si>
  <si>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</si>
  <si>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</si>
  <si>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</si>
  <si>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</si>
  <si>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</si>
  <si>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</si>
  <si>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</si>
  <si>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</si>
  <si>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</si>
  <si>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</si>
  <si>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</si>
  <si>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</si>
  <si>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</si>
  <si>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</si>
  <si>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</si>
  <si>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</si>
  <si>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</si>
  <si>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</si>
  <si>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</si>
  <si>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</si>
  <si>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</si>
  <si>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</si>
  <si>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</si>
  <si>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</si>
  <si>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</si>
  <si>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</si>
  <si>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</si>
  <si>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</si>
  <si>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</si>
  <si>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</si>
  <si>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</si>
  <si>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</si>
  <si>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</si>
  <si>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</si>
  <si>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</si>
  <si>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</si>
  <si>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</si>
  <si>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</si>
  <si>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</si>
  <si>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</si>
  <si>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</si>
  <si>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</si>
  <si>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</si>
  <si>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</si>
  <si>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</si>
  <si>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</si>
  <si>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</si>
  <si>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</si>
  <si>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</si>
  <si>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</si>
  <si>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</si>
  <si>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</si>
  <si>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</si>
  <si>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</si>
  <si>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</si>
  <si>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</si>
  <si>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</si>
  <si>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</si>
  <si>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</si>
  <si>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</si>
  <si>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</si>
  <si>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</si>
  <si>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</si>
  <si>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</si>
  <si>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</si>
  <si>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</si>
  <si>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</si>
  <si>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</si>
  <si>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</si>
  <si>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</si>
  <si>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</si>
  <si>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</si>
  <si>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</si>
  <si>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</si>
  <si>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</si>
  <si>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</si>
  <si>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</si>
  <si>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</si>
  <si>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</si>
  <si>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</si>
  <si>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</si>
  <si>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</si>
  <si>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</si>
  <si>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</si>
  <si>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</si>
  <si>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</si>
  <si>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</si>
  <si>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</si>
  <si>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</si>
  <si>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</si>
  <si>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</si>
  <si>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</si>
  <si>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</si>
  <si>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</si>
  <si>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</si>
  <si>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</si>
  <si>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</si>
  <si>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</si>
  <si>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</si>
  <si>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</si>
  <si>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</si>
  <si>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</si>
  <si>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</si>
  <si>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</si>
  <si>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</si>
  <si>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</si>
  <si>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</si>
  <si>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</si>
  <si>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</si>
  <si>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</si>
  <si>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</si>
  <si>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</si>
  <si>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</si>
  <si>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</si>
  <si>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</si>
  <si>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</si>
  <si>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</si>
  <si>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</si>
  <si>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</si>
  <si>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</si>
  <si>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</si>
  <si>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</si>
  <si>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</si>
  <si>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</si>
  <si>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</si>
  <si>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</si>
  <si>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</si>
  <si>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</si>
  <si>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</si>
  <si>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</si>
  <si>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</si>
  <si>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</si>
  <si>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</si>
  <si>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</si>
  <si>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</si>
  <si>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</si>
  <si>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</si>
  <si>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</si>
  <si>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</si>
  <si>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</si>
  <si>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</si>
  <si>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</si>
  <si>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</si>
  <si>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</si>
  <si>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</si>
  <si>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</si>
  <si>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</si>
  <si>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</si>
  <si>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</si>
  <si>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</si>
  <si>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</si>
  <si>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</si>
  <si>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</si>
  <si>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</si>
  <si>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</si>
  <si>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</si>
  <si>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</si>
  <si>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</si>
  <si>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</si>
  <si>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</si>
  <si>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</si>
  <si>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</si>
  <si>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</si>
  <si>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</si>
  <si>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</si>
  <si>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</si>
  <si>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</si>
  <si>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</si>
  <si>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</si>
  <si>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</si>
  <si>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</si>
  <si>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</si>
  <si>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</si>
  <si>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</si>
  <si>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</si>
  <si>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</si>
  <si>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</si>
  <si>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</si>
  <si>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</si>
  <si>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</si>
  <si>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</si>
  <si>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</si>
  <si>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</si>
  <si>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</si>
  <si>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</si>
  <si>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</si>
  <si>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</si>
  <si>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</si>
  <si>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</si>
  <si>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</si>
  <si>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</si>
  <si>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</si>
  <si>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</si>
  <si>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</si>
  <si>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</si>
  <si>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</si>
  <si>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</si>
  <si>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</si>
  <si>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</si>
  <si>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</si>
  <si>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</si>
  <si>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</si>
  <si>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</si>
  <si>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</si>
  <si>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</si>
  <si>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</si>
  <si>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</si>
  <si>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</si>
  <si>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</si>
  <si>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</si>
  <si>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</si>
  <si>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</si>
  <si>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</si>
  <si>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</si>
  <si>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</si>
  <si>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</si>
  <si>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</si>
  <si>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</si>
  <si>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</si>
  <si>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</si>
  <si>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</si>
  <si>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</si>
  <si>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</si>
  <si>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</si>
  <si>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</si>
  <si>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</si>
  <si>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</si>
  <si>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</si>
  <si>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</si>
  <si>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</si>
  <si>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</si>
  <si>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</si>
  <si>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</si>
  <si>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</si>
  <si>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</si>
  <si>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</si>
  <si>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</si>
  <si>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</si>
  <si>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</si>
  <si>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</si>
  <si>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</si>
  <si>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</si>
  <si>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</si>
  <si>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</si>
  <si>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</si>
  <si>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</si>
  <si>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</si>
  <si>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</si>
  <si>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</si>
  <si>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</si>
  <si>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</si>
  <si>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</si>
  <si>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</si>
  <si>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</si>
  <si>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</si>
  <si>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</si>
  <si>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</si>
  <si>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</si>
  <si>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</si>
  <si>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</si>
  <si>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</si>
  <si>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</si>
  <si>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</si>
  <si>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</si>
  <si>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</si>
  <si>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</si>
  <si>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</si>
  <si>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</si>
  <si>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</si>
  <si>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</si>
  <si>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</si>
  <si>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</si>
  <si>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</si>
  <si>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</si>
  <si>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</si>
  <si>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</si>
  <si>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</si>
  <si>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</si>
  <si>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</si>
  <si>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</si>
  <si>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</si>
  <si>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</si>
  <si>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</si>
  <si>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</si>
  <si>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</si>
  <si>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</si>
  <si>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</si>
  <si>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</si>
  <si>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</si>
  <si>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</si>
  <si>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</si>
  <si>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</si>
  <si>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</si>
  <si>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</si>
  <si>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</si>
  <si>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</si>
  <si>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</si>
  <si>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</si>
  <si>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</si>
  <si>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</si>
  <si>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</si>
  <si>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</si>
  <si>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</si>
  <si>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</si>
  <si>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</si>
  <si>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</si>
  <si>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</si>
  <si>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</si>
  <si>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</si>
  <si>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</si>
  <si>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</si>
  <si>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</si>
  <si>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</si>
  <si>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</si>
  <si>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</si>
  <si>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</si>
  <si>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</si>
  <si>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</si>
  <si>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</si>
  <si>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</si>
  <si>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</si>
  <si>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</si>
  <si>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</si>
  <si>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</si>
  <si>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</si>
  <si>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</si>
  <si>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</si>
  <si>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</si>
  <si>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</si>
  <si>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</si>
  <si>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</si>
  <si>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</si>
  <si>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</si>
  <si>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</si>
  <si>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</si>
  <si>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</si>
  <si>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</si>
  <si>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</si>
  <si>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</si>
  <si>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</si>
  <si>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</si>
  <si>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</si>
  <si>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</si>
  <si>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</si>
  <si>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</si>
  <si>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</si>
  <si>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</si>
  <si>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</si>
  <si>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</si>
  <si>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</si>
  <si>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</si>
  <si>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</si>
  <si>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</si>
  <si>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</si>
  <si>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</si>
  <si>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</si>
  <si>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</si>
  <si>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</si>
  <si>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</si>
  <si>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</si>
  <si>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</si>
  <si>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</si>
  <si>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</si>
  <si>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</si>
  <si>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</si>
  <si>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</si>
  <si>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</si>
  <si>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</si>
  <si>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</si>
  <si>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</si>
  <si>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</si>
  <si>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</si>
  <si>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</si>
  <si>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</si>
  <si>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</si>
  <si>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</si>
  <si>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</si>
  <si>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</si>
  <si>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</si>
  <si>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</si>
  <si>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</si>
  <si>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</si>
  <si>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</si>
  <si>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</si>
  <si>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</si>
  <si>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</si>
  <si>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</si>
  <si>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</si>
  <si>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</si>
  <si>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</si>
  <si>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</si>
  <si>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</si>
  <si>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</si>
  <si>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</si>
  <si>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</si>
  <si>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</si>
  <si>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</si>
  <si>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</si>
  <si>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</si>
  <si>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</si>
  <si>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</si>
  <si>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</si>
  <si>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</si>
  <si>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</si>
  <si>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</si>
  <si>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</si>
  <si>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</si>
  <si>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</si>
  <si>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</si>
  <si>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</si>
  <si>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</si>
  <si>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</si>
  <si>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</si>
  <si>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</si>
  <si>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</si>
  <si>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</si>
  <si>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</si>
  <si>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</si>
  <si>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</si>
  <si>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</si>
  <si>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</si>
  <si>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</si>
  <si>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</si>
  <si>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</si>
  <si>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</si>
  <si>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</si>
  <si>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</si>
  <si>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</si>
  <si>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</si>
  <si>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</si>
  <si>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</si>
  <si>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</si>
  <si>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</si>
  <si>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</si>
  <si>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</si>
  <si>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</si>
  <si>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</si>
  <si>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</si>
  <si>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</si>
  <si>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</si>
  <si>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</si>
  <si>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</si>
  <si>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</si>
  <si>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</si>
  <si>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</si>
  <si>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</si>
  <si>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</si>
  <si>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</si>
  <si>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</si>
  <si>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</si>
  <si>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</si>
  <si>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</si>
  <si>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</si>
  <si>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</si>
  <si>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</si>
  <si>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</si>
  <si>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</si>
  <si>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</si>
  <si>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</si>
  <si>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</si>
  <si>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</si>
  <si>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</si>
  <si>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</si>
  <si>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</si>
  <si>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</si>
  <si>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</si>
  <si>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</si>
  <si>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</si>
  <si>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</si>
  <si>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</si>
  <si>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</si>
  <si>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</si>
  <si>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</si>
  <si>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</si>
  <si>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</si>
  <si>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</si>
  <si>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</si>
  <si>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</si>
  <si>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</si>
  <si>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</si>
  <si>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</si>
  <si>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</si>
  <si>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</si>
  <si>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</si>
  <si>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</si>
  <si>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</si>
  <si>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</si>
  <si>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</si>
  <si>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</si>
  <si>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</si>
  <si>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</si>
  <si>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</si>
  <si>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</si>
  <si>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</si>
  <si>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</si>
  <si>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</si>
  <si>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</si>
  <si>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</si>
  <si>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</si>
  <si>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</si>
  <si>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</si>
  <si>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</si>
  <si>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</si>
  <si>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</si>
  <si>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</si>
  <si>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</si>
  <si>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</si>
  <si>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</si>
  <si>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</si>
  <si>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</si>
  <si>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</si>
  <si>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</si>
  <si>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</si>
  <si>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</si>
  <si>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</si>
  <si>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</si>
  <si>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</si>
  <si>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</si>
  <si>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</si>
  <si>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</si>
  <si>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</si>
  <si>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</si>
  <si>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</si>
  <si>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</si>
  <si>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</si>
  <si>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</si>
  <si>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</si>
  <si>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</si>
  <si>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</si>
  <si>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</si>
  <si>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</si>
  <si>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</si>
  <si>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</si>
  <si>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</si>
  <si>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</si>
  <si>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</si>
  <si>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</si>
  <si>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</si>
  <si>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</si>
  <si>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</si>
  <si>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</si>
  <si>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</si>
  <si>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</si>
  <si>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</si>
  <si>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</si>
  <si>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</si>
  <si>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</si>
  <si>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</si>
  <si>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</si>
  <si>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</si>
  <si>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</si>
  <si>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</si>
  <si>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</si>
  <si>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</si>
  <si>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</si>
  <si>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</si>
  <si>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</si>
  <si>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</si>
  <si>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</si>
  <si>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</si>
  <si>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</si>
  <si>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</si>
  <si>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</si>
  <si>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</si>
  <si>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</si>
  <si>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</si>
  <si>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</si>
  <si>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</si>
  <si>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</si>
  <si>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</si>
  <si>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</si>
  <si>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</si>
  <si>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</si>
  <si>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</si>
  <si>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</si>
  <si>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</si>
  <si>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</si>
  <si>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</si>
  <si>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</si>
  <si>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</si>
  <si>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</si>
  <si>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</si>
  <si>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</si>
  <si>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</si>
  <si>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</si>
  <si>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</si>
  <si>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</si>
  <si>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</si>
  <si>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</si>
  <si>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</si>
  <si>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</si>
  <si>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</si>
  <si>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</si>
  <si>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</si>
  <si>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</si>
  <si>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</si>
  <si>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</si>
  <si>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</si>
  <si>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</si>
  <si>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</si>
  <si>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</si>
  <si>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</si>
  <si>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</si>
  <si>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</si>
  <si>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</si>
  <si>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</si>
  <si>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</si>
  <si>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</si>
  <si>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</si>
  <si>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</si>
  <si>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</si>
  <si>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</si>
  <si>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</si>
  <si>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</si>
  <si>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</si>
  <si>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</si>
  <si>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</si>
  <si>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</si>
  <si>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</si>
  <si>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</si>
  <si>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</si>
  <si>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</si>
  <si>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</si>
  <si>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</si>
  <si>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</si>
  <si>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</si>
  <si>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</si>
  <si>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</si>
  <si>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</si>
  <si>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</si>
  <si>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</si>
  <si>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</si>
  <si>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</si>
  <si>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</si>
  <si>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</si>
  <si>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</si>
  <si>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</si>
  <si>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</si>
  <si>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</si>
  <si>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</si>
  <si>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</si>
  <si>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</si>
  <si>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</si>
  <si>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</si>
  <si>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</si>
  <si>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</si>
  <si>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</si>
  <si>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</si>
  <si>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</si>
  <si>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</si>
  <si>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</si>
  <si>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</si>
  <si>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</si>
  <si>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</si>
  <si>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</si>
  <si>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</si>
  <si>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</si>
  <si>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</si>
  <si>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</si>
  <si>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</si>
  <si>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</si>
  <si>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</si>
  <si>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</si>
  <si>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</si>
  <si>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</si>
  <si>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</si>
  <si>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</si>
  <si>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</si>
  <si>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</si>
  <si>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</si>
  <si>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</si>
  <si>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</si>
  <si>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</si>
  <si>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</si>
  <si>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</si>
  <si>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</si>
  <si>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</si>
  <si>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</si>
  <si>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</si>
  <si>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</si>
  <si>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</si>
  <si>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</si>
  <si>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</si>
  <si>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</si>
  <si>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</si>
  <si>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</si>
  <si>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</si>
  <si>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</si>
  <si>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</si>
  <si>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</si>
  <si>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</si>
  <si>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</si>
  <si>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</si>
  <si>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</si>
  <si>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</si>
  <si>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</si>
  <si>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</si>
  <si>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</si>
  <si>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</si>
  <si>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</si>
  <si>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</si>
  <si>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</si>
  <si>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</si>
  <si>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</si>
  <si>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</si>
  <si>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</si>
  <si>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</si>
  <si>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</si>
  <si>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</si>
  <si>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</si>
  <si>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</si>
  <si>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</si>
  <si>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</si>
  <si>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</si>
  <si>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</si>
  <si>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</si>
  <si>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</si>
  <si>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</si>
  <si>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</si>
  <si>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</si>
  <si>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</si>
  <si>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</si>
  <si>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</si>
  <si>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</si>
  <si>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</si>
  <si>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</si>
  <si>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</si>
  <si>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</si>
  <si>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</si>
  <si>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</si>
  <si>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</si>
  <si>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</si>
  <si>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</si>
  <si>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</si>
  <si>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</si>
  <si>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</si>
  <si>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</si>
  <si>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</si>
  <si>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</si>
  <si>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</si>
  <si>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</si>
  <si>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</si>
  <si>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</si>
  <si>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</si>
  <si>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</si>
  <si>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</si>
  <si>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</si>
  <si>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</si>
  <si>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</si>
  <si>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</si>
  <si>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</si>
  <si>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</si>
  <si>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</si>
  <si>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</si>
  <si>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</si>
  <si>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</si>
  <si>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</si>
  <si>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</si>
  <si>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</si>
  <si>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</si>
  <si>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</si>
  <si>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</si>
  <si>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</si>
  <si>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</si>
  <si>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</si>
  <si>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</si>
  <si>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</si>
  <si>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</si>
  <si>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</si>
  <si>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</si>
  <si>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</si>
  <si>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</si>
  <si>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</si>
  <si>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</si>
  <si>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</si>
  <si>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</si>
  <si>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</si>
  <si>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</si>
  <si>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</si>
  <si>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</si>
  <si>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</si>
  <si>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</si>
  <si>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</si>
  <si>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</si>
  <si>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</si>
  <si>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</si>
  <si>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</si>
  <si>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</si>
  <si>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</si>
  <si>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</si>
  <si>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</si>
  <si>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</si>
  <si>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</si>
  <si>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</si>
  <si>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</si>
  <si>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</si>
  <si>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</si>
  <si>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</si>
  <si>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</si>
  <si>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</si>
  <si>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</si>
  <si>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</si>
  <si>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</si>
  <si>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</si>
  <si>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</si>
  <si>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</si>
  <si>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</si>
  <si>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</si>
  <si>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</si>
  <si>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</si>
  <si>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</si>
  <si>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</si>
  <si>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</si>
  <si>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</si>
  <si>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</si>
  <si>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</si>
  <si>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</si>
  <si>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</si>
  <si>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</si>
  <si>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</si>
  <si>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</si>
  <si>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</si>
  <si>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</si>
  <si>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</si>
  <si>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</si>
  <si>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</si>
  <si>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</si>
  <si>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</si>
  <si>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</si>
  <si>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</si>
  <si>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</si>
  <si>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</si>
  <si>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</si>
  <si>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</si>
  <si>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</si>
  <si>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</si>
  <si>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</si>
  <si>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</si>
  <si>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</si>
  <si>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</si>
  <si>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</si>
  <si>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</si>
  <si>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</si>
  <si>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</si>
  <si>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</si>
  <si>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</si>
  <si>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</si>
  <si>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</si>
  <si>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</si>
  <si>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</si>
  <si>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</si>
  <si>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</si>
  <si>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</si>
  <si>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</si>
  <si>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</si>
  <si>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</si>
  <si>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</si>
  <si>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</si>
  <si>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</si>
  <si>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</si>
  <si>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</si>
  <si>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</si>
  <si>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</si>
  <si>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</si>
  <si>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</si>
  <si>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</si>
  <si>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</si>
  <si>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</si>
  <si>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</si>
  <si>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</si>
  <si>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</si>
  <si>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</si>
  <si>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</si>
  <si>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</si>
  <si>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</si>
  <si>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</si>
  <si>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</si>
  <si>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</si>
  <si>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</si>
  <si>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</si>
  <si>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</si>
  <si>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</si>
  <si>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</si>
  <si>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</si>
  <si>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</si>
  <si>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</si>
  <si>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</si>
  <si>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</si>
  <si>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</si>
  <si>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</si>
  <si>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</si>
  <si>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</si>
  <si>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</si>
  <si>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</si>
  <si>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</si>
  <si>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</si>
  <si>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</si>
  <si>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</si>
  <si>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</si>
  <si>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</si>
  <si>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</si>
  <si>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</si>
  <si>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</si>
  <si>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</si>
  <si>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</si>
  <si>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</si>
  <si>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</si>
  <si>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</si>
  <si>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</si>
  <si>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</si>
  <si>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</si>
  <si>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</si>
  <si>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</si>
  <si>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</si>
  <si>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</si>
  <si>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</si>
  <si>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</si>
  <si>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</si>
  <si>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</si>
  <si>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</si>
  <si>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</si>
  <si>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</si>
  <si>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</si>
  <si>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</si>
  <si>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</si>
  <si>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</si>
  <si>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</si>
  <si>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</si>
  <si>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</si>
  <si>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</si>
  <si>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</si>
  <si>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</si>
  <si>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</si>
  <si>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</si>
  <si>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</si>
  <si>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</si>
  <si>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</si>
  <si>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</si>
  <si>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</si>
  <si>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</si>
  <si>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</si>
  <si>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</si>
  <si>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</si>
  <si>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</si>
  <si>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</si>
  <si>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</si>
  <si>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</si>
  <si>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</si>
  <si>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</si>
  <si>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</si>
  <si>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</si>
  <si>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</si>
  <si>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</si>
  <si>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</si>
  <si>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</si>
  <si>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</si>
  <si>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</si>
  <si>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</si>
  <si>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</si>
  <si>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</si>
  <si>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</si>
  <si>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</si>
  <si>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</si>
  <si>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</si>
  <si>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</si>
  <si>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</si>
  <si>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</si>
  <si>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</si>
  <si>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</si>
  <si>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</si>
  <si>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</si>
  <si>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</si>
  <si>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</si>
  <si>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</si>
  <si>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</si>
  <si>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</si>
  <si>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</si>
  <si>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</si>
  <si>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</si>
  <si>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</si>
  <si>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</si>
  <si>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</si>
  <si>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</si>
  <si>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</si>
  <si>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</si>
  <si>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</si>
  <si>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</si>
  <si>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</si>
  <si>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</si>
  <si>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</si>
  <si>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</si>
  <si>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</si>
  <si>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</si>
  <si>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</si>
  <si>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</si>
  <si>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</si>
  <si>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</si>
  <si>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</si>
  <si>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</si>
  <si>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</si>
  <si>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</si>
  <si>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</si>
  <si>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</si>
  <si>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</si>
  <si>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</si>
  <si>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</si>
  <si>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</si>
  <si>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</si>
  <si>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</si>
  <si>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</si>
  <si>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</si>
  <si>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</si>
  <si>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</si>
  <si>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</si>
  <si>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</si>
  <si>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</si>
  <si>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</si>
  <si>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</si>
  <si>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</si>
  <si>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</si>
  <si>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</si>
  <si>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</si>
  <si>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</si>
  <si>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</si>
  <si>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</si>
  <si>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</si>
  <si>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</si>
  <si>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</si>
  <si>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</si>
  <si>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</si>
  <si>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</si>
  <si>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</si>
  <si>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</si>
  <si>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</si>
  <si>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</si>
  <si>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</si>
  <si>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</si>
  <si>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</si>
  <si>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</si>
  <si>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</si>
  <si>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</si>
  <si>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</si>
  <si>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</si>
  <si>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</si>
  <si>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</si>
  <si>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</si>
  <si>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</si>
  <si>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</si>
  <si>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</si>
  <si>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</si>
  <si>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</si>
  <si>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</si>
  <si>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</si>
  <si>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</si>
  <si>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</si>
  <si>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</si>
  <si>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</si>
  <si>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</si>
  <si>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</si>
  <si>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</si>
  <si>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</si>
  <si>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</si>
  <si>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</si>
  <si>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</si>
  <si>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</si>
  <si>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</si>
  <si>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</si>
  <si>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</si>
  <si>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</si>
  <si>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</si>
  <si>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</si>
  <si>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</si>
  <si>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</si>
  <si>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</si>
  <si>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</si>
  <si>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</si>
  <si>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</si>
  <si>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</si>
  <si>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</si>
  <si>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</si>
  <si>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</si>
  <si>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</si>
  <si>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</si>
  <si>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</si>
  <si>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</si>
  <si>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</si>
  <si>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</si>
  <si>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</si>
  <si>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</si>
  <si>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</si>
  <si>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</si>
  <si>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</si>
  <si>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</si>
  <si>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</si>
  <si>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</si>
  <si>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</si>
  <si>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</si>
  <si>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</si>
  <si>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</si>
  <si>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</si>
  <si>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</si>
  <si>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</si>
  <si>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</si>
  <si>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</si>
  <si>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</si>
  <si>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</si>
  <si>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</si>
  <si>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</si>
  <si>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</si>
  <si>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</si>
  <si>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</si>
  <si>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</si>
  <si>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</si>
  <si>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</si>
  <si>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</si>
  <si>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</si>
  <si>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</si>
  <si>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</si>
  <si>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</si>
  <si>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</si>
  <si>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</si>
  <si>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</si>
  <si>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</si>
  <si>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</si>
  <si>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</si>
  <si>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</si>
  <si>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</si>
  <si>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</si>
  <si>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</si>
  <si>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</si>
  <si>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</si>
  <si>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</si>
  <si>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</si>
  <si>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</si>
  <si>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</si>
  <si>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</si>
  <si>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</si>
  <si>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</si>
  <si>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</si>
  <si>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</si>
  <si>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</si>
  <si>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</si>
  <si>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</si>
  <si>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</si>
  <si>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</si>
  <si>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</si>
  <si>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</si>
  <si>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</si>
  <si>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</si>
  <si>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</si>
  <si>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</si>
  <si>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</si>
  <si>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</si>
  <si>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</si>
  <si>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</si>
  <si>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</si>
  <si>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</si>
  <si>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</si>
  <si>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</si>
  <si>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</si>
  <si>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</si>
  <si>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</si>
  <si>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</si>
  <si>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</si>
  <si>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</si>
  <si>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</si>
  <si>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</si>
  <si>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</si>
  <si>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</si>
  <si>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</si>
  <si>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</si>
  <si>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</si>
  <si>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</si>
  <si>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</si>
  <si>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</si>
  <si>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</si>
  <si>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</si>
  <si>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</si>
  <si>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</si>
  <si>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</si>
  <si>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</si>
  <si>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</si>
  <si>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</si>
  <si>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</si>
  <si>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</si>
  <si>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</si>
  <si>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</si>
  <si>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</si>
  <si>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</si>
  <si>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</si>
  <si>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</si>
  <si>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</si>
  <si>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</si>
  <si>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</si>
  <si>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</si>
  <si>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</si>
  <si>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</si>
  <si>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</si>
  <si>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</si>
  <si>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</si>
  <si>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</si>
  <si>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</si>
  <si>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</si>
  <si>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</si>
  <si>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</si>
  <si>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</si>
  <si>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</si>
  <si>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</si>
  <si>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</si>
  <si>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</si>
  <si>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</si>
  <si>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</si>
  <si>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</si>
  <si>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</si>
  <si>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</si>
  <si>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</si>
  <si>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</si>
  <si>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</si>
  <si>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</si>
  <si>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</si>
  <si>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</si>
  <si>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</si>
  <si>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</si>
  <si>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</si>
  <si>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</si>
  <si>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</si>
  <si>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</si>
  <si>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</si>
  <si>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</si>
  <si>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</si>
  <si>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</si>
  <si>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</si>
  <si>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</si>
  <si>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</si>
  <si>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</si>
  <si>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</si>
  <si>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</si>
  <si>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</si>
  <si>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</si>
  <si>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</si>
  <si>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</si>
  <si>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</si>
  <si>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</si>
  <si>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</si>
  <si>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</si>
  <si>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</si>
  <si>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</si>
  <si>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</si>
  <si>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</si>
  <si>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</si>
  <si>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</si>
  <si>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</si>
  <si>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</si>
  <si>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</si>
  <si>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</si>
  <si>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</si>
  <si>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</si>
  <si>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</si>
  <si>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</si>
  <si>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</si>
  <si>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</si>
  <si>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</si>
  <si>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</si>
  <si>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</si>
  <si>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</si>
  <si>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</si>
  <si>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</si>
  <si>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</si>
  <si>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</si>
  <si>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</si>
  <si>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</si>
  <si>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</si>
  <si>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</si>
  <si>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</si>
  <si>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</si>
  <si>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</si>
  <si>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</si>
  <si>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</si>
  <si>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</si>
  <si>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</si>
  <si>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</si>
  <si>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</si>
  <si>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</si>
  <si>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</si>
  <si>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</si>
  <si>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</si>
  <si>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</si>
  <si>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</si>
  <si>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</si>
  <si>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</si>
  <si>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</si>
  <si>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</si>
  <si>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</si>
  <si>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</si>
  <si>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</si>
  <si>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</si>
  <si>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</si>
  <si>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</si>
  <si>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</si>
  <si>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</si>
  <si>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</si>
  <si>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</si>
  <si>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</si>
  <si>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</si>
  <si>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</si>
  <si>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</si>
  <si>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</si>
  <si>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</si>
  <si>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</si>
  <si>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</si>
  <si>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</si>
  <si>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</si>
  <si>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</si>
  <si>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</si>
  <si>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</si>
  <si>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</si>
  <si>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</si>
  <si>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</si>
  <si>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</si>
  <si>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</si>
  <si>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</si>
  <si>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</si>
  <si>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</si>
  <si>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</si>
  <si>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</si>
  <si>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</si>
  <si>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</si>
  <si>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</si>
  <si>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</si>
  <si>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</si>
  <si>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</si>
  <si>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</si>
  <si>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</si>
  <si>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</si>
  <si>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</si>
  <si>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</si>
  <si>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</si>
  <si>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</si>
  <si>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</si>
  <si>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</si>
  <si>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</si>
  <si>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</si>
  <si>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</si>
  <si>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</si>
  <si>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</si>
  <si>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</si>
  <si>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</si>
  <si>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</si>
  <si>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</si>
  <si>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</si>
  <si>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</si>
  <si>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</si>
  <si>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</si>
  <si>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</si>
  <si>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</si>
  <si>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</si>
  <si>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</si>
  <si>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</si>
  <si>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</si>
  <si>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</si>
  <si>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</si>
  <si>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</si>
  <si>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</si>
  <si>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</si>
  <si>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</si>
  <si>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</si>
  <si>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</si>
  <si>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</si>
  <si>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</si>
  <si>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</si>
  <si>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</si>
  <si>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</si>
  <si>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</si>
  <si>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</si>
  <si>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</si>
  <si>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</si>
  <si>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</si>
  <si>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</si>
  <si>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</si>
  <si>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</si>
  <si>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</si>
  <si>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</si>
  <si>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</si>
  <si>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</si>
  <si>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</si>
  <si>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</si>
  <si>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</si>
  <si>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</si>
  <si>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</si>
  <si>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</si>
  <si>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</si>
  <si>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</si>
  <si>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</si>
  <si>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</si>
  <si>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</si>
  <si>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</si>
  <si>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</si>
  <si>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</si>
  <si>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</si>
  <si>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</si>
  <si>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</si>
  <si>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</si>
  <si>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</si>
  <si>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</si>
  <si>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</si>
  <si>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</si>
  <si>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</si>
  <si>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</si>
  <si>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</si>
  <si>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</si>
  <si>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</si>
  <si>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</si>
  <si>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</si>
  <si>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</si>
  <si>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</si>
  <si>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</si>
  <si>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</si>
  <si>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</si>
  <si>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</si>
  <si>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</si>
  <si>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</si>
  <si>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</si>
  <si>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</si>
  <si>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</si>
  <si>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</si>
  <si>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</si>
  <si>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</si>
  <si>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</si>
  <si>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</si>
  <si>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</si>
  <si>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</si>
  <si>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</si>
  <si>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</si>
  <si>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</si>
  <si>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</si>
  <si>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</si>
  <si>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</si>
  <si>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</si>
  <si>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</si>
  <si>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</si>
  <si>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</si>
  <si>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</si>
  <si>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</si>
  <si>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</si>
  <si>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</si>
  <si>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</si>
  <si>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</si>
  <si>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</si>
  <si>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</si>
  <si>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</si>
  <si>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</si>
  <si>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</si>
  <si>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</si>
  <si>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</si>
  <si>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</si>
  <si>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</si>
  <si>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</si>
  <si>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</si>
  <si>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</si>
  <si>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</si>
  <si>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</si>
  <si>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</si>
  <si>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</si>
  <si>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</si>
  <si>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</si>
  <si>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</si>
  <si>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</si>
  <si>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</si>
  <si>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</si>
  <si>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</si>
  <si>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</si>
  <si>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</si>
  <si>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</si>
  <si>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</si>
  <si>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</si>
  <si>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</si>
  <si>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</si>
  <si>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</si>
  <si>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</si>
  <si>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</si>
  <si>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</si>
  <si>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</si>
  <si>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</si>
  <si>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</si>
  <si>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</si>
  <si>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</si>
  <si>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</si>
  <si>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</si>
  <si>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</si>
  <si>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</si>
  <si>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</si>
  <si>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</si>
  <si>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</si>
  <si>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</si>
  <si>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</si>
  <si>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</si>
  <si>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</si>
  <si>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</si>
  <si>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</si>
  <si>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</si>
  <si>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</si>
  <si>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</si>
  <si>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</si>
  <si>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</si>
  <si>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</si>
  <si>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</si>
  <si>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</si>
  <si>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</si>
  <si>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</si>
  <si>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</si>
  <si>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</si>
  <si>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</si>
  <si>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</si>
  <si>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</si>
  <si>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</si>
  <si>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</si>
  <si>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</si>
  <si>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</si>
  <si>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</si>
  <si>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</si>
  <si>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</si>
  <si>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</si>
  <si>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</si>
  <si>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</si>
  <si>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</si>
  <si>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</si>
  <si>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</si>
  <si>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</si>
  <si>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</si>
  <si>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</si>
  <si>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</si>
  <si>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</si>
  <si>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</si>
  <si>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</si>
  <si>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</si>
  <si>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</si>
  <si>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</si>
  <si>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</si>
  <si>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</si>
  <si>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</si>
  <si>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</si>
  <si>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</si>
  <si>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</si>
  <si>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</si>
  <si>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</si>
  <si>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</si>
  <si>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</si>
  <si>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</si>
  <si>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</si>
  <si>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</si>
  <si>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</si>
  <si>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</si>
  <si>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</si>
  <si>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</si>
  <si>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</si>
  <si>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</si>
  <si>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</si>
  <si>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</si>
  <si>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</si>
  <si>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</si>
  <si>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</si>
  <si>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</si>
  <si>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</si>
  <si>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</si>
  <si>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</si>
  <si>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</si>
  <si>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</si>
  <si>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</si>
  <si>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</si>
  <si>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</si>
  <si>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</si>
  <si>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</si>
  <si>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</si>
  <si>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</si>
  <si>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</si>
  <si>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</si>
  <si>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</si>
  <si>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</si>
  <si>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</si>
  <si>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</si>
  <si>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</si>
  <si>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</si>
  <si>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</si>
  <si>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</si>
  <si>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</si>
  <si>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</si>
  <si>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</si>
  <si>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</si>
  <si>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</si>
  <si>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</si>
  <si>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</si>
  <si>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</si>
  <si>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</si>
  <si>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</si>
  <si>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</si>
  <si>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</si>
  <si>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</si>
  <si>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</si>
  <si>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</si>
  <si>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</si>
  <si>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</si>
  <si>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</si>
  <si>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</si>
  <si>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</si>
  <si>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</si>
  <si>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</si>
  <si>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</si>
  <si>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</si>
  <si>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</si>
  <si>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</si>
  <si>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</si>
  <si>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</si>
  <si>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</si>
  <si>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</si>
  <si>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</si>
  <si>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</si>
  <si>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</si>
  <si>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</si>
  <si>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</si>
  <si>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</si>
  <si>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</si>
  <si>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</si>
  <si>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</si>
  <si>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</si>
  <si>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</si>
  <si>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</si>
  <si>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</si>
  <si>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</si>
  <si>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</si>
  <si>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</si>
  <si>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</si>
  <si>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</si>
  <si>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</si>
  <si>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</si>
  <si>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</si>
  <si>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</si>
  <si>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</si>
  <si>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</si>
  <si>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</si>
  <si>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</si>
  <si>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</si>
  <si>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</si>
  <si>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</si>
  <si>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</si>
  <si>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</si>
  <si>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</si>
  <si>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</si>
  <si>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</si>
  <si>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</si>
  <si>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</si>
  <si>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</si>
  <si>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</si>
  <si>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</si>
  <si>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</si>
  <si>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</si>
  <si>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</si>
  <si>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</si>
  <si>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</si>
  <si>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</si>
  <si>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</si>
  <si>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</si>
  <si>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</si>
  <si>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</si>
  <si>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</si>
  <si>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</si>
  <si>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</si>
  <si>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</si>
  <si>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</si>
  <si>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</si>
  <si>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</si>
  <si>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</si>
  <si>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</si>
  <si>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</si>
  <si>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</si>
  <si>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</si>
  <si>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</si>
  <si>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</si>
  <si>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</si>
  <si>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</si>
  <si>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</si>
  <si>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</si>
  <si>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</si>
  <si>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</si>
  <si>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</si>
  <si>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</si>
  <si>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</si>
  <si>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</si>
  <si>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</si>
  <si>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</si>
  <si>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</si>
  <si>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</si>
  <si>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</si>
  <si>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</si>
  <si>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</si>
  <si>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</si>
  <si>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</si>
  <si>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</si>
  <si>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</si>
  <si>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</si>
  <si>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</si>
  <si>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</si>
  <si>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</si>
  <si>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</si>
  <si>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</si>
  <si>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</si>
  <si>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</si>
  <si>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</si>
  <si>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</si>
  <si>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</si>
  <si>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</si>
  <si>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</si>
  <si>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</si>
  <si>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</si>
  <si>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</si>
  <si>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</si>
  <si>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</si>
  <si>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</si>
  <si>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</si>
  <si>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</si>
  <si>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</si>
  <si>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</si>
  <si>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</si>
  <si>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</si>
  <si>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</si>
  <si>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</si>
  <si>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</si>
  <si>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</si>
  <si>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</si>
  <si>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</si>
  <si>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</si>
  <si>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</si>
  <si>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</si>
  <si>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</si>
  <si>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</si>
  <si>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</si>
  <si>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</si>
  <si>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</si>
  <si>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</si>
  <si>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</si>
  <si>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</si>
  <si>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</si>
  <si>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</si>
  <si>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</si>
  <si>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</si>
  <si>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</si>
  <si>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</si>
  <si>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</si>
  <si>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</si>
  <si>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</si>
  <si>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</si>
  <si>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</si>
  <si>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</si>
  <si>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</si>
  <si>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</si>
  <si>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</si>
  <si>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</si>
  <si>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</si>
  <si>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</si>
  <si>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</si>
  <si>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</si>
  <si>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</si>
  <si>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</si>
  <si>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</si>
  <si>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</si>
  <si>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</si>
  <si>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</si>
  <si>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</si>
  <si>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</si>
  <si>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</si>
  <si>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</si>
  <si>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</si>
  <si>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</si>
  <si>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</si>
  <si>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</si>
  <si>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</si>
  <si>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</si>
  <si>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</si>
  <si>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</si>
  <si>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</si>
  <si>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</si>
  <si>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</si>
  <si>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</si>
  <si>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</si>
  <si>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</si>
  <si>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</si>
  <si>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</si>
  <si>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</si>
  <si>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</si>
  <si>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</si>
  <si>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</si>
  <si>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</si>
  <si>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</si>
  <si>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</si>
  <si>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</si>
  <si>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</si>
  <si>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</si>
  <si>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</si>
  <si>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</si>
  <si>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</si>
  <si>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</si>
  <si>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</si>
  <si>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</si>
  <si>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</si>
  <si>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</si>
  <si>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</si>
  <si>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</si>
  <si>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</si>
  <si>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</si>
  <si>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</si>
  <si>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</si>
  <si>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</si>
  <si>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</si>
  <si>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</si>
  <si>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</si>
  <si>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</si>
  <si>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</si>
  <si>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</si>
  <si>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</si>
  <si>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</si>
  <si>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</si>
  <si>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</si>
  <si>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</si>
  <si>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</si>
  <si>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</si>
  <si>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</si>
  <si>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</si>
  <si>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</si>
  <si>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</si>
  <si>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</si>
  <si>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</si>
  <si>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</si>
  <si>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</si>
  <si>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</si>
  <si>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</si>
  <si>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</si>
  <si>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</si>
  <si>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</si>
  <si>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</si>
  <si>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</si>
  <si>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</si>
  <si>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</si>
  <si>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</si>
  <si>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</si>
  <si>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</si>
  <si>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</si>
  <si>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</si>
  <si>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</si>
  <si>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</si>
  <si>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</si>
  <si>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</si>
  <si>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</si>
  <si>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</si>
  <si>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</si>
  <si>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</si>
  <si>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</si>
  <si>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</si>
  <si>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</si>
  <si>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</si>
  <si>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</si>
  <si>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</si>
  <si>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</si>
  <si>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</si>
  <si>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</si>
  <si>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</si>
  <si>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</si>
  <si>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</si>
  <si>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</si>
  <si>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</si>
  <si>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</si>
  <si>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</si>
  <si>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</si>
  <si>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</si>
  <si>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</si>
  <si>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</si>
  <si>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</si>
  <si>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</si>
  <si>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</si>
  <si>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</si>
  <si>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</si>
  <si>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</si>
  <si>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</si>
  <si>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</si>
  <si>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</si>
  <si>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</si>
  <si>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</si>
  <si>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</si>
  <si>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</si>
  <si>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</si>
  <si>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</si>
  <si>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</si>
  <si>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</si>
  <si>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</si>
  <si>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</si>
  <si>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</si>
  <si>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</si>
  <si>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</si>
  <si>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</si>
  <si>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</si>
  <si>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</si>
  <si>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</si>
  <si>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</si>
  <si>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</si>
  <si>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</si>
  <si>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</si>
  <si>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</si>
  <si>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</si>
  <si>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</si>
  <si>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</si>
  <si>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</si>
  <si>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</si>
  <si>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</si>
  <si>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</si>
  <si>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</si>
  <si>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</si>
  <si>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</si>
  <si>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</si>
  <si>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</si>
  <si>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</si>
  <si>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</si>
  <si>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</si>
  <si>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</si>
  <si>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</si>
  <si>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</si>
  <si>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</si>
  <si>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</si>
  <si>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</si>
  <si>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</si>
  <si>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</si>
  <si>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</si>
  <si>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</si>
  <si>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</si>
  <si>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</si>
  <si>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</si>
  <si>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</si>
  <si>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</si>
  <si>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</si>
  <si>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</si>
  <si>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</si>
  <si>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</si>
  <si>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</si>
  <si>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</si>
  <si>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</si>
  <si>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</si>
  <si>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</si>
  <si>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</si>
  <si>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</si>
  <si>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</si>
  <si>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</si>
  <si>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</si>
  <si>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</si>
  <si>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</si>
  <si>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</si>
  <si>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</si>
  <si>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</si>
  <si>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</si>
  <si>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</si>
  <si>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</si>
  <si>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</si>
  <si>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</si>
  <si>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</si>
  <si>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</si>
  <si>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</si>
  <si>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</si>
  <si>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</si>
  <si>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</si>
  <si>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</si>
  <si>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</si>
  <si>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</si>
  <si>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</si>
  <si>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</si>
  <si>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</si>
  <si>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</si>
  <si>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</si>
  <si>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</si>
  <si>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</si>
  <si>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</si>
  <si>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</si>
  <si>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</si>
  <si>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</si>
  <si>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</si>
  <si>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</si>
  <si>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</si>
  <si>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</si>
  <si>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</si>
  <si>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</si>
  <si>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</si>
  <si>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</si>
  <si>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</si>
  <si>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</si>
  <si>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</si>
  <si>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</si>
  <si>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</si>
  <si>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</si>
  <si>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</si>
  <si>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</si>
  <si>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</si>
  <si>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</si>
  <si>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</si>
  <si>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</si>
  <si>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</si>
  <si>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</si>
  <si>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</si>
  <si>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</si>
  <si>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</si>
  <si>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</si>
  <si>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</si>
  <si>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</si>
  <si>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</si>
  <si>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</si>
  <si>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</si>
  <si>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</si>
  <si>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</si>
  <si>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</si>
  <si>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</si>
  <si>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</si>
  <si>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</si>
  <si>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</si>
  <si>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</si>
  <si>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</si>
  <si>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</si>
  <si>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</si>
  <si>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</si>
  <si>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</si>
  <si>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</si>
  <si>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</si>
  <si>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</si>
  <si>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</si>
  <si>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</si>
  <si>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</si>
  <si>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</si>
  <si>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</si>
  <si>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</si>
  <si>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</si>
  <si>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</si>
  <si>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</si>
  <si>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</si>
  <si>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</si>
  <si>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</si>
  <si>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</si>
  <si>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</si>
  <si>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</si>
  <si>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</si>
  <si>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</si>
  <si>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</si>
  <si>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</si>
  <si>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</si>
  <si>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</si>
  <si>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</si>
  <si>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</si>
  <si>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</si>
  <si>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</si>
  <si>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</si>
  <si>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</si>
  <si>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</si>
  <si>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</si>
  <si>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</si>
  <si>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</si>
  <si>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</si>
  <si>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</si>
  <si>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</si>
  <si>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</si>
  <si>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</si>
  <si>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</si>
  <si>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</si>
  <si>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</si>
  <si>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</si>
  <si>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</si>
  <si>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</si>
  <si>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</si>
  <si>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</si>
  <si>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</si>
  <si>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</si>
  <si>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</si>
  <si>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</si>
  <si>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</si>
  <si>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</si>
  <si>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</si>
  <si>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</si>
  <si>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</si>
  <si>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</si>
  <si>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</si>
  <si>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</si>
  <si>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</si>
  <si>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</si>
  <si>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</si>
  <si>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</si>
  <si>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</si>
  <si>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</si>
  <si>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</si>
  <si>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</si>
  <si>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</si>
  <si>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</si>
  <si>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</si>
  <si>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</si>
  <si>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</si>
  <si>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</si>
  <si>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</si>
  <si>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</si>
  <si>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</si>
  <si>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</si>
  <si>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</si>
  <si>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</si>
  <si>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</si>
  <si>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</si>
  <si>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</si>
  <si>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</si>
  <si>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</si>
  <si>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</si>
  <si>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</si>
  <si>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</si>
  <si>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</si>
  <si>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</si>
  <si>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</si>
  <si>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</si>
  <si>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</si>
  <si>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</si>
  <si>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</si>
  <si>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</si>
  <si>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</si>
  <si>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</si>
  <si>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</si>
  <si>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</si>
  <si>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</si>
  <si>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</si>
  <si>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</si>
  <si>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</si>
  <si>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</si>
  <si>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</si>
  <si>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</si>
  <si>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</si>
  <si>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</si>
  <si>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</si>
  <si>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</si>
  <si>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</si>
  <si>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</si>
  <si>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</si>
  <si>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</si>
  <si>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</si>
  <si>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</si>
  <si>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</si>
  <si>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</si>
  <si>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</si>
  <si>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</si>
  <si>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</si>
  <si>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</si>
  <si>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</si>
  <si>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</si>
  <si>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</si>
  <si>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</si>
  <si>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</si>
  <si>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</si>
  <si>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</si>
  <si>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</si>
  <si>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</si>
  <si>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</si>
  <si>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</si>
  <si>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</si>
  <si>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</si>
  <si>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</si>
  <si>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</si>
  <si>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</si>
  <si>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</si>
  <si>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</si>
  <si>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</si>
  <si>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</si>
  <si>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</si>
  <si>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</si>
  <si>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</si>
  <si>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</si>
  <si>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</si>
  <si>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</si>
  <si>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</si>
  <si>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</si>
  <si>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</si>
  <si>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</si>
  <si>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</si>
  <si>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</si>
  <si>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</si>
  <si>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</si>
  <si>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</si>
  <si>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</si>
  <si>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</si>
  <si>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</si>
  <si>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</si>
  <si>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</si>
  <si>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</si>
  <si>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</si>
  <si>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</si>
  <si>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</si>
  <si>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</si>
  <si>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</si>
  <si>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</si>
  <si>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</si>
  <si>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</si>
  <si>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</si>
  <si>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</si>
  <si>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</si>
  <si>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</si>
  <si>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</si>
  <si>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</si>
  <si>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</si>
  <si>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</si>
  <si>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</si>
  <si>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</si>
  <si>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</si>
  <si>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</si>
  <si>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</si>
  <si>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</si>
  <si>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</si>
  <si>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</si>
  <si>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</si>
  <si>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</si>
  <si>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</si>
  <si>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</si>
  <si>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</si>
  <si>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</si>
  <si>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</si>
  <si>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</si>
  <si>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</si>
  <si>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</si>
  <si>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</si>
  <si>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</si>
  <si>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</si>
  <si>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</si>
  <si>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</si>
  <si>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</si>
  <si>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</si>
  <si>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</si>
  <si>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</si>
  <si>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</si>
  <si>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</si>
  <si>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</si>
  <si>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</si>
  <si>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</si>
  <si>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</si>
  <si>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</si>
  <si>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</si>
  <si>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</si>
  <si>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</si>
  <si>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</si>
  <si>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</si>
  <si>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</si>
  <si>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</si>
  <si>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</si>
  <si>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</si>
  <si>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</si>
  <si>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</si>
  <si>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</si>
  <si>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</si>
  <si>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</si>
  <si>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</si>
  <si>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</si>
  <si>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</si>
  <si>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</si>
  <si>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</si>
  <si>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</si>
  <si>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</si>
  <si>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</si>
  <si>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</si>
  <si>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</si>
  <si>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</si>
  <si>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</si>
  <si>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</si>
  <si>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</si>
  <si>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</si>
  <si>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</si>
  <si>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</si>
  <si>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</si>
  <si>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</si>
  <si>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</si>
  <si>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</si>
  <si>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</si>
  <si>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</si>
  <si>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</si>
  <si>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</si>
  <si>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</si>
  <si>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</si>
  <si>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</si>
  <si>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</si>
  <si>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</si>
  <si>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</si>
  <si>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</si>
  <si>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</si>
  <si>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</si>
  <si>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</si>
  <si>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</si>
  <si>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</si>
  <si>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</si>
  <si>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</si>
  <si>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</si>
  <si>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</si>
  <si>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</si>
  <si>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</si>
  <si>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</si>
  <si>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</si>
  <si>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</si>
  <si>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</si>
  <si>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</si>
  <si>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</si>
  <si>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</si>
  <si>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</si>
  <si>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</si>
  <si>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</si>
  <si>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</si>
  <si>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</si>
  <si>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</si>
  <si>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</si>
  <si>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</si>
  <si>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</si>
  <si>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</si>
  <si>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</si>
  <si>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</si>
  <si>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</si>
  <si>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</si>
  <si>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</si>
  <si>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</si>
  <si>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</si>
  <si>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</si>
  <si>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</si>
  <si>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</si>
  <si>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</si>
  <si>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</si>
  <si>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</si>
  <si>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</si>
  <si>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</si>
  <si>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</si>
  <si>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</si>
  <si>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</si>
  <si>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</si>
  <si>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</si>
  <si>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</si>
  <si>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</si>
  <si>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</si>
  <si>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</si>
  <si>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</si>
  <si>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</si>
  <si>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</si>
  <si>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</si>
  <si>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</si>
  <si>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</si>
  <si>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</si>
  <si>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</si>
  <si>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</si>
  <si>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</si>
  <si>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</si>
  <si>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</si>
  <si>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</si>
  <si>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</si>
  <si>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</si>
  <si>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</si>
  <si>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</si>
  <si>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</si>
  <si>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</si>
  <si>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</si>
  <si>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</si>
  <si>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</si>
  <si>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</si>
  <si>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</si>
  <si>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</si>
  <si>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</si>
  <si>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</si>
  <si>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</si>
  <si>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</si>
  <si>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</si>
  <si>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</si>
  <si>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</si>
  <si>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</si>
  <si>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</si>
  <si>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</si>
  <si>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</si>
  <si>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</si>
  <si>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</si>
  <si>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</si>
  <si>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</si>
  <si>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</si>
  <si>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</si>
  <si>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</si>
  <si>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</si>
  <si>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</si>
  <si>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</si>
  <si>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</si>
  <si>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</si>
  <si>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</si>
  <si>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</si>
  <si>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</si>
  <si>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</si>
  <si>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</si>
  <si>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</si>
  <si>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</si>
  <si>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</si>
  <si>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</si>
  <si>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</si>
  <si>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</si>
  <si>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</si>
  <si>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</si>
  <si>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</si>
  <si>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</si>
  <si>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</si>
  <si>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</si>
  <si>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</si>
  <si>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</si>
  <si>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</si>
  <si>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</si>
  <si>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</si>
  <si>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</si>
  <si>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</si>
  <si>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</si>
  <si>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</si>
  <si>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</si>
  <si>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</si>
  <si>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</si>
  <si>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</si>
  <si>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</si>
  <si>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</si>
  <si>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</si>
  <si>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</si>
  <si>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</si>
  <si>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</si>
  <si>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</si>
  <si>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</si>
  <si>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</si>
  <si>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</si>
  <si>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</si>
  <si>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</si>
  <si>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</si>
  <si>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</si>
  <si>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</si>
  <si>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</si>
  <si>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</si>
  <si>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</si>
  <si>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</si>
  <si>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</si>
  <si>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</si>
  <si>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</si>
  <si>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</si>
  <si>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</si>
  <si>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</si>
  <si>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</si>
  <si>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</si>
  <si>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</si>
  <si>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</si>
  <si>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</si>
  <si>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</si>
  <si>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</si>
  <si>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</si>
  <si>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</si>
  <si>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</si>
  <si>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</si>
  <si>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</si>
  <si>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</si>
  <si>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</si>
  <si>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</si>
  <si>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</si>
  <si>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</si>
  <si>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</si>
  <si>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</si>
  <si>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</si>
  <si>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</si>
  <si>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</si>
  <si>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</si>
  <si>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</si>
  <si>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</si>
  <si>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</si>
  <si>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</si>
  <si>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</si>
  <si>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</si>
  <si>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</si>
  <si>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</si>
  <si>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</si>
  <si>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</si>
  <si>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</si>
  <si>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</si>
  <si>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</si>
  <si>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</si>
  <si>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</si>
  <si>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</si>
  <si>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</si>
  <si>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</si>
  <si>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</si>
  <si>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</si>
  <si>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</si>
  <si>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</si>
  <si>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</si>
  <si>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</si>
  <si>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</si>
  <si>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</si>
  <si>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</si>
  <si>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</si>
  <si>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</si>
  <si>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</si>
  <si>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</si>
  <si>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</si>
  <si>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</si>
  <si>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</si>
  <si>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</si>
  <si>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</si>
  <si>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</si>
  <si>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</si>
  <si>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</si>
  <si>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</si>
  <si>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</si>
  <si>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</si>
  <si>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</si>
  <si>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</si>
  <si>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</si>
  <si>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</si>
  <si>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</si>
  <si>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</si>
  <si>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</si>
  <si>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</si>
  <si>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</si>
  <si>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</si>
  <si>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</si>
  <si>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</si>
  <si>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</si>
  <si>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</si>
  <si>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</si>
  <si>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</si>
  <si>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</si>
  <si>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</si>
  <si>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</si>
  <si>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</si>
  <si>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</si>
  <si>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</si>
  <si>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</si>
  <si>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</si>
  <si>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</si>
  <si>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</si>
  <si>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</si>
  <si>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</si>
  <si>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</si>
  <si>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</si>
  <si>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</si>
  <si>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</si>
  <si>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</si>
  <si>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</si>
  <si>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</si>
  <si>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</si>
  <si>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</si>
  <si>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</si>
  <si>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</si>
  <si>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</si>
  <si>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</si>
  <si>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</si>
  <si>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</si>
  <si>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</si>
  <si>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</si>
  <si>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</si>
  <si>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</si>
  <si>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</si>
  <si>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</si>
  <si>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</si>
  <si>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</si>
  <si>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</si>
  <si>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</si>
  <si>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</si>
  <si>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</si>
  <si>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</si>
  <si>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</si>
  <si>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</si>
  <si>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</si>
  <si>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</si>
  <si>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</si>
  <si>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</si>
  <si>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</si>
  <si>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</si>
  <si>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</si>
  <si>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</si>
  <si>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</si>
  <si>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</si>
  <si>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</si>
  <si>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</si>
  <si>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</si>
  <si>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</si>
  <si>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</si>
  <si>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</si>
  <si>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</si>
  <si>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</si>
  <si>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</si>
  <si>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</si>
  <si>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</si>
  <si>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</si>
  <si>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</si>
  <si>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</si>
  <si>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</si>
  <si>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</si>
  <si>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</si>
  <si>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</si>
  <si>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</si>
  <si>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</si>
  <si>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</si>
  <si>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</si>
  <si>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</si>
  <si>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</si>
  <si>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</si>
  <si>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</si>
  <si>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</si>
  <si>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</si>
  <si>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</si>
  <si>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</si>
  <si>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</si>
  <si>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</si>
  <si>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</si>
  <si>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</si>
  <si>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</si>
  <si>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</si>
  <si>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</si>
  <si>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</si>
  <si>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</si>
  <si>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</si>
  <si>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</si>
  <si>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</si>
  <si>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</si>
  <si>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</si>
  <si>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</si>
  <si>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</si>
  <si>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</si>
  <si>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</si>
  <si>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</si>
  <si>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</si>
  <si>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</si>
  <si>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</si>
  <si>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</si>
  <si>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</si>
  <si>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</si>
  <si>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</si>
  <si>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</si>
  <si>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</si>
  <si>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</si>
  <si>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</si>
  <si>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</si>
  <si>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</si>
  <si>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</si>
  <si>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</si>
  <si>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</si>
  <si>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</si>
  <si>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</si>
  <si>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</si>
  <si>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</si>
  <si>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</si>
  <si>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</si>
  <si>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</si>
  <si>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</si>
  <si>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</si>
  <si>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</si>
  <si>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</si>
  <si>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</si>
  <si>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</si>
  <si>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</si>
  <si>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</si>
  <si>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</si>
  <si>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</si>
  <si>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</si>
  <si>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</si>
  <si>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</si>
  <si>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</si>
  <si>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</si>
  <si>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</si>
  <si>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</si>
  <si>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</si>
  <si>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</si>
  <si>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</si>
  <si>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</si>
  <si>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</si>
  <si>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</si>
  <si>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</si>
  <si>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</si>
  <si>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</si>
  <si>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</si>
  <si>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</si>
  <si>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</si>
  <si>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</si>
  <si>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</si>
  <si>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</si>
  <si>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</si>
  <si>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</si>
  <si>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</si>
  <si>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</si>
  <si>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</si>
  <si>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</si>
  <si>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</si>
  <si>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</si>
  <si>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</si>
  <si>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</si>
  <si>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</si>
  <si>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</si>
  <si>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</si>
  <si>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</si>
  <si>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</si>
  <si>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</si>
  <si>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</si>
  <si>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</si>
  <si>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</si>
  <si>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</si>
  <si>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</si>
  <si>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</si>
  <si>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</si>
  <si>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</si>
  <si>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</si>
  <si>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</si>
  <si>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</si>
  <si>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</si>
  <si>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</si>
  <si>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</si>
  <si>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</si>
  <si>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</si>
  <si>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</si>
  <si>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</si>
  <si>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</si>
  <si>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</si>
  <si>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</si>
  <si>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</si>
  <si>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</si>
  <si>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</si>
  <si>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</si>
  <si>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</si>
  <si>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</si>
  <si>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</si>
  <si>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</si>
  <si>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</si>
  <si>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</si>
  <si>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</si>
  <si>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</si>
  <si>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</si>
  <si>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</si>
  <si>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</si>
  <si>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</si>
  <si>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</si>
  <si>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</si>
  <si>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</si>
  <si>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</si>
  <si>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</si>
  <si>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</si>
  <si>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</si>
  <si>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</si>
  <si>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</si>
  <si>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</si>
  <si>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</si>
  <si>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</si>
  <si>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</si>
  <si>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</si>
  <si>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</si>
  <si>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</si>
  <si>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</si>
  <si>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</si>
  <si>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</si>
  <si>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</si>
  <si>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</si>
  <si>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</si>
  <si>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</si>
  <si>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</si>
  <si>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</si>
  <si>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</si>
  <si>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</si>
  <si>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</si>
  <si>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</si>
  <si>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</si>
  <si>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</si>
  <si>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</si>
  <si>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</si>
  <si>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</si>
  <si>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</si>
  <si>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</si>
  <si>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</si>
  <si>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</si>
  <si>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</si>
  <si>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</si>
  <si>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</si>
  <si>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</si>
  <si>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</si>
  <si>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</si>
  <si>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</si>
  <si>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</si>
  <si>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</si>
  <si>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</si>
  <si>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</si>
  <si>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</si>
  <si>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</si>
  <si>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</si>
  <si>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</si>
  <si>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</si>
  <si>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</si>
  <si>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</si>
  <si>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</si>
  <si>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</si>
  <si>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</si>
  <si>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</si>
  <si>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</si>
  <si>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</si>
  <si>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</si>
  <si>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</si>
  <si>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</si>
  <si>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</si>
  <si>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</si>
  <si>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</si>
  <si>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</si>
  <si>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</si>
  <si>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</si>
  <si>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</si>
  <si>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</si>
  <si>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</si>
  <si>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</si>
  <si>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</si>
  <si>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</si>
  <si>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</si>
  <si>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</si>
  <si>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</si>
  <si>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</si>
  <si>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</si>
  <si>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</si>
  <si>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</si>
  <si>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</si>
  <si>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</si>
  <si>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</si>
  <si>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</si>
  <si>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</si>
  <si>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</si>
  <si>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</si>
  <si>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</si>
  <si>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</si>
  <si>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</si>
  <si>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</si>
  <si>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</si>
  <si>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</si>
  <si>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</si>
  <si>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</si>
  <si>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</si>
  <si>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</si>
  <si>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</si>
  <si>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</si>
  <si>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</si>
  <si>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</si>
  <si>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</si>
  <si>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</si>
  <si>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</si>
  <si>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</si>
  <si>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</si>
  <si>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</si>
  <si>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</si>
  <si>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</si>
  <si>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</si>
  <si>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</si>
  <si>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</si>
  <si>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</si>
  <si>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</si>
  <si>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</si>
  <si>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</si>
  <si>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</si>
  <si>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</si>
  <si>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</si>
  <si>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</si>
  <si>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</si>
  <si>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</si>
  <si>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</si>
  <si>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</si>
  <si>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</si>
  <si>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</si>
  <si>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</si>
  <si>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</si>
  <si>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</si>
  <si>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</si>
  <si>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</si>
  <si>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</si>
  <si>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</si>
  <si>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</si>
  <si>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</si>
  <si>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</si>
  <si>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</si>
  <si>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</si>
  <si>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</si>
  <si>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</si>
  <si>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</si>
  <si>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</si>
  <si>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</si>
  <si>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</si>
  <si>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</si>
  <si>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</si>
  <si>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</si>
  <si>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</si>
  <si>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</si>
  <si>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</si>
  <si>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</si>
  <si>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</si>
  <si>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</si>
  <si>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</si>
  <si>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</si>
  <si>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</si>
  <si>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</si>
  <si>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</si>
  <si>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</si>
  <si>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</si>
  <si>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</si>
  <si>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</si>
  <si>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</si>
  <si>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</si>
  <si>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</si>
  <si>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</si>
  <si>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</si>
  <si>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</si>
  <si>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</si>
  <si>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</si>
  <si>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</si>
  <si>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</si>
  <si>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</si>
  <si>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</si>
  <si>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</si>
  <si>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</si>
  <si>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</si>
  <si>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</si>
  <si>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</si>
  <si>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</si>
  <si>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</si>
  <si>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</si>
  <si>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</si>
  <si>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</si>
  <si>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</si>
  <si>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</si>
  <si>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</si>
  <si>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</si>
  <si>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</si>
  <si>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</si>
  <si>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</si>
  <si>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</si>
  <si>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</si>
  <si>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</si>
  <si>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</si>
  <si>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</si>
  <si>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</si>
  <si>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</si>
  <si>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</si>
  <si>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</si>
  <si>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</si>
  <si>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</si>
  <si>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</si>
  <si>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</si>
  <si>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</si>
  <si>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</si>
  <si>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</si>
  <si>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</si>
  <si>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</si>
  <si>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</si>
  <si>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</si>
  <si>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</si>
  <si>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</si>
  <si>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</si>
  <si>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</si>
  <si>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</si>
  <si>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</si>
  <si>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</si>
  <si>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</si>
  <si>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</si>
  <si>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</si>
  <si>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</si>
  <si>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</si>
  <si>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</si>
  <si>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</si>
  <si>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</si>
  <si>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</si>
  <si>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</si>
  <si>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</si>
  <si>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</si>
  <si>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</si>
  <si>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</si>
  <si>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</si>
  <si>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</si>
  <si>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</si>
  <si>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</si>
  <si>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</si>
  <si>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</si>
  <si>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</si>
  <si>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</si>
  <si>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</si>
  <si>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</si>
  <si>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</si>
  <si>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</si>
  <si>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</si>
  <si>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</si>
  <si>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</si>
  <si>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</si>
  <si>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</si>
  <si>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</si>
  <si>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</si>
  <si>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</si>
  <si>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</si>
  <si>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</si>
  <si>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</si>
  <si>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</si>
  <si>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</si>
  <si>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</si>
  <si>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</si>
  <si>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</si>
  <si>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</si>
  <si>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</si>
  <si>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</si>
  <si>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</si>
  <si>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</si>
  <si>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</si>
  <si>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</si>
  <si>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</si>
  <si>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</si>
  <si>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</si>
  <si>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</si>
  <si>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</si>
  <si>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</si>
  <si>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</si>
  <si>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</si>
  <si>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</si>
  <si>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</si>
  <si>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</si>
  <si>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</si>
  <si>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</si>
  <si>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</si>
  <si>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</si>
  <si>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</si>
  <si>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</si>
  <si>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</si>
  <si>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</si>
  <si>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</si>
  <si>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</si>
  <si>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</si>
  <si>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</si>
  <si>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</si>
  <si>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</si>
  <si>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</si>
  <si>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</si>
  <si>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</si>
  <si>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</si>
  <si>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</si>
  <si>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</si>
  <si>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</si>
  <si>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</si>
  <si>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</si>
  <si>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</si>
  <si>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</si>
  <si>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</si>
  <si>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</si>
  <si>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</si>
  <si>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</si>
  <si>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</si>
  <si>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</si>
  <si>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</si>
  <si>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</si>
  <si>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</si>
  <si>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</si>
  <si>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</si>
  <si>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</si>
  <si>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</si>
  <si>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</si>
  <si>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</si>
  <si>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</si>
  <si>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</si>
  <si>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</si>
  <si>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</si>
  <si>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</si>
  <si>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</si>
  <si>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</si>
  <si>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</si>
  <si>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</si>
  <si>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</si>
  <si>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</si>
  <si>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</si>
  <si>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</si>
  <si>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</si>
  <si>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</si>
  <si>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</si>
  <si>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</si>
  <si>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</si>
  <si>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</si>
  <si>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</si>
  <si>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</si>
  <si>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</si>
  <si>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</si>
  <si>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</si>
  <si>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</si>
  <si>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</si>
  <si>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</si>
  <si>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</si>
  <si>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</si>
  <si>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</si>
  <si>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</si>
  <si>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</si>
  <si>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</si>
  <si>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</si>
  <si>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</si>
  <si>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</si>
  <si>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</si>
  <si>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</si>
  <si>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</si>
  <si>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</si>
  <si>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</si>
  <si>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</si>
  <si>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</si>
  <si>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</si>
  <si>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</si>
  <si>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</si>
  <si>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</si>
  <si>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</si>
  <si>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</si>
  <si>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</si>
  <si>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</si>
  <si>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</si>
  <si>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</si>
  <si>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</si>
  <si>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</si>
  <si>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</si>
  <si>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</si>
  <si>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</si>
  <si>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</si>
  <si>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</si>
  <si>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</si>
  <si>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</si>
  <si>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</si>
  <si>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</si>
  <si>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</si>
  <si>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</si>
  <si>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</si>
  <si>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</si>
  <si>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</si>
  <si>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</si>
  <si>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</si>
  <si>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</si>
  <si>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</si>
  <si>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</si>
  <si>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</si>
  <si>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</si>
  <si>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</si>
  <si>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</si>
  <si>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</si>
  <si>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</si>
  <si>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</si>
  <si>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</si>
  <si>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</si>
  <si>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</si>
  <si>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</si>
  <si>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</si>
  <si>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</si>
  <si>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</si>
  <si>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</si>
  <si>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</si>
  <si>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</si>
  <si>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</si>
  <si>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</si>
  <si>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</si>
  <si>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</si>
  <si>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</si>
  <si>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</si>
  <si>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</si>
  <si>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</si>
  <si>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</si>
  <si>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</si>
  <si>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</si>
  <si>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</si>
  <si>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</si>
  <si>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</si>
  <si>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</si>
  <si>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</si>
  <si>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</si>
  <si>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</si>
  <si>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</si>
  <si>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</si>
  <si>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</si>
  <si>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</si>
  <si>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</si>
  <si>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</si>
  <si>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</si>
  <si>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</si>
  <si>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</si>
  <si>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</si>
  <si>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</si>
  <si>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</si>
  <si>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</si>
  <si>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</si>
  <si>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</si>
  <si>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</si>
  <si>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</si>
  <si>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</si>
  <si>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</si>
  <si>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</si>
  <si>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</si>
  <si>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</si>
  <si>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</si>
  <si>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</si>
  <si>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</si>
  <si>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</si>
  <si>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</si>
  <si>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</si>
  <si>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</si>
  <si>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</si>
  <si>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</si>
  <si>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</si>
  <si>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</si>
  <si>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</si>
  <si>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</si>
  <si>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</si>
  <si>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</si>
  <si>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</si>
  <si>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</si>
  <si>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</si>
  <si>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</si>
  <si>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</si>
  <si>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</si>
  <si>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</si>
  <si>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</si>
  <si>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</si>
  <si>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</si>
  <si>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</si>
  <si>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</si>
  <si>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</si>
  <si>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</si>
  <si>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</si>
  <si>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</si>
  <si>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</si>
  <si>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</si>
  <si>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</si>
  <si>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</si>
  <si>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</si>
  <si>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</si>
  <si>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</si>
  <si>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</si>
  <si>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</si>
  <si>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</si>
  <si>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</si>
  <si>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</si>
  <si>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</si>
  <si>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</si>
  <si>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</si>
  <si>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</si>
  <si>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</si>
  <si>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</si>
  <si>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</si>
  <si>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</si>
  <si>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</si>
  <si>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</si>
  <si>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</si>
  <si>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</si>
  <si>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</si>
  <si>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</si>
  <si>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</si>
  <si>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</si>
  <si>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</si>
  <si>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</si>
  <si>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</si>
  <si>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</si>
  <si>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</si>
  <si>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</si>
  <si>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</si>
  <si>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</si>
  <si>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</si>
  <si>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</si>
  <si>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</si>
  <si>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</si>
  <si>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</si>
  <si>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</si>
  <si>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</si>
  <si>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</si>
  <si>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</si>
  <si>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</si>
  <si>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</si>
  <si>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</si>
  <si>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</si>
  <si>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</si>
  <si>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</si>
  <si>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</si>
  <si>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</si>
  <si>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</si>
  <si>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</si>
  <si>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</si>
  <si>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</si>
  <si>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</si>
  <si>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</si>
  <si>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</si>
  <si>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</si>
  <si>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</si>
  <si>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</si>
  <si>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</si>
  <si>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</si>
  <si>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</si>
  <si>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</si>
  <si>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</si>
  <si>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</si>
  <si>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</si>
  <si>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</si>
  <si>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</si>
  <si>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</si>
  <si>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</si>
  <si>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</si>
  <si>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</si>
  <si>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</si>
  <si>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</si>
  <si>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</si>
  <si>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</si>
  <si>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</si>
  <si>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</si>
  <si>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</si>
  <si>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</si>
  <si>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</si>
  <si>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</si>
  <si>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</si>
  <si>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</si>
  <si>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</si>
  <si>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</si>
  <si>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</si>
  <si>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</si>
  <si>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</si>
  <si>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</si>
  <si>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</si>
  <si>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</si>
  <si>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</si>
  <si>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</si>
  <si>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</si>
  <si>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</si>
  <si>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</si>
  <si>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</si>
  <si>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</si>
  <si>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</si>
  <si>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</si>
  <si>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</si>
  <si>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</si>
  <si>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</si>
  <si>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</si>
  <si>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</si>
  <si>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</si>
  <si>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</si>
  <si>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</si>
  <si>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</si>
  <si>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</si>
  <si>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</si>
  <si>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</si>
  <si>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</si>
  <si>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</si>
  <si>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</si>
  <si>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</si>
  <si>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</si>
  <si>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</si>
  <si>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</si>
  <si>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</si>
  <si>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</si>
  <si>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</si>
  <si>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</si>
  <si>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</si>
  <si>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</si>
  <si>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</si>
  <si>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</si>
  <si>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</si>
  <si>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</si>
  <si>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</si>
  <si>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</si>
  <si>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</si>
  <si>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</si>
  <si>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</si>
  <si>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</si>
  <si>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</si>
  <si>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</si>
  <si>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</si>
  <si>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</si>
  <si>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</si>
  <si>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</si>
  <si>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</si>
  <si>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</si>
  <si>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</si>
  <si>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</si>
  <si>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</si>
  <si>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</si>
  <si>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</si>
  <si>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</si>
  <si>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</si>
  <si>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</si>
  <si>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</si>
  <si>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</si>
  <si>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</si>
  <si>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</si>
  <si>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</si>
  <si>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</si>
  <si>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</si>
  <si>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</si>
  <si>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</si>
  <si>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</si>
  <si>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</si>
  <si>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</si>
  <si>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</si>
  <si>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</si>
  <si>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</si>
  <si>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</si>
  <si>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楼面单价</t>
  </si>
  <si>
    <t>未包含在土地购买价格中</t>
  </si>
  <si>
    <t>已包含在土地取得成本中</t>
  </si>
  <si>
    <t>不临街</t>
  </si>
  <si>
    <t>不临65条商业街</t>
  </si>
  <si>
    <t>容积率修正</t>
  </si>
  <si>
    <t>平整</t>
  </si>
  <si>
    <t>全部缴纳</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</si>
  <si>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</si>
  <si>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</si>
  <si>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</si>
  <si>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</si>
  <si>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</si>
  <si>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</si>
  <si>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</si>
  <si>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单位面积地价</t>
  </si>
  <si>
    <t>成本比率</t>
  </si>
  <si>
    <t>商业2</t>
  </si>
  <si>
    <t>商业6</t>
  </si>
  <si>
    <t>收益法-2号楼</t>
    <phoneticPr fontId="16" type="noConversion"/>
  </si>
  <si>
    <t>收益法-6号楼</t>
  </si>
  <si>
    <t>收益法-6号楼</t>
    <phoneticPr fontId="16" type="noConversion"/>
  </si>
  <si>
    <t>自定义容积率</t>
  </si>
  <si>
    <t>与级别开发程度一致</t>
  </si>
  <si>
    <t>中心城区以外</t>
  </si>
  <si>
    <t>成本法-2号楼</t>
    <phoneticPr fontId="16" type="noConversion"/>
  </si>
  <si>
    <t>成本法-6号楼</t>
  </si>
  <si>
    <t>成本法-6号楼</t>
    <phoneticPr fontId="16" type="noConversion"/>
  </si>
  <si>
    <t>收益法 (元)</t>
  </si>
  <si>
    <t>中心城区</t>
  </si>
  <si>
    <t>成本法 (元)</t>
  </si>
  <si>
    <t>办公项目</t>
  </si>
  <si>
    <t>高区</t>
    <phoneticPr fontId="31" type="noConversion"/>
  </si>
  <si>
    <t>中区</t>
    <phoneticPr fontId="31" type="noConversion"/>
  </si>
  <si>
    <t>低区</t>
    <phoneticPr fontId="31" type="noConversion"/>
  </si>
  <si>
    <t>报价</t>
  </si>
  <si>
    <t>报价</t>
    <phoneticPr fontId="31" type="noConversion"/>
  </si>
  <si>
    <t>办公</t>
    <phoneticPr fontId="31" type="noConversion"/>
  </si>
  <si>
    <t>办公</t>
    <phoneticPr fontId="7" type="noConversion"/>
  </si>
  <si>
    <t>比较法-办公</t>
  </si>
  <si>
    <t>地下</t>
  </si>
  <si>
    <t>独栋办公</t>
  </si>
  <si>
    <t>独栋办公</t>
    <phoneticPr fontId="31" type="noConversion"/>
  </si>
  <si>
    <t>企业</t>
  </si>
  <si>
    <t>是否有地下</t>
    <phoneticPr fontId="31" type="noConversion"/>
  </si>
  <si>
    <t>是</t>
    <phoneticPr fontId="31" type="noConversion"/>
  </si>
  <si>
    <t>否</t>
    <phoneticPr fontId="31" type="noConversion"/>
  </si>
  <si>
    <t>Ⅵ-BDA东</t>
  </si>
  <si>
    <t>成本法</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</si>
</sst>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6" fillId="0" borderId="0" xfId="0" applyFont="1">
      <alignment vertical="center"/>
    </xf>
    <xf numFmtId="14" fontId="96" fillId="0" borderId="0" xfId="0" applyNumberFormat="1" applyFont="1">
      <alignment vertical="center"/>
    </xf>
    <xf numFmtId="49" fontId="109" fillId="2" borderId="10" xfId="0" applyNumberFormat="1" applyFont="1" applyFill="1" applyBorder="1" applyAlignment="1" applyProtection="1">
      <alignment vertical="center"/>
      <protection locked="0"/>
    </xf>
    <xf numFmtId="0" fontId="95" fillId="0" borderId="0" xfId="0"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7" fontId="113" fillId="0" borderId="1" xfId="1" applyNumberFormat="1" applyFont="1" applyFill="1" applyBorder="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0" fillId="0" borderId="13"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2" xfId="0" applyFont="1" applyBorder="1" applyAlignment="1" applyProtection="1">
      <alignment horizontal="center" vertical="center"/>
      <protection locked="0"/>
    </xf>
    <xf numFmtId="0" fontId="100" fillId="0" borderId="1" xfId="0" applyFont="1" applyBorder="1" applyAlignment="1" applyProtection="1">
      <alignment horizontal="center" vertical="center"/>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37067</xdr:colOff>
      <xdr:row>10</xdr:row>
      <xdr:rowOff>75976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66667" cy="1790476"/>
        </a:xfrm>
        <a:prstGeom prst="rect">
          <a:avLst/>
        </a:prstGeom>
      </xdr:spPr>
    </xdr:pic>
    <xdr:clientData/>
  </xdr:twoCellAnchor>
  <xdr:twoCellAnchor editAs="oneCell">
    <xdr:from>
      <xdr:col>0</xdr:col>
      <xdr:colOff>0</xdr:colOff>
      <xdr:row>11</xdr:row>
      <xdr:rowOff>0</xdr:rowOff>
    </xdr:from>
    <xdr:to>
      <xdr:col>12</xdr:col>
      <xdr:colOff>9525</xdr:colOff>
      <xdr:row>21</xdr:row>
      <xdr:rowOff>15261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85950"/>
          <a:ext cx="8239125" cy="1729761"/>
        </a:xfrm>
        <a:prstGeom prst="rect">
          <a:avLst/>
        </a:prstGeom>
      </xdr:spPr>
    </xdr:pic>
    <xdr:clientData/>
  </xdr:twoCellAnchor>
  <xdr:twoCellAnchor editAs="oneCell">
    <xdr:from>
      <xdr:col>0</xdr:col>
      <xdr:colOff>0</xdr:colOff>
      <xdr:row>21</xdr:row>
      <xdr:rowOff>0</xdr:rowOff>
    </xdr:from>
    <xdr:to>
      <xdr:col>12</xdr:col>
      <xdr:colOff>208495</xdr:colOff>
      <xdr:row>32</xdr:row>
      <xdr:rowOff>28336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600450"/>
          <a:ext cx="8438095" cy="1914286"/>
        </a:xfrm>
        <a:prstGeom prst="rect">
          <a:avLst/>
        </a:prstGeom>
      </xdr:spPr>
    </xdr:pic>
    <xdr:clientData/>
  </xdr:twoCellAnchor>
  <xdr:twoCellAnchor editAs="oneCell">
    <xdr:from>
      <xdr:col>0</xdr:col>
      <xdr:colOff>0</xdr:colOff>
      <xdr:row>33</xdr:row>
      <xdr:rowOff>0</xdr:rowOff>
    </xdr:from>
    <xdr:to>
      <xdr:col>12</xdr:col>
      <xdr:colOff>170400</xdr:colOff>
      <xdr:row>44</xdr:row>
      <xdr:rowOff>9288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57850"/>
          <a:ext cx="8400000" cy="1895238"/>
        </a:xfrm>
        <a:prstGeom prst="rect">
          <a:avLst/>
        </a:prstGeom>
      </xdr:spPr>
    </xdr:pic>
    <xdr:clientData/>
  </xdr:twoCellAnchor>
  <xdr:twoCellAnchor editAs="oneCell">
    <xdr:from>
      <xdr:col>0</xdr:col>
      <xdr:colOff>0</xdr:colOff>
      <xdr:row>45</xdr:row>
      <xdr:rowOff>0</xdr:rowOff>
    </xdr:from>
    <xdr:to>
      <xdr:col>12</xdr:col>
      <xdr:colOff>84686</xdr:colOff>
      <xdr:row>64</xdr:row>
      <xdr:rowOff>161498</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7715250"/>
          <a:ext cx="8314286" cy="3419048"/>
        </a:xfrm>
        <a:prstGeom prst="rect">
          <a:avLst/>
        </a:prstGeom>
      </xdr:spPr>
    </xdr:pic>
    <xdr:clientData/>
  </xdr:twoCellAnchor>
  <xdr:twoCellAnchor editAs="oneCell">
    <xdr:from>
      <xdr:col>12</xdr:col>
      <xdr:colOff>485775</xdr:colOff>
      <xdr:row>0</xdr:row>
      <xdr:rowOff>23735</xdr:rowOff>
    </xdr:from>
    <xdr:to>
      <xdr:col>22</xdr:col>
      <xdr:colOff>18007</xdr:colOff>
      <xdr:row>32</xdr:row>
      <xdr:rowOff>132436</xdr:rowOff>
    </xdr:to>
    <xdr:pic>
      <xdr:nvPicPr>
        <xdr:cNvPr id="12" name="图片 11"/>
        <xdr:cNvPicPr>
          <a:picLocks noChangeAspect="1"/>
        </xdr:cNvPicPr>
      </xdr:nvPicPr>
      <xdr:blipFill>
        <a:blip xmlns:r="http://schemas.openxmlformats.org/officeDocument/2006/relationships" r:embed="rId6"/>
        <a:stretch>
          <a:fillRect/>
        </a:stretch>
      </xdr:blipFill>
      <xdr:spPr>
        <a:xfrm>
          <a:off x="8715375" y="23735"/>
          <a:ext cx="6390232" cy="5595101"/>
        </a:xfrm>
        <a:prstGeom prst="rect">
          <a:avLst/>
        </a:prstGeom>
      </xdr:spPr>
    </xdr:pic>
    <xdr:clientData/>
  </xdr:twoCellAnchor>
  <xdr:twoCellAnchor editAs="oneCell">
    <xdr:from>
      <xdr:col>13</xdr:col>
      <xdr:colOff>0</xdr:colOff>
      <xdr:row>33</xdr:row>
      <xdr:rowOff>0</xdr:rowOff>
    </xdr:from>
    <xdr:to>
      <xdr:col>25</xdr:col>
      <xdr:colOff>18019</xdr:colOff>
      <xdr:row>52</xdr:row>
      <xdr:rowOff>85307</xdr:rowOff>
    </xdr:to>
    <xdr:pic>
      <xdr:nvPicPr>
        <xdr:cNvPr id="13" name="图片 12"/>
        <xdr:cNvPicPr>
          <a:picLocks noChangeAspect="1"/>
        </xdr:cNvPicPr>
      </xdr:nvPicPr>
      <xdr:blipFill>
        <a:blip xmlns:r="http://schemas.openxmlformats.org/officeDocument/2006/relationships" r:embed="rId7"/>
        <a:stretch>
          <a:fillRect/>
        </a:stretch>
      </xdr:blipFill>
      <xdr:spPr>
        <a:xfrm>
          <a:off x="8915400" y="5657850"/>
          <a:ext cx="8247619" cy="3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估价对象为北京市房地产，为所有。根据《国有土地使用证》[]，估价对象（分摊）出让国有建设用地使用权面积为0平方米，建筑面积为2389.24平方米。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估价对象为北京市房地产,属开发建设的办公项目，该项目尚在开发建设中。根据《国有土地使用证》[]，估价对象（分摊）出让国有建设用地使用权面积为0平方米，规划建筑面积为2389.24平方米。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2024年6月6日</v>
      </c>
    </row>
    <row r="13" spans="1:2" s="1202" customFormat="1">
      <c r="A13" s="1200" t="s">
        <v>529</v>
      </c>
      <c r="B13" s="1201" t="str">
        <f>'预评函-1'!A18</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2489</v>
      </c>
    </row>
    <row r="21" spans="1:2" s="1202" customFormat="1">
      <c r="A21" s="1200" t="s">
        <v>537</v>
      </c>
      <c r="B21" s="1201">
        <f ca="1">'预评函-2'!D7</f>
        <v>10416</v>
      </c>
    </row>
    <row r="22" spans="1:2" s="1202" customFormat="1">
      <c r="A22" s="1200" t="s">
        <v>538</v>
      </c>
      <c r="B22" s="1201" t="str">
        <f ca="1">'预评函-2'!D6</f>
        <v>贰仟肆佰捌拾玖万元整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2489</v>
      </c>
    </row>
    <row r="31" spans="1:2" s="1202" customFormat="1">
      <c r="A31" s="1200" t="s">
        <v>576</v>
      </c>
      <c r="B31" s="1201">
        <f ca="1">'预评函-2'!D15</f>
        <v>10416</v>
      </c>
    </row>
    <row r="32" spans="1:2" s="1202" customFormat="1">
      <c r="A32" s="1200" t="s">
        <v>543</v>
      </c>
      <c r="B32" s="1201" t="str">
        <f ca="1">'预评函-2'!D14</f>
        <v>贰仟肆佰捌拾玖万元整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2389.2399999999998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1025</v>
      </c>
    </row>
    <row r="48" spans="1:2" s="1202" customFormat="1">
      <c r="A48" s="1200" t="s">
        <v>549</v>
      </c>
      <c r="B48" s="1201">
        <f ca="1">'预评函-3'!E4</f>
        <v>4291</v>
      </c>
    </row>
    <row r="49" spans="1:2" s="1202" customFormat="1">
      <c r="A49" s="1200" t="s">
        <v>550</v>
      </c>
      <c r="B49" s="1201" t="str">
        <f ca="1">'预评函-3'!D5</f>
        <v>壹仟零贰拾伍万元整</v>
      </c>
    </row>
    <row r="50" spans="1:2" s="1202" customFormat="1">
      <c r="A50" s="1200" t="s">
        <v>574</v>
      </c>
      <c r="B50" s="1201" t="str">
        <f>'预评函-3'!F2</f>
        <v>在建建筑物价值</v>
      </c>
    </row>
    <row r="51" spans="1:2" s="1202" customFormat="1">
      <c r="A51" s="1200" t="s">
        <v>551</v>
      </c>
      <c r="B51" s="1201">
        <f ca="1">'预评函-3'!F4</f>
        <v>1463</v>
      </c>
    </row>
    <row r="52" spans="1:2" s="1202" customFormat="1">
      <c r="A52" s="1200" t="s">
        <v>552</v>
      </c>
      <c r="B52" s="1201">
        <f ca="1">'预评函-3'!G4</f>
        <v>6125</v>
      </c>
    </row>
    <row r="53" spans="1:2" s="1202" customFormat="1">
      <c r="A53" s="1200" t="s">
        <v>580</v>
      </c>
      <c r="B53" s="1201" t="str">
        <f ca="1">'预评函-3'!F5</f>
        <v>壹仟肆佰陆拾叁万元整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1" sqref="C21"/>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8" t="s">
        <v>3460</v>
      </c>
      <c r="C2" s="1546" t="s">
        <v>315</v>
      </c>
      <c r="D2" s="1547" t="s">
        <v>993</v>
      </c>
      <c r="E2" s="1547" t="s">
        <v>994</v>
      </c>
      <c r="F2" s="1547" t="s">
        <v>995</v>
      </c>
      <c r="G2" s="1547">
        <v>20</v>
      </c>
      <c r="H2" s="1547" t="s">
        <v>995</v>
      </c>
      <c r="I2" s="1547" t="s">
        <v>3336</v>
      </c>
      <c r="J2" s="1547" t="s">
        <v>996</v>
      </c>
      <c r="K2" s="1547" t="s">
        <v>997</v>
      </c>
      <c r="L2" s="1547" t="s">
        <v>997</v>
      </c>
      <c r="M2" s="1547" t="s">
        <v>997</v>
      </c>
      <c r="N2" s="1547" t="s">
        <v>997</v>
      </c>
      <c r="O2" s="1547" t="s">
        <v>997</v>
      </c>
      <c r="P2" s="1547" t="s">
        <v>997</v>
      </c>
      <c r="Q2" s="1547" t="s">
        <v>997</v>
      </c>
      <c r="R2" s="1547" t="s">
        <v>443</v>
      </c>
      <c r="S2" s="1547" t="s">
        <v>997</v>
      </c>
      <c r="T2" s="1547" t="s">
        <v>998</v>
      </c>
      <c r="U2" s="1547" t="s">
        <v>997</v>
      </c>
      <c r="V2" s="1547" t="s">
        <v>999</v>
      </c>
      <c r="W2" s="1547" t="s">
        <v>997</v>
      </c>
    </row>
    <row r="3" spans="1:23">
      <c r="A3" s="1545" t="s">
        <v>1000</v>
      </c>
      <c r="B3" s="1548" t="s">
        <v>448</v>
      </c>
      <c r="C3" s="1549" t="s">
        <v>316</v>
      </c>
      <c r="D3" s="1547" t="s">
        <v>1001</v>
      </c>
      <c r="E3" s="1547" t="s">
        <v>13</v>
      </c>
      <c r="F3" s="1547" t="s">
        <v>1002</v>
      </c>
      <c r="G3" s="1547">
        <v>40</v>
      </c>
      <c r="H3" s="1547" t="s">
        <v>1002</v>
      </c>
      <c r="I3" s="1547" t="s">
        <v>3337</v>
      </c>
      <c r="J3" s="1547" t="s">
        <v>1003</v>
      </c>
      <c r="K3" s="1547" t="s">
        <v>1004</v>
      </c>
      <c r="L3" s="1547" t="s">
        <v>1004</v>
      </c>
      <c r="M3" s="1547" t="s">
        <v>1004</v>
      </c>
      <c r="N3" s="1547" t="s">
        <v>1004</v>
      </c>
      <c r="O3" s="1547" t="s">
        <v>1004</v>
      </c>
      <c r="P3" s="1547" t="s">
        <v>1004</v>
      </c>
      <c r="Q3" s="1547" t="s">
        <v>1004</v>
      </c>
      <c r="R3" s="1547" t="s">
        <v>442</v>
      </c>
      <c r="S3" s="1547" t="s">
        <v>1004</v>
      </c>
      <c r="T3" s="1547" t="s">
        <v>1005</v>
      </c>
      <c r="U3" s="1547" t="s">
        <v>1004</v>
      </c>
      <c r="V3" s="1547" t="s">
        <v>1006</v>
      </c>
      <c r="W3" s="1547" t="s">
        <v>1004</v>
      </c>
    </row>
    <row r="4" spans="1:23">
      <c r="A4" s="1545" t="s">
        <v>1007</v>
      </c>
      <c r="B4" s="1545" t="s">
        <v>1008</v>
      </c>
      <c r="C4" s="1546" t="s">
        <v>317</v>
      </c>
      <c r="D4" s="1547" t="s">
        <v>389</v>
      </c>
      <c r="E4" s="1547" t="s">
        <v>1009</v>
      </c>
      <c r="F4" s="1547" t="s">
        <v>1010</v>
      </c>
      <c r="G4" s="1547">
        <v>50</v>
      </c>
      <c r="H4" s="1547" t="s">
        <v>1010</v>
      </c>
      <c r="I4" s="1547" t="s">
        <v>3338</v>
      </c>
      <c r="K4" s="1547" t="s">
        <v>1011</v>
      </c>
      <c r="L4" s="1547" t="s">
        <v>1011</v>
      </c>
      <c r="M4" s="1547" t="s">
        <v>1011</v>
      </c>
      <c r="N4" s="1547" t="s">
        <v>1011</v>
      </c>
      <c r="O4" s="1547" t="s">
        <v>1011</v>
      </c>
      <c r="P4" s="1547" t="s">
        <v>1011</v>
      </c>
      <c r="Q4" s="1547" t="s">
        <v>1011</v>
      </c>
      <c r="R4" s="1547" t="s">
        <v>444</v>
      </c>
      <c r="S4" s="1547" t="s">
        <v>1011</v>
      </c>
      <c r="T4" s="1547" t="s">
        <v>1012</v>
      </c>
      <c r="U4" s="1547" t="s">
        <v>1011</v>
      </c>
      <c r="W4" s="1547" t="s">
        <v>1011</v>
      </c>
    </row>
    <row r="5" spans="1:23">
      <c r="A5" s="1545" t="s">
        <v>1013</v>
      </c>
      <c r="B5" s="1548" t="s">
        <v>3456</v>
      </c>
      <c r="C5" s="1546" t="s">
        <v>318</v>
      </c>
      <c r="F5" s="1547" t="s">
        <v>1014</v>
      </c>
      <c r="G5" s="1547">
        <v>70</v>
      </c>
      <c r="H5" s="1547" t="s">
        <v>1015</v>
      </c>
      <c r="I5" s="1547" t="s">
        <v>3339</v>
      </c>
      <c r="K5" s="1547" t="s">
        <v>1016</v>
      </c>
      <c r="L5" s="1547" t="s">
        <v>1016</v>
      </c>
      <c r="M5" s="1547" t="s">
        <v>1016</v>
      </c>
      <c r="N5" s="1547" t="s">
        <v>1016</v>
      </c>
      <c r="O5" s="1547" t="s">
        <v>1016</v>
      </c>
      <c r="P5" s="1547" t="s">
        <v>1016</v>
      </c>
      <c r="Q5" s="1547" t="s">
        <v>1016</v>
      </c>
      <c r="R5" s="1547" t="s">
        <v>445</v>
      </c>
      <c r="S5" s="1547" t="s">
        <v>1016</v>
      </c>
      <c r="T5" s="1547" t="s">
        <v>1017</v>
      </c>
      <c r="U5" s="1547" t="s">
        <v>1016</v>
      </c>
      <c r="W5" s="1547" t="s">
        <v>1016</v>
      </c>
    </row>
    <row r="6" spans="1:23">
      <c r="A6" s="1545" t="s">
        <v>1018</v>
      </c>
      <c r="B6" s="1548" t="s">
        <v>449</v>
      </c>
      <c r="C6" s="1551" t="s">
        <v>24</v>
      </c>
      <c r="F6" s="1547" t="s">
        <v>1015</v>
      </c>
      <c r="H6" s="1547" t="s">
        <v>1019</v>
      </c>
      <c r="I6" s="1547" t="s">
        <v>3340</v>
      </c>
      <c r="K6" s="1547" t="s">
        <v>1020</v>
      </c>
      <c r="L6" s="1547" t="s">
        <v>1020</v>
      </c>
      <c r="M6" s="1547" t="s">
        <v>1020</v>
      </c>
      <c r="N6" s="1547" t="s">
        <v>1020</v>
      </c>
      <c r="O6" s="1547" t="s">
        <v>1020</v>
      </c>
      <c r="P6" s="1547" t="s">
        <v>1020</v>
      </c>
      <c r="Q6" s="1547" t="s">
        <v>1020</v>
      </c>
      <c r="R6" s="1547" t="s">
        <v>446</v>
      </c>
      <c r="S6" s="1547" t="s">
        <v>1020</v>
      </c>
      <c r="T6" s="1547"/>
      <c r="U6" s="1547" t="s">
        <v>1020</v>
      </c>
      <c r="W6" s="1547" t="s">
        <v>1020</v>
      </c>
    </row>
    <row r="7" spans="1:23">
      <c r="A7" s="1545" t="s">
        <v>1021</v>
      </c>
      <c r="B7" s="1548" t="s">
        <v>450</v>
      </c>
      <c r="C7" s="1546" t="s">
        <v>25</v>
      </c>
      <c r="F7" s="1547" t="s">
        <v>1022</v>
      </c>
      <c r="H7" s="1547" t="s">
        <v>1023</v>
      </c>
      <c r="I7" s="1547" t="s">
        <v>3341</v>
      </c>
    </row>
    <row r="8" spans="1:23">
      <c r="A8" s="1545" t="s">
        <v>1024</v>
      </c>
      <c r="B8" s="1545" t="s">
        <v>1025</v>
      </c>
      <c r="C8" s="1546" t="s">
        <v>319</v>
      </c>
      <c r="F8" s="1547" t="s">
        <v>1026</v>
      </c>
      <c r="H8" s="1547" t="s">
        <v>2578</v>
      </c>
      <c r="I8" s="1547" t="s">
        <v>3342</v>
      </c>
    </row>
    <row r="9" spans="1:23">
      <c r="A9" s="1545" t="s">
        <v>1027</v>
      </c>
      <c r="B9" s="1545" t="s">
        <v>1028</v>
      </c>
      <c r="C9" s="1546" t="s">
        <v>320</v>
      </c>
      <c r="F9" s="1547" t="s">
        <v>1029</v>
      </c>
      <c r="H9" s="1547"/>
      <c r="I9" s="1550" t="s">
        <v>3343</v>
      </c>
    </row>
    <row r="10" spans="1:23">
      <c r="A10" s="1545" t="s">
        <v>1030</v>
      </c>
      <c r="B10" s="1545" t="s">
        <v>1031</v>
      </c>
      <c r="C10" s="1546" t="s">
        <v>321</v>
      </c>
      <c r="F10" s="1547" t="s">
        <v>2579</v>
      </c>
      <c r="I10" s="1550" t="s">
        <v>3344</v>
      </c>
    </row>
    <row r="11" spans="1:23">
      <c r="A11" s="1545" t="s">
        <v>1032</v>
      </c>
      <c r="B11" s="1545" t="s">
        <v>1033</v>
      </c>
      <c r="C11" s="1546" t="s">
        <v>322</v>
      </c>
      <c r="F11" s="1547" t="s">
        <v>13</v>
      </c>
      <c r="I11" s="1550" t="s">
        <v>3345</v>
      </c>
    </row>
    <row r="12" spans="1:23">
      <c r="A12" s="1545" t="s">
        <v>1034</v>
      </c>
      <c r="B12" s="1545" t="s">
        <v>1035</v>
      </c>
      <c r="C12" s="1546" t="s">
        <v>323</v>
      </c>
      <c r="I12" s="1550" t="s">
        <v>3346</v>
      </c>
    </row>
    <row r="13" spans="1:23">
      <c r="A13" s="1545" t="s">
        <v>1036</v>
      </c>
      <c r="B13" s="1545" t="s">
        <v>1037</v>
      </c>
      <c r="C13" s="1546" t="s">
        <v>324</v>
      </c>
      <c r="I13" s="1550" t="s">
        <v>3347</v>
      </c>
    </row>
    <row r="14" spans="1:23">
      <c r="A14" s="1545" t="s">
        <v>1038</v>
      </c>
      <c r="B14" s="1545" t="s">
        <v>1039</v>
      </c>
      <c r="C14" s="1547" t="s">
        <v>13</v>
      </c>
      <c r="I14" s="1550" t="s">
        <v>3348</v>
      </c>
    </row>
    <row r="15" spans="1:23">
      <c r="A15" s="1545" t="s">
        <v>1040</v>
      </c>
      <c r="B15" s="1545" t="s">
        <v>1041</v>
      </c>
      <c r="C15" s="1546"/>
      <c r="I15" s="1550" t="s">
        <v>3349</v>
      </c>
    </row>
    <row r="16" spans="1:23">
      <c r="A16" s="1545" t="s">
        <v>1042</v>
      </c>
      <c r="B16" s="1545" t="s">
        <v>312</v>
      </c>
      <c r="C16" s="1546"/>
    </row>
    <row r="17" spans="1:3">
      <c r="A17" s="1545" t="s">
        <v>1043</v>
      </c>
      <c r="B17" s="1545" t="s">
        <v>2290</v>
      </c>
      <c r="C17" s="1546"/>
    </row>
    <row r="18" spans="1:3">
      <c r="A18" s="1545" t="s">
        <v>1044</v>
      </c>
      <c r="B18" s="1545" t="s">
        <v>2434</v>
      </c>
      <c r="C18" s="1546"/>
    </row>
    <row r="19" spans="1:3">
      <c r="A19" s="1545" t="s">
        <v>1045</v>
      </c>
      <c r="B19" s="1545" t="s">
        <v>3454</v>
      </c>
      <c r="C19" s="1546"/>
    </row>
    <row r="20" spans="1:3">
      <c r="A20" s="1545" t="s">
        <v>1046</v>
      </c>
      <c r="B20" s="1545" t="s">
        <v>3462</v>
      </c>
      <c r="C20" s="1546"/>
    </row>
    <row r="21" spans="1:3">
      <c r="A21" s="1545" t="s">
        <v>1047</v>
      </c>
      <c r="B21" s="1545" t="s">
        <v>3483</v>
      </c>
      <c r="C21" s="1546"/>
    </row>
    <row r="22" spans="1:3">
      <c r="A22" s="1545" t="s">
        <v>1048</v>
      </c>
      <c r="B22" s="1545" t="s">
        <v>313</v>
      </c>
      <c r="C22" s="1546"/>
    </row>
    <row r="23" spans="1:3">
      <c r="A23" s="1545" t="s">
        <v>1049</v>
      </c>
      <c r="B23" s="1545" t="s">
        <v>313</v>
      </c>
      <c r="C23" s="1546"/>
    </row>
    <row r="24" spans="1:3">
      <c r="A24" s="1545" t="s">
        <v>1050</v>
      </c>
      <c r="B24" s="1545" t="s">
        <v>313</v>
      </c>
      <c r="C24" s="1546"/>
    </row>
    <row r="25" spans="1:3">
      <c r="A25" s="1545" t="s">
        <v>1051</v>
      </c>
      <c r="B25" s="1545" t="s">
        <v>313</v>
      </c>
      <c r="C25" s="1546"/>
    </row>
    <row r="26" spans="1:3">
      <c r="A26" s="1545" t="s">
        <v>1052</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5"/>
      <c r="B54" s="1553" t="s">
        <v>385</v>
      </c>
      <c r="C54" s="1550" t="s">
        <v>583</v>
      </c>
    </row>
    <row r="55" spans="1:4">
      <c r="A55" s="3535"/>
      <c r="B55" s="1553" t="s">
        <v>386</v>
      </c>
      <c r="C55" s="1550" t="s">
        <v>584</v>
      </c>
    </row>
    <row r="56" spans="1:4">
      <c r="A56" s="3535"/>
      <c r="B56" s="1553" t="s">
        <v>387</v>
      </c>
      <c r="C56" s="1550" t="s">
        <v>588</v>
      </c>
    </row>
    <row r="57" spans="1:4">
      <c r="A57" s="353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6" t="s">
        <v>2594</v>
      </c>
      <c r="J1" s="3225"/>
      <c r="K1" s="3225"/>
      <c r="L1" s="3225"/>
      <c r="M1" s="3225"/>
      <c r="N1" s="3437"/>
      <c r="O1" s="3437"/>
      <c r="P1" s="3437"/>
      <c r="Q1" s="3437"/>
      <c r="R1" s="3437"/>
    </row>
    <row r="2" spans="1:18">
      <c r="A2" s="3016"/>
      <c r="B2" s="3017"/>
      <c r="C2" s="3017"/>
      <c r="D2" s="3017"/>
      <c r="E2" s="3017"/>
      <c r="F2" s="3018"/>
      <c r="I2" s="3536" t="s">
        <v>2581</v>
      </c>
      <c r="J2" s="3536"/>
      <c r="K2" s="3536"/>
      <c r="L2" s="3536"/>
      <c r="M2" s="3536"/>
      <c r="N2" s="3536"/>
      <c r="O2" s="3536"/>
      <c r="P2" s="3536"/>
      <c r="Q2" s="3536"/>
      <c r="R2" s="3536"/>
    </row>
    <row r="3" spans="1:18">
      <c r="A3" s="3019" t="s">
        <v>2502</v>
      </c>
      <c r="B3" s="3020">
        <f>项目基本情况!D3</f>
        <v>45449</v>
      </c>
      <c r="C3" s="3022"/>
      <c r="D3" s="3022"/>
      <c r="E3" s="3022"/>
      <c r="F3" s="3018"/>
      <c r="I3" s="3438"/>
      <c r="J3" s="3438" t="s">
        <v>2585</v>
      </c>
      <c r="K3" s="3438" t="s">
        <v>2586</v>
      </c>
      <c r="L3" s="3438" t="s">
        <v>2587</v>
      </c>
      <c r="M3" s="3438" t="s">
        <v>2588</v>
      </c>
      <c r="N3" s="3439" t="s">
        <v>2589</v>
      </c>
      <c r="O3" s="3439" t="s">
        <v>2590</v>
      </c>
      <c r="P3" s="3439" t="s">
        <v>2591</v>
      </c>
      <c r="Q3" s="3439" t="s">
        <v>2592</v>
      </c>
      <c r="R3" s="3439" t="s">
        <v>2593</v>
      </c>
    </row>
    <row r="4" spans="1:18">
      <c r="A4" s="3019" t="s">
        <v>2503</v>
      </c>
      <c r="B4" s="3022" t="s">
        <v>2504</v>
      </c>
      <c r="C4" s="3022" t="s">
        <v>2505</v>
      </c>
      <c r="D4" s="3022" t="s">
        <v>2506</v>
      </c>
      <c r="E4" s="3022" t="s">
        <v>2507</v>
      </c>
      <c r="F4" s="3018"/>
      <c r="I4" s="3438" t="s">
        <v>2582</v>
      </c>
      <c r="J4" s="3438">
        <v>80</v>
      </c>
      <c r="K4" s="3438">
        <v>70</v>
      </c>
      <c r="L4" s="3438">
        <v>20</v>
      </c>
      <c r="M4" s="3438">
        <v>30</v>
      </c>
      <c r="N4" s="3022">
        <v>45</v>
      </c>
      <c r="O4" s="3022">
        <v>60</v>
      </c>
      <c r="P4" s="3022">
        <v>50</v>
      </c>
      <c r="Q4" s="3022">
        <v>20</v>
      </c>
      <c r="R4" s="3022">
        <v>375</v>
      </c>
    </row>
    <row r="5" spans="1:18">
      <c r="A5" s="3023">
        <v>40</v>
      </c>
      <c r="B5" s="3020">
        <v>46375</v>
      </c>
      <c r="C5" s="3022">
        <f>ROUNDDOWN(MIN((B5-B3)/365,A5),2)</f>
        <v>2.5299999999999998</v>
      </c>
      <c r="D5" s="3024">
        <f>IF(ISERROR(ROUND(POWER(1+E5,A5-C5)*(POWER(1+E5,C5)-1)/(POWER(1+E5,A5)-1),3)),0,ROUND(POWER(1+E5,A5-C5)*(POWER(1+E5,C5)-1)/(POWER(1+E5,A5)-1),4))</f>
        <v>0.1193</v>
      </c>
      <c r="E5" s="3025">
        <v>0.04</v>
      </c>
      <c r="F5" s="3018"/>
      <c r="I5" s="3438" t="s">
        <v>2583</v>
      </c>
      <c r="J5" s="3438">
        <v>70</v>
      </c>
      <c r="K5" s="3438">
        <v>60</v>
      </c>
      <c r="L5" s="3438">
        <v>15</v>
      </c>
      <c r="M5" s="3438">
        <v>25</v>
      </c>
      <c r="N5" s="3022">
        <v>40</v>
      </c>
      <c r="O5" s="3022">
        <v>50</v>
      </c>
      <c r="P5" s="3022">
        <v>40</v>
      </c>
      <c r="Q5" s="3022">
        <v>15</v>
      </c>
      <c r="R5" s="3022">
        <v>315</v>
      </c>
    </row>
    <row r="6" spans="1:18">
      <c r="A6" s="3023">
        <v>50</v>
      </c>
      <c r="B6" s="3020">
        <v>50028</v>
      </c>
      <c r="C6" s="3022">
        <f>ROUNDDOWN(MIN((B6-B3)/365,A6),2)</f>
        <v>12.54</v>
      </c>
      <c r="D6" s="3024">
        <f>IF(ISERROR(ROUND(POWER(1+E6,A6-C6)*(POWER(1+E6,C6)-1)/(POWER(1+E6,A6)-1),3)),0,ROUND(POWER(1+E6,A6-C6)*(POWER(1+E6,C6)-1)/(POWER(1+E6,A6)-1),4))</f>
        <v>0.4521</v>
      </c>
      <c r="E6" s="3025">
        <v>0.04</v>
      </c>
      <c r="F6" s="3018"/>
      <c r="I6" s="3438" t="s">
        <v>2584</v>
      </c>
      <c r="J6" s="3438">
        <v>60</v>
      </c>
      <c r="K6" s="3438">
        <v>50</v>
      </c>
      <c r="L6" s="3438">
        <v>10</v>
      </c>
      <c r="M6" s="3438">
        <v>20</v>
      </c>
      <c r="N6" s="3022">
        <v>35</v>
      </c>
      <c r="O6" s="3022">
        <v>40</v>
      </c>
      <c r="P6" s="3022">
        <v>30</v>
      </c>
      <c r="Q6" s="3022">
        <v>10</v>
      </c>
      <c r="R6" s="3022">
        <v>255</v>
      </c>
    </row>
    <row r="7" spans="1:18">
      <c r="A7" s="3023">
        <v>70</v>
      </c>
      <c r="B7" s="3020">
        <v>57333</v>
      </c>
      <c r="C7" s="3022">
        <f>ROUNDDOWN(MIN((B7-B3)/365,A7),2)</f>
        <v>32.549999999999997</v>
      </c>
      <c r="D7" s="3024">
        <f>IF(ISERROR(ROUND(POWER(1+E7,A7-C7)*(POWER(1+E7,C7)-1)/(POWER(1+E7,A7)-1),3)),0,ROUND(POWER(1+E7,A7-C7)*(POWER(1+E7,C7)-1)/(POWER(1+E7,A7)-1),4))</f>
        <v>0.77049999999999996</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C1" zoomScaleNormal="100" zoomScaleSheetLayoutView="100" workbookViewId="0">
      <selection activeCell="G37" sqref="G37"/>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2165</v>
      </c>
      <c r="B1" s="3545" t="str">
        <f>IF(B10="北京市","北京市",C10)&amp;F10&amp;IF(结果表!G1="在建","出让国有建设用地使用权及在建建筑物",IF(结果表!G1="土地","出让国有建设用地使用权",))&amp;B9&amp;"预评估"</f>
        <v>北京市房地产抵押价值预评估</v>
      </c>
      <c r="C1" s="3546"/>
      <c r="D1" s="3546"/>
      <c r="E1" s="3546"/>
      <c r="F1" s="3546"/>
      <c r="G1" s="3546"/>
      <c r="H1" s="3546"/>
      <c r="I1" s="3547"/>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2166</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2167</v>
      </c>
      <c r="B3" s="2372"/>
      <c r="C3" s="2373" t="s">
        <v>2168</v>
      </c>
      <c r="D3" s="2372">
        <v>45449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2169</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2170</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2171</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2172</v>
      </c>
      <c r="B7" s="2386"/>
      <c r="C7" s="2384"/>
      <c r="D7" s="2385"/>
      <c r="E7" s="2661"/>
      <c r="F7" s="2663"/>
      <c r="G7" s="2663"/>
      <c r="H7" s="2663"/>
      <c r="I7" s="2663"/>
      <c r="J7" s="2438"/>
      <c r="K7" s="2615"/>
      <c r="L7" s="2612"/>
      <c r="M7" s="2612"/>
      <c r="N7" s="2438"/>
      <c r="O7" s="2449"/>
      <c r="P7" s="2438"/>
      <c r="Q7" s="2438"/>
      <c r="R7" s="2438"/>
    </row>
    <row r="8" spans="1:30">
      <c r="A8" s="2387" t="s">
        <v>2173</v>
      </c>
      <c r="B8" s="2388" t="s">
        <v>3375</v>
      </c>
      <c r="C8" s="2389"/>
      <c r="D8" s="3548" t="s">
        <v>2174</v>
      </c>
      <c r="E8" s="2390" t="s">
        <v>3379</v>
      </c>
      <c r="F8" s="2391"/>
      <c r="G8" s="2662"/>
      <c r="H8" s="2662"/>
      <c r="I8" s="2662"/>
      <c r="J8" s="2438"/>
      <c r="K8" s="2613"/>
      <c r="L8" s="2612"/>
      <c r="M8" s="2612"/>
      <c r="N8" s="2438"/>
      <c r="O8" s="2449"/>
      <c r="P8" s="2438"/>
      <c r="Q8" s="2438"/>
      <c r="R8" s="2438"/>
    </row>
    <row r="9" spans="1:30" ht="13.5" thickBot="1">
      <c r="A9" s="2392" t="s">
        <v>2175</v>
      </c>
      <c r="B9" s="2393" t="s">
        <v>3379</v>
      </c>
      <c r="C9" s="2394"/>
      <c r="D9" s="3549"/>
      <c r="E9" s="2393"/>
      <c r="F9" s="2395"/>
      <c r="G9" s="2664"/>
      <c r="H9" s="2664"/>
      <c r="I9" s="2664"/>
      <c r="J9" s="2438"/>
      <c r="K9" s="2615"/>
      <c r="L9" s="2612"/>
      <c r="M9" s="2612"/>
      <c r="N9" s="2438"/>
      <c r="O9" s="2449"/>
      <c r="P9" s="2438"/>
      <c r="Q9" s="2438"/>
      <c r="R9" s="2438"/>
    </row>
    <row r="10" spans="1:30" ht="13.5" thickTop="1">
      <c r="A10" s="2396" t="s">
        <v>2176</v>
      </c>
      <c r="B10" s="2397" t="s">
        <v>3380</v>
      </c>
      <c r="C10" s="2398"/>
      <c r="D10" s="2381"/>
      <c r="E10" s="2399" t="s">
        <v>2177</v>
      </c>
      <c r="F10" s="2665"/>
      <c r="G10" s="2666"/>
      <c r="H10" s="2667"/>
      <c r="I10" s="2668"/>
      <c r="J10" s="2438"/>
      <c r="K10" s="2615"/>
      <c r="L10" s="2612"/>
      <c r="M10" s="2612"/>
      <c r="N10" s="2438"/>
      <c r="O10" s="2449"/>
      <c r="P10" s="2438"/>
      <c r="Q10" s="2438"/>
      <c r="R10" s="2438"/>
    </row>
    <row r="11" spans="1:30">
      <c r="A11" s="2400" t="s">
        <v>2178</v>
      </c>
      <c r="B11" s="2401" t="s">
        <v>3478</v>
      </c>
      <c r="C11" s="2402"/>
      <c r="D11" s="2403"/>
      <c r="E11" s="2369"/>
      <c r="F11" s="2369"/>
      <c r="G11" s="2369"/>
      <c r="H11" s="2369"/>
      <c r="I11" s="2369"/>
      <c r="J11" s="3060"/>
      <c r="K11" s="3059"/>
      <c r="L11" s="2612"/>
      <c r="M11" s="2612"/>
      <c r="N11" s="2438"/>
      <c r="O11" s="2449"/>
      <c r="P11" s="2438"/>
      <c r="Q11" s="2438"/>
      <c r="R11" s="2438"/>
    </row>
    <row r="12" spans="1:30">
      <c r="A12" s="2404" t="s">
        <v>2179</v>
      </c>
      <c r="B12" s="323" t="s">
        <v>2180</v>
      </c>
      <c r="C12" s="2405" t="s">
        <v>2181</v>
      </c>
      <c r="D12" s="2405" t="s">
        <v>2182</v>
      </c>
      <c r="E12" s="2405" t="s">
        <v>2183</v>
      </c>
      <c r="F12" s="2405" t="s">
        <v>2184</v>
      </c>
      <c r="G12" s="2405" t="s">
        <v>2185</v>
      </c>
      <c r="H12" s="2405" t="s">
        <v>2186</v>
      </c>
      <c r="I12" s="3058" t="s">
        <v>2577</v>
      </c>
      <c r="J12" s="3061"/>
      <c r="K12" s="2612"/>
      <c r="L12" s="2612"/>
      <c r="M12" s="2438"/>
      <c r="N12" s="2449"/>
      <c r="O12" s="2438"/>
      <c r="P12" s="2438"/>
      <c r="Q12" s="2438"/>
      <c r="AD12" s="1744"/>
    </row>
    <row r="13" spans="1:30">
      <c r="A13" s="3422" t="s">
        <v>3332</v>
      </c>
      <c r="B13" s="2406" t="s">
        <v>2187</v>
      </c>
      <c r="C13" s="855"/>
      <c r="D13" s="855"/>
      <c r="E13" s="855"/>
      <c r="F13" s="855"/>
      <c r="G13" s="855"/>
      <c r="H13" s="855">
        <v>58802</v>
      </c>
      <c r="I13" s="855"/>
      <c r="J13" s="3061"/>
      <c r="K13" s="2612"/>
      <c r="L13" s="2612"/>
      <c r="M13" s="2438"/>
      <c r="N13" s="2449"/>
      <c r="O13" s="2438"/>
      <c r="P13" s="2438"/>
      <c r="Q13" s="2438"/>
      <c r="AD13" s="1744"/>
    </row>
    <row r="14" spans="1:30">
      <c r="A14" s="1080"/>
      <c r="B14" s="2406" t="s">
        <v>2188</v>
      </c>
      <c r="C14" s="2407"/>
      <c r="D14" s="2407"/>
      <c r="E14" s="2407"/>
      <c r="F14" s="2407"/>
      <c r="G14" s="2407"/>
      <c r="H14" s="2407">
        <v>50</v>
      </c>
      <c r="I14" s="2407"/>
      <c r="J14" s="3062"/>
      <c r="K14" s="2612"/>
      <c r="L14" s="2612"/>
      <c r="M14" s="2438"/>
      <c r="N14" s="2449"/>
      <c r="O14" s="2438"/>
      <c r="P14" s="2438"/>
      <c r="Q14" s="2438"/>
      <c r="AD14" s="1744"/>
    </row>
    <row r="15" spans="1:30">
      <c r="A15" s="320"/>
      <c r="B15" s="2408" t="s">
        <v>2189</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36.58</v>
      </c>
      <c r="I15" s="2409" t="str">
        <f>IF(A13="出让",IF(I13="","",ROUNDDOWN(MIN((I13-$D$3)/365,I14),2)),I14)</f>
        <v/>
      </c>
      <c r="J15" s="3063"/>
      <c r="K15" s="2450"/>
      <c r="L15" s="2450"/>
      <c r="M15" s="2508"/>
      <c r="N15" s="2450"/>
      <c r="O15" s="2508"/>
      <c r="P15" s="2438"/>
      <c r="Q15" s="2438"/>
      <c r="AD15" s="1744"/>
    </row>
    <row r="16" spans="1:30">
      <c r="A16" s="2399" t="s">
        <v>2190</v>
      </c>
      <c r="B16" s="3555"/>
      <c r="C16" s="3556"/>
      <c r="D16" s="3557"/>
      <c r="E16" s="2412" t="s">
        <v>2191</v>
      </c>
      <c r="F16" s="3558"/>
      <c r="G16" s="3559"/>
      <c r="H16" s="3559"/>
      <c r="I16" s="3560"/>
      <c r="J16" s="2438"/>
      <c r="K16" s="2616"/>
      <c r="L16" s="2450"/>
      <c r="M16" s="2450"/>
      <c r="N16" s="2508"/>
      <c r="O16" s="2450"/>
      <c r="P16" s="2508"/>
      <c r="Q16" s="2438"/>
      <c r="R16" s="2438"/>
    </row>
    <row r="17" spans="1:28">
      <c r="A17" s="313" t="s">
        <v>2192</v>
      </c>
      <c r="B17" s="302" t="s">
        <v>2193</v>
      </c>
      <c r="C17" s="8">
        <f>'数据-汇总表'!E3</f>
        <v>2389.2399999999998</v>
      </c>
      <c r="D17" s="2321" t="s">
        <v>2194</v>
      </c>
      <c r="E17" s="3561" t="s">
        <v>2195</v>
      </c>
      <c r="F17" s="3562"/>
      <c r="G17" s="3562"/>
      <c r="H17" s="3562"/>
      <c r="I17" s="3563"/>
      <c r="J17" s="2438"/>
      <c r="K17" s="2617"/>
      <c r="L17" s="2450"/>
      <c r="M17" s="2450"/>
      <c r="N17" s="2508"/>
      <c r="O17" s="2450"/>
      <c r="P17" s="2508"/>
      <c r="Q17" s="2438"/>
      <c r="R17" s="2438"/>
      <c r="S17" s="2438"/>
      <c r="T17" s="2438"/>
      <c r="U17" s="2438"/>
      <c r="V17" s="2438"/>
    </row>
    <row r="18" spans="1:28" ht="24.75" thickBot="1">
      <c r="A18" s="2413" t="s">
        <v>2196</v>
      </c>
      <c r="B18" s="1089" t="s">
        <v>2197</v>
      </c>
      <c r="C18" s="2414">
        <f>'数据-汇总表'!D3</f>
        <v>0</v>
      </c>
      <c r="D18" s="1091" t="s">
        <v>2198</v>
      </c>
      <c r="E18" s="3564" t="s">
        <v>2199</v>
      </c>
      <c r="F18" s="3565"/>
      <c r="G18" s="3565"/>
      <c r="H18" s="3565"/>
      <c r="I18" s="3566"/>
      <c r="J18" s="2438"/>
      <c r="K18" s="2617"/>
      <c r="L18" s="2450"/>
      <c r="M18" s="2450"/>
      <c r="N18" s="2508"/>
      <c r="O18" s="2450"/>
      <c r="P18" s="2508"/>
      <c r="Q18" s="2438"/>
      <c r="R18" s="2438"/>
      <c r="S18" s="2438"/>
      <c r="T18" s="2438"/>
      <c r="U18" s="2438"/>
      <c r="V18" s="2438"/>
    </row>
    <row r="19" spans="1:28" ht="37.5" thickTop="1" thickBot="1">
      <c r="A19" s="327" t="s">
        <v>1053</v>
      </c>
      <c r="B19" s="307" t="s">
        <v>2200</v>
      </c>
      <c r="C19" s="1562"/>
      <c r="D19" s="1563" t="s">
        <v>2201</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2202</v>
      </c>
      <c r="B20" s="3551" t="s">
        <v>2203</v>
      </c>
      <c r="C20" s="3552"/>
      <c r="D20" s="3553" t="s">
        <v>2204</v>
      </c>
      <c r="E20" s="3554"/>
      <c r="F20" s="2646" t="s">
        <v>1054</v>
      </c>
      <c r="G20" s="2663"/>
      <c r="H20" s="2663"/>
      <c r="I20" s="2663"/>
      <c r="J20" s="2438"/>
      <c r="K20" s="3550" t="s">
        <v>2205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2206</v>
      </c>
      <c r="C21" s="2633" t="s">
        <v>1055</v>
      </c>
      <c r="D21" s="1567" t="s">
        <v>2207</v>
      </c>
      <c r="E21" s="2634" t="s">
        <v>1055</v>
      </c>
      <c r="F21" s="2647"/>
      <c r="G21" s="2663">
        <v>2005</v>
      </c>
      <c r="H21" s="2663"/>
      <c r="I21" s="2663"/>
      <c r="J21" s="2438"/>
      <c r="K21" s="355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2208</v>
      </c>
      <c r="C22" s="2633" t="s">
        <v>1056</v>
      </c>
      <c r="D22" s="2662"/>
      <c r="E22" s="2662"/>
      <c r="F22" s="2662"/>
      <c r="G22" s="2663">
        <f>2024-G21</f>
        <v>19</v>
      </c>
      <c r="H22" s="2663"/>
      <c r="I22" s="2663"/>
      <c r="J22" s="2438"/>
      <c r="K22" s="355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2209</v>
      </c>
      <c r="B23" s="2501" t="s">
        <v>2210</v>
      </c>
      <c r="C23" s="2637"/>
      <c r="D23" s="2638" t="s">
        <v>2210</v>
      </c>
      <c r="E23" s="2639"/>
      <c r="F23" s="2662"/>
      <c r="G23" s="2663">
        <f>50-(G22+'数据-取费表'!B20)</f>
        <v>29</v>
      </c>
      <c r="H23" s="2663"/>
      <c r="I23" s="2663"/>
      <c r="J23" s="2438"/>
      <c r="K23" s="2618"/>
      <c r="L23" s="2474"/>
      <c r="M23" s="2612"/>
      <c r="N23" s="2508"/>
      <c r="O23" s="2450"/>
      <c r="P23" s="2508"/>
      <c r="Q23" s="2438"/>
      <c r="R23" s="2438"/>
      <c r="S23" s="2438"/>
      <c r="T23" s="2438"/>
      <c r="U23" s="2438"/>
      <c r="V23" s="2438"/>
    </row>
    <row r="24" spans="1:28">
      <c r="A24" s="2636"/>
      <c r="B24" s="2501" t="s">
        <v>1057</v>
      </c>
      <c r="C24" s="2640"/>
      <c r="D24" s="2636" t="s">
        <v>1057</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1058</v>
      </c>
      <c r="C25" s="2640"/>
      <c r="D25" s="2636" t="s">
        <v>1058</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1059</v>
      </c>
      <c r="C26" s="2644"/>
      <c r="D26" s="2642" t="s">
        <v>1059</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8" t="s">
        <v>2211</v>
      </c>
      <c r="B27" s="320" t="s">
        <v>2212</v>
      </c>
      <c r="C27" s="2415" t="s">
        <v>3466</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8"/>
      <c r="B28" s="302" t="s">
        <v>2213</v>
      </c>
      <c r="C28" s="2417" t="s">
        <v>3381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8"/>
      <c r="B29" s="302" t="s">
        <v>2214</v>
      </c>
      <c r="C29" s="2419" t="s">
        <v>3382</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9"/>
      <c r="B30" s="302" t="s">
        <v>2215</v>
      </c>
      <c r="C30" s="3540"/>
      <c r="D30" s="3541"/>
      <c r="E30" s="2663"/>
      <c r="F30" s="2663"/>
      <c r="G30" s="2663"/>
      <c r="H30" s="2663"/>
      <c r="I30" s="2663"/>
      <c r="J30" s="2438"/>
      <c r="K30" s="2615"/>
      <c r="L30" s="2612"/>
      <c r="M30" s="2612"/>
      <c r="N30" s="2438"/>
      <c r="O30" s="2449"/>
      <c r="P30" s="2438"/>
      <c r="Q30" s="2438"/>
      <c r="R30" s="2438"/>
      <c r="S30" s="2438"/>
      <c r="T30" s="2438"/>
      <c r="U30" s="2438"/>
      <c r="V30" s="2438"/>
    </row>
    <row r="31" spans="1:28">
      <c r="A31" s="3542" t="s">
        <v>2216</v>
      </c>
      <c r="B31" s="2421" t="s">
        <v>3383</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43"/>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43"/>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5" t="s">
        <v>3384</v>
      </c>
      <c r="C34" s="2025" t="s">
        <v>3385</v>
      </c>
      <c r="D34" s="2025" t="s">
        <v>3386</v>
      </c>
      <c r="E34" s="2025" t="s">
        <v>3387</v>
      </c>
      <c r="F34" s="2025" t="s">
        <v>3388</v>
      </c>
      <c r="G34" s="2025"/>
      <c r="H34" s="2025"/>
      <c r="I34" s="2663"/>
      <c r="J34" s="2438"/>
      <c r="K34" s="2426">
        <f>COUNTIF(B34:H34,"——")</f>
        <v>0</v>
      </c>
      <c r="L34" s="323" t="s">
        <v>2218</v>
      </c>
      <c r="M34" s="323" t="s">
        <v>2219</v>
      </c>
      <c r="N34" s="323" t="s">
        <v>2220</v>
      </c>
      <c r="O34" s="323" t="s">
        <v>2221</v>
      </c>
      <c r="P34" s="323" t="s">
        <v>2222</v>
      </c>
      <c r="Q34" s="323" t="s">
        <v>2223</v>
      </c>
      <c r="R34" s="323" t="s">
        <v>2224</v>
      </c>
      <c r="S34" s="3537" t="s">
        <v>2225</v>
      </c>
      <c r="T34" s="2427" t="str">
        <f>NUMBERSTRING(7-K34,1)&amp;"通"</f>
        <v>七通</v>
      </c>
      <c r="U34" s="2438"/>
      <c r="V34" s="2438"/>
    </row>
    <row r="35" spans="1:30">
      <c r="A35" s="2428"/>
      <c r="B35" s="3544" t="s">
        <v>2226</v>
      </c>
      <c r="C35" s="3544"/>
      <c r="D35" s="3544"/>
      <c r="E35" s="3544"/>
      <c r="F35" s="663">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37"/>
      <c r="T35" s="329" t="str">
        <f>IF(T34="一通",L35,IF(T34="二通",M35,IF(T34="三通",N35,IF(T34="四通",O35,IF(T34="五通",P35,IF(T34="六通",Q35,R35))))))</f>
        <v>通路、通电、通讯、通上水、通下水、、</v>
      </c>
      <c r="U35" s="2438"/>
      <c r="V35" s="2438"/>
    </row>
    <row r="36" spans="1:30">
      <c r="A36" s="2429"/>
      <c r="B36" s="663" t="s">
        <v>2182</v>
      </c>
      <c r="C36" s="663" t="s">
        <v>2183</v>
      </c>
      <c r="D36" s="663" t="s">
        <v>2181</v>
      </c>
      <c r="E36" s="663" t="s">
        <v>2186</v>
      </c>
      <c r="F36" s="3064" t="s">
        <v>2580</v>
      </c>
      <c r="G36" s="2663"/>
      <c r="H36" s="2663"/>
      <c r="I36" s="2663"/>
      <c r="J36" s="2438"/>
      <c r="K36" s="2615"/>
      <c r="L36" s="2612"/>
      <c r="M36" s="2612"/>
      <c r="N36" s="2438"/>
      <c r="O36" s="2449"/>
      <c r="P36" s="2438"/>
      <c r="Q36" s="2438"/>
      <c r="R36" s="2438"/>
      <c r="S36" s="2438"/>
      <c r="T36" s="2438"/>
      <c r="U36" s="2438"/>
      <c r="V36" s="2438"/>
    </row>
    <row r="37" spans="1:30">
      <c r="A37" s="2629" t="s">
        <v>2227</v>
      </c>
      <c r="B37" s="3452" t="s">
        <v>110</v>
      </c>
      <c r="C37" s="2430"/>
      <c r="D37" s="2430"/>
      <c r="E37" s="2430" t="s">
        <v>29</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2228</v>
      </c>
      <c r="B38" s="2431" t="s">
        <v>268</v>
      </c>
      <c r="C38" s="2431"/>
      <c r="D38" s="2431"/>
      <c r="E38" s="2431" t="s">
        <v>3482</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2230</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1065</v>
      </c>
      <c r="AZ2" s="1048"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2389.2399999999998</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2389.2399999999998</v>
      </c>
      <c r="H5" s="13">
        <f t="shared" ref="H5:AT5" si="0">SUM(H13:H656)</f>
        <v>2389.2399999999998</v>
      </c>
      <c r="I5" s="13">
        <f t="shared" si="0"/>
        <v>1911.3919999999998</v>
      </c>
      <c r="J5" s="13">
        <f t="shared" si="0"/>
        <v>0</v>
      </c>
      <c r="K5" s="13">
        <f t="shared" si="0"/>
        <v>477.84799999999996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2389.2399999999998</v>
      </c>
      <c r="BA5" s="15">
        <f t="shared" si="1"/>
        <v>2389.2399999999998</v>
      </c>
      <c r="BB5" s="15">
        <f t="shared" si="1"/>
        <v>1911.3919999999998</v>
      </c>
      <c r="BC5" s="15">
        <f t="shared" si="1"/>
        <v>477.84799999999996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8" t="s">
        <v>1084</v>
      </c>
      <c r="AD8" s="1599"/>
      <c r="AE8" s="1591"/>
      <c r="AF8" s="1359"/>
      <c r="AG8" s="1359"/>
      <c r="AH8" s="1359"/>
      <c r="AI8" s="1359"/>
      <c r="AJ8" s="1359"/>
      <c r="AK8" s="1359"/>
      <c r="AL8" s="1359"/>
      <c r="AM8" s="1359"/>
      <c r="AN8" s="1359"/>
      <c r="AO8" s="1359"/>
      <c r="AP8" s="1359"/>
      <c r="AQ8" s="1359"/>
      <c r="AR8" s="1359"/>
      <c r="AS8" s="1359"/>
      <c r="AT8" s="1069" t="s">
        <v>1085</v>
      </c>
      <c r="AU8" s="1593" t="s">
        <v>1086</v>
      </c>
      <c r="AV8" s="1069"/>
      <c r="AW8" s="1576"/>
      <c r="AX8" s="1069"/>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1089</v>
      </c>
      <c r="I9" s="1602" t="s">
        <v>3390</v>
      </c>
      <c r="J9" s="808"/>
      <c r="K9" s="1602" t="s">
        <v>3475</v>
      </c>
      <c r="L9" s="808"/>
      <c r="M9" s="1602"/>
      <c r="N9" s="808"/>
      <c r="O9" s="1602"/>
      <c r="P9" s="808"/>
      <c r="Q9" s="1602"/>
      <c r="R9" s="808"/>
      <c r="S9" s="1602"/>
      <c r="T9" s="808"/>
      <c r="U9" s="1602"/>
      <c r="V9" s="808"/>
      <c r="W9" s="1602"/>
      <c r="X9" s="1603"/>
      <c r="Y9" s="1602"/>
      <c r="Z9" s="808"/>
      <c r="AA9" s="1602"/>
      <c r="AB9" s="808"/>
      <c r="AC9" s="1594"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4"/>
      <c r="AT9" s="1593"/>
      <c r="AU9" s="1593" t="s">
        <v>1092</v>
      </c>
      <c r="AV9" s="1069"/>
      <c r="AW9" s="1576"/>
      <c r="AX9" s="1069"/>
      <c r="AY9" s="25"/>
      <c r="AZ9" s="25" t="s">
        <v>1082</v>
      </c>
      <c r="BA9" s="1605" t="s">
        <v>1093</v>
      </c>
      <c r="BB9" s="1606"/>
      <c r="BC9" s="1087"/>
      <c r="BD9" s="1087"/>
      <c r="BE9" s="1087"/>
      <c r="BF9" s="1087"/>
      <c r="BG9" s="1087"/>
      <c r="BH9" s="1087"/>
      <c r="BI9" s="1087"/>
      <c r="BJ9" s="1087"/>
      <c r="BK9" s="1607"/>
      <c r="BL9" s="12" t="s">
        <v>1094</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t="s">
        <v>3</v>
      </c>
      <c r="L10" s="808"/>
      <c r="M10" s="1608"/>
      <c r="N10" s="808"/>
      <c r="O10" s="1608"/>
      <c r="P10" s="808"/>
      <c r="Q10" s="1608"/>
      <c r="R10" s="808"/>
      <c r="S10" s="1608"/>
      <c r="T10" s="808"/>
      <c r="U10" s="1608"/>
      <c r="V10" s="808"/>
      <c r="W10" s="1608"/>
      <c r="X10" s="808"/>
      <c r="Y10" s="1608"/>
      <c r="Z10" s="808"/>
      <c r="AA10" s="1608"/>
      <c r="AB10" s="808"/>
      <c r="AC10" s="1069"/>
      <c r="AD10" s="12" t="s">
        <v>1095</v>
      </c>
      <c r="AE10" s="1609"/>
      <c r="AF10" s="12" t="s">
        <v>1095</v>
      </c>
      <c r="AG10" s="1609"/>
      <c r="AH10" s="12" t="s">
        <v>1096</v>
      </c>
      <c r="AI10" s="1609"/>
      <c r="AJ10" s="12" t="s">
        <v>1096</v>
      </c>
      <c r="AK10" s="1609"/>
      <c r="AL10" s="12" t="s">
        <v>1097</v>
      </c>
      <c r="AM10" s="1075"/>
      <c r="AN10" s="12" t="s">
        <v>1097</v>
      </c>
      <c r="AO10" s="1075"/>
      <c r="AP10" s="12" t="s">
        <v>1098</v>
      </c>
      <c r="AQ10" s="1075"/>
      <c r="AR10" s="12" t="s">
        <v>1098</v>
      </c>
      <c r="AS10" s="1075"/>
      <c r="AT10" s="1593"/>
      <c r="AU10" s="1593"/>
      <c r="AV10" s="1069"/>
      <c r="AW10" s="1576"/>
      <c r="AX10" s="1069"/>
      <c r="AY10" s="25"/>
      <c r="AZ10" s="25"/>
      <c r="BA10" s="1610" t="s">
        <v>1089</v>
      </c>
      <c r="BB10" s="1611" t="str">
        <f>I9</f>
        <v>地上</v>
      </c>
      <c r="BC10" s="26" t="str">
        <f>K9</f>
        <v>地下</v>
      </c>
      <c r="BD10" s="26">
        <f>M9</f>
        <v>0</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v>
      </c>
      <c r="D13" s="1624" t="s">
        <v>3389</v>
      </c>
      <c r="E13" s="13">
        <f>IF($C$3="是",ROUND($A$3*G13/$B$3,2),ROUND($A$3*(G13-AT13)/$B$3,2))</f>
        <v>0</v>
      </c>
      <c r="F13" s="29"/>
      <c r="G13" s="30">
        <f>H13+AC13+AT13</f>
        <v>2389.2399999999998</v>
      </c>
      <c r="H13" s="17">
        <f>SUMIF(I$12:AB$12,"总值",I13:AB13)</f>
        <v>2389.2399999999998</v>
      </c>
      <c r="I13" s="1625">
        <f>2389.24-K13</f>
        <v>1911.3919999999998</v>
      </c>
      <c r="J13" s="1625"/>
      <c r="K13" s="1625">
        <f>2389.24/5</f>
        <v>477.84799999999996</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v>
      </c>
      <c r="AY13" s="1348">
        <f>ROUND($AY$6*AZ13/$AZ$5,2)</f>
        <v>0</v>
      </c>
      <c r="AZ13" s="13">
        <f>BA13+BL13</f>
        <v>2389.2399999999998</v>
      </c>
      <c r="BA13" s="13">
        <f>SUM(BB13:BK13)</f>
        <v>2389.2399999999998</v>
      </c>
      <c r="BB13" s="13">
        <f>IF($D13="是",I13-J13,0)</f>
        <v>1911.3919999999998</v>
      </c>
      <c r="BC13" s="13">
        <f>IF($D13="是",K13-L13,0)</f>
        <v>477.84799999999996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050"/>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050"/>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0"/>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0"/>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50"/>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0"/>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50"/>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50"/>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8"/>
      <c r="C1" s="1138"/>
      <c r="D1" s="1138"/>
      <c r="E1" s="1138"/>
      <c r="F1" s="1138"/>
      <c r="G1" s="1138"/>
      <c r="H1" s="1138"/>
      <c r="I1" s="1138"/>
      <c r="J1" s="1138"/>
      <c r="K1" s="1138"/>
      <c r="L1" s="1138"/>
      <c r="M1" s="1138"/>
      <c r="N1" s="1138"/>
      <c r="O1" s="1138"/>
      <c r="P1" s="1138"/>
    </row>
    <row r="2" spans="1:16" ht="15">
      <c r="A2" s="3576" t="s">
        <v>1129</v>
      </c>
      <c r="B2" s="3576"/>
      <c r="C2" s="3576"/>
      <c r="D2" s="795" t="s">
        <v>1105</v>
      </c>
      <c r="E2" s="1638" t="s">
        <v>1106</v>
      </c>
      <c r="F2" s="2658"/>
      <c r="G2" s="2649"/>
      <c r="H2" s="2650"/>
      <c r="I2" s="2324" t="s">
        <v>1130</v>
      </c>
      <c r="J2" s="2658"/>
      <c r="K2" s="2658"/>
      <c r="L2" s="2658"/>
      <c r="M2" s="2658"/>
      <c r="N2" s="2660"/>
      <c r="O2" s="2658"/>
      <c r="P2" s="2658"/>
    </row>
    <row r="3" spans="1:16" ht="15.75" thickBot="1">
      <c r="A3" s="3577" t="s">
        <v>1103</v>
      </c>
      <c r="B3" s="3577"/>
      <c r="C3" s="3577"/>
      <c r="D3" s="43">
        <f>'数据-基础表'!AY6</f>
        <v>0</v>
      </c>
      <c r="E3" s="43">
        <f>'数据-基础表'!AZ5</f>
        <v>2389.2399999999998</v>
      </c>
      <c r="F3" s="2658"/>
      <c r="G3" s="1144"/>
      <c r="H3" s="1025" t="s">
        <v>1104</v>
      </c>
      <c r="I3" s="854" t="e">
        <f>ROUND('数据-基础表'!B3/'数据-基础表'!A3,2)</f>
        <v>#DIV/0!</v>
      </c>
      <c r="J3" s="2658"/>
      <c r="K3" s="2658"/>
      <c r="L3" s="2658"/>
      <c r="M3" s="2658"/>
      <c r="N3" s="2660"/>
      <c r="O3" s="2658"/>
      <c r="P3" s="2658"/>
    </row>
    <row r="4" spans="1:16" ht="15">
      <c r="A4" s="3578"/>
      <c r="B4" s="3579"/>
      <c r="C4" s="3580"/>
      <c r="D4" s="1640" t="s">
        <v>1105</v>
      </c>
      <c r="E4" s="1641" t="s">
        <v>1106</v>
      </c>
      <c r="F4" s="2658"/>
      <c r="G4" s="2651" t="s">
        <v>1131</v>
      </c>
      <c r="H4" s="1025" t="s">
        <v>1111</v>
      </c>
      <c r="I4" s="854" t="e">
        <f>ROUND(SUMIF('数据-基础表'!I9:AS9,"地上",'数据-基础表'!I5:AS5)/'数据-基础表'!A3,2)</f>
        <v>#DIV/0!</v>
      </c>
      <c r="J4" s="2658"/>
      <c r="K4" s="2658"/>
      <c r="L4" s="2658"/>
      <c r="M4" s="2658"/>
      <c r="N4" s="2660"/>
      <c r="O4" s="2658"/>
      <c r="P4" s="2658"/>
    </row>
    <row r="5" spans="1:16">
      <c r="A5" s="44" t="s">
        <v>1107</v>
      </c>
      <c r="B5" s="3581" t="s">
        <v>1108</v>
      </c>
      <c r="C5" s="3581"/>
      <c r="D5" s="45">
        <f>ROUND($D$3*E5/$E$3,2)</f>
        <v>0</v>
      </c>
      <c r="E5" s="46">
        <f>SUMIF('数据-基础表'!$11:$11,"住宅",'数据-基础表'!$5:$5)</f>
        <v>0</v>
      </c>
      <c r="F5" s="2658"/>
      <c r="G5" s="1144"/>
      <c r="H5" s="1025" t="s">
        <v>1104</v>
      </c>
      <c r="I5" s="854" t="e">
        <f>ROUND(E31/D31,2)</f>
        <v>#DIV/0!</v>
      </c>
      <c r="J5" s="2658"/>
      <c r="K5" s="2658"/>
      <c r="L5" s="2658"/>
      <c r="M5" s="2658"/>
      <c r="N5" s="2658"/>
      <c r="O5" s="2658"/>
      <c r="P5" s="2658"/>
    </row>
    <row r="6" spans="1:16" ht="15" thickBot="1">
      <c r="A6" s="1643"/>
      <c r="B6" s="3581" t="s">
        <v>1109</v>
      </c>
      <c r="C6" s="3581"/>
      <c r="D6" s="45">
        <f>ROUND($D$3*E6/$E$3,2)</f>
        <v>0</v>
      </c>
      <c r="E6" s="46">
        <f>E3-E5</f>
        <v>2389.2399999999998</v>
      </c>
      <c r="F6" s="2658"/>
      <c r="G6" s="2652" t="s">
        <v>1110</v>
      </c>
      <c r="H6" s="1145" t="s">
        <v>1111</v>
      </c>
      <c r="I6" s="2653" t="e">
        <f>ROUND(F31/D31,2)</f>
        <v>#DIV/0!</v>
      </c>
      <c r="J6" s="2658"/>
      <c r="K6" s="2658"/>
      <c r="L6" s="2658"/>
      <c r="M6" s="2658"/>
      <c r="N6" s="2658"/>
      <c r="O6" s="2658"/>
      <c r="P6" s="2658"/>
    </row>
    <row r="7" spans="1:16" ht="15.75" thickBot="1">
      <c r="A7" s="3573"/>
      <c r="B7" s="3574"/>
      <c r="C7" s="3575"/>
      <c r="D7" s="1640" t="s">
        <v>1105</v>
      </c>
      <c r="E7" s="1644" t="s">
        <v>1112</v>
      </c>
      <c r="F7" s="2658"/>
      <c r="G7" s="2654" t="s">
        <v>1113</v>
      </c>
      <c r="H7" s="2655"/>
      <c r="I7" s="2656">
        <v>1.5</v>
      </c>
      <c r="J7" s="2658"/>
      <c r="K7" s="2658"/>
      <c r="L7" s="2658"/>
      <c r="M7" s="2658"/>
      <c r="N7" s="2658"/>
      <c r="O7" s="2658"/>
      <c r="P7" s="2658"/>
    </row>
    <row r="8" spans="1:16">
      <c r="A8" s="44" t="s">
        <v>1114</v>
      </c>
      <c r="B8" s="47" t="s">
        <v>1115</v>
      </c>
      <c r="C8" s="45" t="s">
        <v>1116</v>
      </c>
      <c r="D8" s="45">
        <f t="shared" ref="D8:D15" si="0">ROUND($D$3*E8/$E$3,2)</f>
        <v>0</v>
      </c>
      <c r="E8" s="48">
        <f>SUMIF('数据-基础表'!BB10:BK10,"地上",'数据-基础表'!BB5:BK5)</f>
        <v>1911.3919999999998</v>
      </c>
      <c r="F8" s="2658"/>
      <c r="G8" s="2659"/>
      <c r="H8" s="2659"/>
      <c r="I8" s="2658"/>
      <c r="J8" s="2658"/>
      <c r="K8" s="2658"/>
      <c r="L8" s="2658"/>
      <c r="M8" s="2658"/>
      <c r="N8" s="2658"/>
      <c r="O8" s="2658"/>
      <c r="P8" s="2658"/>
    </row>
    <row r="9" spans="1:16">
      <c r="A9" s="1645"/>
      <c r="B9" s="1646"/>
      <c r="C9" s="45" t="s">
        <v>1117</v>
      </c>
      <c r="D9" s="45">
        <f t="shared" si="0"/>
        <v>0</v>
      </c>
      <c r="E9" s="49">
        <v>0</v>
      </c>
      <c r="F9" s="2658"/>
      <c r="G9" s="2659"/>
      <c r="H9" s="2659"/>
      <c r="I9" s="2658"/>
      <c r="J9" s="2658"/>
      <c r="K9" s="2658"/>
      <c r="L9" s="2658"/>
      <c r="M9" s="2658"/>
      <c r="N9" s="2658"/>
      <c r="O9" s="2658"/>
      <c r="P9" s="2658"/>
    </row>
    <row r="10" spans="1:16">
      <c r="A10" s="1645"/>
      <c r="B10" s="1646"/>
      <c r="C10" s="45" t="s">
        <v>1126</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1118</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1119</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1120</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1132</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1127</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1121</v>
      </c>
      <c r="D16" s="47">
        <f>SUM(D8:D15)</f>
        <v>0</v>
      </c>
      <c r="E16" s="50">
        <f>SUM(E8:E15)</f>
        <v>1911.3919999999998</v>
      </c>
      <c r="F16" s="2658"/>
      <c r="G16" s="2659"/>
      <c r="H16" s="1647" t="s">
        <v>1133</v>
      </c>
      <c r="I16" s="1648"/>
      <c r="J16" s="1138"/>
      <c r="K16" s="3570" t="s">
        <v>1133</v>
      </c>
      <c r="L16" s="3571"/>
      <c r="M16" s="3571"/>
      <c r="N16" s="3571"/>
      <c r="O16" s="3571"/>
      <c r="P16" s="3572"/>
    </row>
    <row r="17" spans="1:19" ht="15">
      <c r="A17" s="1649" t="s">
        <v>1134</v>
      </c>
      <c r="B17" s="1650" t="s">
        <v>1135</v>
      </c>
      <c r="C17" s="1651" t="s">
        <v>1136</v>
      </c>
      <c r="D17" s="1652" t="s">
        <v>1124</v>
      </c>
      <c r="E17" s="1653" t="s">
        <v>1125</v>
      </c>
      <c r="F17" s="1654"/>
      <c r="G17" s="1655"/>
      <c r="H17" s="1656" t="s">
        <v>1137</v>
      </c>
      <c r="I17" s="1657" t="s">
        <v>1122</v>
      </c>
      <c r="J17" s="1138"/>
      <c r="K17" s="3567" t="s">
        <v>1138</v>
      </c>
      <c r="L17" s="3568"/>
      <c r="M17" s="3569"/>
      <c r="N17" s="3567" t="s">
        <v>1139</v>
      </c>
      <c r="O17" s="3568"/>
      <c r="P17" s="3569"/>
      <c r="R17" s="1639" t="s">
        <v>1140</v>
      </c>
      <c r="S17" s="56"/>
    </row>
    <row r="18" spans="1:19" ht="15">
      <c r="A18" s="1645"/>
      <c r="B18" s="1658"/>
      <c r="C18" s="1659"/>
      <c r="D18" s="1660"/>
      <c r="E18" s="1661" t="s">
        <v>1141</v>
      </c>
      <c r="F18" s="1662" t="s">
        <v>1142</v>
      </c>
      <c r="G18" s="1663" t="s">
        <v>1143</v>
      </c>
      <c r="H18" s="1040" t="s">
        <v>1144</v>
      </c>
      <c r="I18" s="1664" t="s">
        <v>1145</v>
      </c>
      <c r="J18" s="1138"/>
      <c r="K18" s="1040" t="s">
        <v>1146</v>
      </c>
      <c r="L18" s="1665" t="s">
        <v>1147</v>
      </c>
      <c r="M18" s="854" t="s">
        <v>1148</v>
      </c>
      <c r="N18" s="1040" t="s">
        <v>1146</v>
      </c>
      <c r="O18" s="1665" t="s">
        <v>1147</v>
      </c>
      <c r="P18" s="854" t="s">
        <v>1148</v>
      </c>
      <c r="R18" s="1025" t="s">
        <v>1149</v>
      </c>
      <c r="S18" s="1025" t="s">
        <v>1150</v>
      </c>
    </row>
    <row r="19" spans="1:19">
      <c r="A19" s="1666"/>
      <c r="B19" s="47" t="s">
        <v>1123</v>
      </c>
      <c r="C19" s="3416" t="s">
        <v>3473</v>
      </c>
      <c r="D19" s="45">
        <f>ROUND($D$3*E19/$E$3,2)</f>
        <v>0</v>
      </c>
      <c r="E19" s="53">
        <f t="shared" ref="E19:E26" si="1">SUM(F19:G19)</f>
        <v>2389.2399999999998</v>
      </c>
      <c r="F19" s="2794">
        <f>'数据-基础表'!I5</f>
        <v>1911.3919999999998</v>
      </c>
      <c r="G19" s="2795">
        <f>'数据-基础表'!K13</f>
        <v>477.84799999999996</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2389.2399999999998</v>
      </c>
    </row>
    <row r="20" spans="1:19">
      <c r="A20" s="1669"/>
      <c r="B20" s="47" t="s">
        <v>1151</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1151</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1151</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1151</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1151</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1151</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1151</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1152</v>
      </c>
      <c r="D27" s="1139">
        <f>SUM(D19:D26)</f>
        <v>0</v>
      </c>
      <c r="E27" s="1140">
        <f>IF(SUM(E19:E26)='数据-基础表'!BA5,SUM(E19:E26),IF(F27="地上面积有误","面积有误","地下面积有误"))</f>
        <v>2389.2399999999998</v>
      </c>
      <c r="F27" s="1139">
        <f>IF(SUM(F19:F26)=E8,SUM(F19:F26),"地上面积有误")</f>
        <v>1911.3919999999998</v>
      </c>
      <c r="G27" s="1141">
        <f>SUM(G19:G26)</f>
        <v>477.84799999999996</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2389.2399999999998</v>
      </c>
    </row>
    <row r="28" spans="1:19">
      <c r="A28" s="1669"/>
      <c r="B28" s="47" t="s">
        <v>1153</v>
      </c>
      <c r="C28" s="1037" t="s">
        <v>1154</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1153</v>
      </c>
      <c r="C29" s="1673" t="s">
        <v>1155</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1152</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1156</v>
      </c>
      <c r="D31" s="675">
        <f>D27+D30</f>
        <v>0</v>
      </c>
      <c r="E31" s="675">
        <f>E27+E30</f>
        <v>2389.2399999999998</v>
      </c>
      <c r="F31" s="676">
        <f>F27+F30</f>
        <v>1911.3919999999998</v>
      </c>
      <c r="G31" s="677">
        <f>G27+G30</f>
        <v>477.84799999999996</v>
      </c>
      <c r="H31" s="2658"/>
      <c r="I31" s="2658"/>
      <c r="J31" s="2658"/>
      <c r="K31" s="2658"/>
      <c r="L31" s="2658"/>
      <c r="M31" s="2658"/>
      <c r="N31" s="2658"/>
      <c r="O31" s="2658"/>
      <c r="P31" s="2658"/>
    </row>
    <row r="32" spans="1:19">
      <c r="A32" s="1642"/>
      <c r="B32" s="1642" t="s">
        <v>1157</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1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1159</v>
      </c>
      <c r="B2" s="1044">
        <f>项目基本情况!D3</f>
        <v>45449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57"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6" t="s">
        <v>1170</v>
      </c>
      <c r="F5" s="1698" t="s">
        <v>1171</v>
      </c>
      <c r="G5" s="1046" t="s">
        <v>1172</v>
      </c>
      <c r="H5" s="1046" t="s">
        <v>1173</v>
      </c>
      <c r="I5" s="1046" t="s">
        <v>1174</v>
      </c>
      <c r="J5" s="1699" t="s">
        <v>1175</v>
      </c>
      <c r="K5" s="1700" t="s">
        <v>1176</v>
      </c>
      <c r="L5" s="1701" t="s">
        <v>1177</v>
      </c>
      <c r="M5" s="1702" t="s">
        <v>1178</v>
      </c>
      <c r="N5" s="1703" t="s">
        <v>3391</v>
      </c>
      <c r="O5" s="1701" t="s">
        <v>1179</v>
      </c>
      <c r="P5" s="1704" t="s">
        <v>1180</v>
      </c>
      <c r="Q5" s="61" t="s">
        <v>1181</v>
      </c>
      <c r="R5" s="1705" t="s">
        <v>1182</v>
      </c>
      <c r="S5" s="1706" t="s">
        <v>1183</v>
      </c>
      <c r="T5" s="1707" t="s">
        <v>1184</v>
      </c>
      <c r="U5" s="1045" t="s">
        <v>1185</v>
      </c>
      <c r="V5" s="1046" t="s">
        <v>1186</v>
      </c>
      <c r="W5" s="1046" t="s">
        <v>1187</v>
      </c>
      <c r="X5" s="63"/>
      <c r="Y5" s="62" t="s">
        <v>1188</v>
      </c>
      <c r="Z5" s="1708" t="s">
        <v>1185</v>
      </c>
      <c r="AA5" s="1046" t="s">
        <v>1186</v>
      </c>
      <c r="AB5" s="1046" t="s">
        <v>1187</v>
      </c>
      <c r="AC5" s="63"/>
      <c r="AD5" s="63" t="s">
        <v>1188</v>
      </c>
      <c r="AE5" s="1045" t="s">
        <v>1189</v>
      </c>
      <c r="AF5" s="1046" t="s">
        <v>1190</v>
      </c>
      <c r="AG5" s="62" t="s">
        <v>1191</v>
      </c>
      <c r="AH5" s="1045" t="s">
        <v>1192</v>
      </c>
      <c r="AI5" s="1708" t="s">
        <v>1193</v>
      </c>
      <c r="AJ5" s="1708" t="s">
        <v>1194</v>
      </c>
      <c r="AK5" s="1046" t="s">
        <v>1195</v>
      </c>
      <c r="AL5" s="1046" t="s">
        <v>1196</v>
      </c>
      <c r="AM5" s="62" t="s">
        <v>1197</v>
      </c>
      <c r="AN5" s="1709" t="s">
        <v>1198</v>
      </c>
      <c r="AO5" s="1561" t="s">
        <v>1199</v>
      </c>
      <c r="AP5" s="1027"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3</v>
      </c>
      <c r="D6" s="857">
        <f>SUMIF(项目基本情况!C$12:I$12,C6,项目基本情况!C$14:I$14)</f>
        <v>50</v>
      </c>
      <c r="E6" s="856">
        <f>IF(B6="","",SUMIF(项目基本情况!C$12:I$12,C6,项目基本情况!C$13:I$13))</f>
        <v>58802</v>
      </c>
      <c r="F6" s="64">
        <f>SUMIF(项目基本情况!C$12:I$12,C6,项目基本情况!C$15:I$15)</f>
        <v>36.58</v>
      </c>
      <c r="G6" s="65">
        <f>IF(ISERROR(ROUND(POWER(1+H6,D6-F6)*(POWER(1+H6,F6)-1)/(POWER(1+H6,D6)-1),3)),0,ROUND(POWER(1+H6,D6-F6)*(POWER(1+H6,F6)-1)/(POWER(1+H6,D6)-1),3))</f>
        <v>0.91200000000000003</v>
      </c>
      <c r="H6" s="731">
        <v>0.05</v>
      </c>
      <c r="I6" s="731">
        <v>5.5E-2</v>
      </c>
      <c r="J6" s="66">
        <v>7.0000000000000007E-2</v>
      </c>
      <c r="K6" s="1029">
        <f>SUMIF('数据-汇总表'!C$19:C$33,A6,'数据-汇总表'!E$19:E$33)</f>
        <v>2389.2399999999998</v>
      </c>
      <c r="L6" s="3491">
        <v>4500</v>
      </c>
      <c r="M6" s="67">
        <f t="shared" ref="M6:M14" si="0">ROUND(K6*L6/10000,0)</f>
        <v>1075</v>
      </c>
      <c r="N6" s="730">
        <f>N18</f>
        <v>0.82</v>
      </c>
      <c r="O6" s="67" t="str">
        <f>IF($N$5="成新度","——",ROUND(M6*N6,0))</f>
        <v>——</v>
      </c>
      <c r="P6" s="68" t="str">
        <f>IF($N$5="成新度","——",M6-O6)</f>
        <v>——</v>
      </c>
      <c r="Q6" s="733">
        <v>0.1</v>
      </c>
      <c r="R6" s="69">
        <f ca="1">SUMIF('数据-汇总表'!C$19:C$33,A6,'数据-汇总表'!R$19:R$27)</f>
        <v>0</v>
      </c>
      <c r="S6" s="51">
        <f>IF('数据-汇总表'!$I$17="按面积比例",SUMIF('数据-汇总表'!C$19:C$33,A6,'数据-汇总表'!K$19:K$33),SUMIF('数据-汇总表'!C$19:C$33,A6,'数据-汇总表'!N$19:N$33))</f>
        <v>0</v>
      </c>
      <c r="T6" s="1171">
        <f>ROUND($L$14*S6/10000,0)</f>
        <v>0</v>
      </c>
      <c r="U6" s="3427">
        <v>2</v>
      </c>
      <c r="V6" s="70">
        <v>0.02</v>
      </c>
      <c r="W6" s="70">
        <v>0.15</v>
      </c>
      <c r="X6" s="1039"/>
      <c r="Y6" s="71">
        <f>N6</f>
        <v>0.82</v>
      </c>
      <c r="Z6" s="72"/>
      <c r="AA6" s="66"/>
      <c r="AB6" s="66"/>
      <c r="AC6" s="1039"/>
      <c r="AD6" s="73"/>
      <c r="AE6" s="1040">
        <f ca="1">IF(AN6="",0,SUMIF(INDIRECT("'"&amp;AN6&amp;"'"&amp;"!E:E"),$AE$5,INDIRECT("'"&amp;AN6&amp;"'"&amp;"!F:F")))</f>
        <v>36.58</v>
      </c>
      <c r="AF6" s="1347"/>
      <c r="AG6" s="138">
        <f>IF(AF6="",0,AE6-AF6)</f>
        <v>0</v>
      </c>
      <c r="AH6" s="74"/>
      <c r="AI6" s="76">
        <v>365</v>
      </c>
      <c r="AJ6" s="77"/>
      <c r="AK6" s="78">
        <v>5.0000000000000001E-3</v>
      </c>
      <c r="AL6" s="79">
        <v>1E-3</v>
      </c>
      <c r="AM6" s="80">
        <v>5.0000000000000001E-3</v>
      </c>
      <c r="AN6" s="1714" t="s">
        <v>3463</v>
      </c>
      <c r="AO6" s="52">
        <f ca="1">SUMIF(INDIRECT("'"&amp;AN6&amp;"'"&amp;"!A:A"),"总价",INDIRECT("'"&amp;AN6&amp;"'"&amp;"!B:B"))</f>
        <v>2356.3177000000001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3491"/>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2"/>
      <c r="D16" s="1719"/>
      <c r="E16" s="88"/>
      <c r="F16" s="88"/>
      <c r="G16" s="89">
        <f>ROUND(SUMPRODUCT(G6:G13,K6:K13)/SUMPRODUCT((G6:G13&gt;0)*(K6:K13)),3)</f>
        <v>0.91200000000000003</v>
      </c>
      <c r="H16" s="90">
        <f>ROUND(SUMPRODUCT(H6:H13,K6:K13)/SUMPRODUCT((H6:H13&gt;0)*(K6:K13)),3)</f>
        <v>0.05</v>
      </c>
      <c r="I16" s="91"/>
      <c r="J16" s="91"/>
      <c r="K16" s="92">
        <f>SUM(K6:K15)</f>
        <v>2389.2399999999998</v>
      </c>
      <c r="L16" s="93">
        <f>ROUND(M16*10000/SUM(K6:K14),0)</f>
        <v>4499</v>
      </c>
      <c r="M16" s="93">
        <f>SUM(M6:M14)</f>
        <v>1075</v>
      </c>
      <c r="N16" s="94">
        <f>ROUND(SUMPRODUCT(M6:M14,N6:N14)/M16,3)</f>
        <v>0.82</v>
      </c>
      <c r="O16" s="93">
        <f>SUM(O6:O14)</f>
        <v>0</v>
      </c>
      <c r="P16" s="93">
        <f>SUM(P6:P14)</f>
        <v>0</v>
      </c>
      <c r="Q16" s="95">
        <f>ROUND(SUMPRODUCT(Q6:Q13,K6:K13)/SUMPRODUCT((Q6:Q13&gt;0)*(K6:K13)),2)</f>
        <v>0.1</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2013</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1208</v>
      </c>
      <c r="B18" s="2684"/>
      <c r="C18" s="2672"/>
      <c r="D18" s="2675"/>
      <c r="E18" s="2672"/>
      <c r="F18" s="2672"/>
      <c r="G18" s="2672"/>
      <c r="H18" s="2672"/>
      <c r="I18" s="2672"/>
      <c r="J18" s="2672"/>
      <c r="K18" s="2671"/>
      <c r="L18" s="2671"/>
      <c r="M18" s="2670"/>
      <c r="N18" s="2670">
        <f>ROUND(1-(1-0%)*(2024-'数据-取费表'!N17)/60,2)</f>
        <v>0.82</v>
      </c>
      <c r="O18" s="2670">
        <v>0.5</v>
      </c>
      <c r="P18" s="2670"/>
      <c r="Q18" s="2670"/>
      <c r="R18" s="2670"/>
      <c r="S18" s="2670"/>
      <c r="T18" s="2670"/>
      <c r="U18" s="2670">
        <v>2700000</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1209</v>
      </c>
      <c r="B19" s="103"/>
      <c r="C19" s="2798" t="s">
        <v>2302</v>
      </c>
      <c r="D19" s="2675"/>
      <c r="E19" s="2672"/>
      <c r="F19" s="2672"/>
      <c r="G19" s="2672"/>
      <c r="H19" s="2672"/>
      <c r="I19" s="2672"/>
      <c r="J19" s="2672"/>
      <c r="K19" s="2671"/>
      <c r="L19" s="2671"/>
      <c r="M19" s="2670"/>
      <c r="N19" s="2670">
        <v>0.9</v>
      </c>
      <c r="O19" s="2670">
        <f>1-O18</f>
        <v>0.5</v>
      </c>
      <c r="P19" s="2670"/>
      <c r="Q19" s="2670"/>
      <c r="R19" s="2670"/>
      <c r="S19" s="2670"/>
      <c r="T19" s="2670"/>
      <c r="U19" s="2670">
        <f>U18/'数据-基础表'!I13/365</f>
        <v>3.8700906323624897</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1210</v>
      </c>
      <c r="B20" s="104">
        <v>2</v>
      </c>
      <c r="C20" s="2799" t="s">
        <v>2300</v>
      </c>
      <c r="D20" s="2675"/>
      <c r="E20" s="2672"/>
      <c r="F20" s="2672"/>
      <c r="G20" s="2672"/>
      <c r="H20" s="2672"/>
      <c r="I20" s="2672"/>
      <c r="J20" s="2672"/>
      <c r="K20" s="2671"/>
      <c r="L20" s="2671"/>
      <c r="M20" s="2670"/>
      <c r="N20" s="2670">
        <f>ROUND(N18*O18+N19*O19,2)</f>
        <v>0.86</v>
      </c>
      <c r="O20" s="2670"/>
      <c r="P20" s="2670"/>
      <c r="Q20" s="2670"/>
      <c r="R20" s="2670"/>
      <c r="S20" s="2670"/>
      <c r="T20" s="2670"/>
      <c r="U20" s="2670">
        <v>3300000</v>
      </c>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1211</v>
      </c>
      <c r="B21" s="104">
        <v>2</v>
      </c>
      <c r="C21" s="2672"/>
      <c r="D21" s="2675"/>
      <c r="E21" s="2672"/>
      <c r="F21" s="2672"/>
      <c r="G21" s="2672"/>
      <c r="H21" s="2672"/>
      <c r="I21" s="2672"/>
      <c r="J21" s="2672"/>
      <c r="K21" s="2671"/>
      <c r="L21" s="2671"/>
      <c r="M21" s="2670"/>
      <c r="N21" s="2670"/>
      <c r="O21" s="2670"/>
      <c r="P21" s="2670"/>
      <c r="Q21" s="2670"/>
      <c r="R21" s="2670"/>
      <c r="S21" s="2670"/>
      <c r="T21" s="2670"/>
      <c r="U21" s="2670" t="e">
        <f>U20/K7/365</f>
        <v>#DIV/0!</v>
      </c>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1212</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1213</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1214</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1215</v>
      </c>
      <c r="B26" s="1725" t="s">
        <v>1216</v>
      </c>
      <c r="C26" s="2676" t="s">
        <v>1217</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1218</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1219</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1220</v>
      </c>
      <c r="B29" s="112">
        <f>ROUND(B28*K16,0)</f>
        <v>477848</v>
      </c>
      <c r="C29" s="2801" t="s">
        <v>2291</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1221</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1222</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1223</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1224</v>
      </c>
      <c r="B33" s="672">
        <v>0.03</v>
      </c>
      <c r="C33" s="2802" t="s">
        <v>2292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1225</v>
      </c>
      <c r="B34" s="113">
        <v>0</v>
      </c>
      <c r="C34" s="2802" t="s">
        <v>2293</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1226</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1227</v>
      </c>
      <c r="B36" s="114">
        <v>0.02</v>
      </c>
      <c r="C36" s="2802" t="s">
        <v>2295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1228</v>
      </c>
      <c r="B37" s="115">
        <v>0.02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1229</v>
      </c>
      <c r="B38" s="113">
        <v>0.02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1230</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2311</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1231</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1232</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1233</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1234</v>
      </c>
      <c r="B44" s="119">
        <v>7.0000000000000007E-2</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1235</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1236</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1237</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1238</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1239</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1240</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1241</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1242</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1243</v>
      </c>
      <c r="B53" s="1737"/>
      <c r="C53" s="2660" t="s">
        <v>1244</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1245</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1246</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1247</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1248</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1249</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1250</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1251</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1252</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1253</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1254</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82" t="s">
        <v>2283</v>
      </c>
      <c r="B1" s="3583"/>
      <c r="C1" s="3583"/>
      <c r="D1" s="3583"/>
      <c r="E1" s="3583"/>
      <c r="F1" s="3583"/>
      <c r="G1" s="358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48">
      <c r="A3" s="2440" t="s">
        <v>2280</v>
      </c>
      <c r="B3" s="2462" t="s">
        <v>2249</v>
      </c>
      <c r="C3" s="2463" t="s">
        <v>2281</v>
      </c>
      <c r="D3" s="2464"/>
      <c r="E3" s="2441" t="s">
        <v>2280</v>
      </c>
      <c r="F3" s="2465" t="s">
        <v>2250</v>
      </c>
      <c r="G3" s="2466" t="s">
        <v>2282</v>
      </c>
      <c r="H3" s="798"/>
      <c r="I3" s="798"/>
      <c r="J3" s="798"/>
      <c r="K3" s="798"/>
      <c r="L3" s="798"/>
      <c r="M3" s="798"/>
      <c r="N3" s="798"/>
      <c r="O3" s="798"/>
      <c r="P3" s="798"/>
      <c r="Q3" s="798"/>
      <c r="R3" s="798"/>
    </row>
    <row r="4" spans="1:29" ht="36.75">
      <c r="A4" s="2441"/>
      <c r="B4" s="323" t="s">
        <v>2251</v>
      </c>
      <c r="C4" s="2467" t="s">
        <v>2252</v>
      </c>
      <c r="D4" s="2464"/>
      <c r="E4" s="2468"/>
      <c r="F4" s="1372" t="s">
        <v>2253</v>
      </c>
      <c r="G4" s="2469" t="s">
        <v>2254</v>
      </c>
      <c r="H4" s="798"/>
      <c r="I4" s="798"/>
      <c r="J4" s="798"/>
      <c r="K4" s="798"/>
      <c r="L4" s="798"/>
      <c r="M4" s="798"/>
      <c r="N4" s="798"/>
      <c r="O4" s="798"/>
      <c r="P4" s="798"/>
      <c r="Q4" s="798"/>
      <c r="R4" s="798"/>
    </row>
    <row r="5" spans="1:29" ht="36.75">
      <c r="A5" s="2441"/>
      <c r="B5" s="323" t="s">
        <v>2255</v>
      </c>
      <c r="C5" s="2467" t="s">
        <v>2256</v>
      </c>
      <c r="D5" s="2464"/>
      <c r="E5" s="2468"/>
      <c r="F5" s="323" t="s">
        <v>2257</v>
      </c>
      <c r="G5" s="2469" t="s">
        <v>2258</v>
      </c>
      <c r="H5" s="798"/>
      <c r="I5" s="798"/>
      <c r="J5" s="798"/>
      <c r="K5" s="798"/>
      <c r="L5" s="798"/>
      <c r="M5" s="798"/>
      <c r="N5" s="798"/>
      <c r="O5" s="798"/>
      <c r="P5" s="798"/>
      <c r="Q5" s="798"/>
      <c r="R5" s="798"/>
    </row>
    <row r="6" spans="1:29" ht="36">
      <c r="A6" s="2441"/>
      <c r="B6" s="323" t="s">
        <v>2259</v>
      </c>
      <c r="C6" s="2469" t="s">
        <v>2254</v>
      </c>
      <c r="D6" s="2464"/>
      <c r="E6" s="2468"/>
      <c r="F6" s="323" t="s">
        <v>2260</v>
      </c>
      <c r="G6" s="2469" t="s">
        <v>2261</v>
      </c>
      <c r="H6" s="798"/>
      <c r="I6" s="798"/>
      <c r="J6" s="798"/>
      <c r="K6" s="798"/>
      <c r="L6" s="798"/>
      <c r="M6" s="798"/>
      <c r="N6" s="798"/>
      <c r="O6" s="798"/>
      <c r="P6" s="798"/>
      <c r="Q6" s="798"/>
      <c r="R6" s="798"/>
    </row>
    <row r="7" spans="1:29" ht="24.75" thickBot="1">
      <c r="A7" s="2441"/>
      <c r="B7" s="323" t="s">
        <v>2257</v>
      </c>
      <c r="C7" s="2469" t="s">
        <v>2258</v>
      </c>
      <c r="D7" s="2470"/>
      <c r="E7" s="2471"/>
      <c r="F7" s="2472" t="s">
        <v>2262</v>
      </c>
      <c r="G7" s="2473" t="s">
        <v>2263</v>
      </c>
      <c r="H7" s="798"/>
      <c r="I7" s="798"/>
      <c r="J7" s="798"/>
      <c r="K7" s="798"/>
      <c r="L7" s="798"/>
      <c r="M7" s="798"/>
      <c r="N7" s="798"/>
      <c r="O7" s="798"/>
      <c r="P7" s="798"/>
      <c r="Q7" s="798"/>
      <c r="R7" s="798"/>
    </row>
    <row r="8" spans="1:29">
      <c r="A8" s="2441"/>
      <c r="B8" s="323" t="s">
        <v>2260</v>
      </c>
      <c r="C8" s="2469" t="s">
        <v>2261</v>
      </c>
      <c r="D8" s="2470"/>
      <c r="E8" s="2470"/>
      <c r="F8" s="2474"/>
      <c r="G8" s="2474"/>
      <c r="H8" s="798"/>
      <c r="I8" s="798"/>
      <c r="J8" s="798"/>
      <c r="K8" s="798"/>
      <c r="L8" s="798"/>
      <c r="M8" s="798"/>
      <c r="N8" s="798"/>
      <c r="O8" s="798"/>
      <c r="P8" s="798"/>
      <c r="Q8" s="798"/>
      <c r="R8" s="798"/>
    </row>
    <row r="9" spans="1:29" ht="24">
      <c r="A9" s="2441"/>
      <c r="B9" s="323" t="s">
        <v>2264</v>
      </c>
      <c r="C9" s="2467" t="s">
        <v>2265</v>
      </c>
      <c r="D9" s="2464"/>
      <c r="E9" s="2470"/>
      <c r="F9" s="2474"/>
      <c r="G9" s="2474"/>
      <c r="H9" s="798"/>
      <c r="I9" s="798"/>
      <c r="J9" s="798"/>
      <c r="K9" s="798"/>
      <c r="L9" s="798"/>
      <c r="M9" s="798"/>
      <c r="N9" s="798"/>
      <c r="O9" s="798"/>
      <c r="P9" s="798"/>
      <c r="Q9" s="798"/>
      <c r="R9" s="798"/>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2284</v>
      </c>
      <c r="B13" s="2483"/>
      <c r="C13" s="2483"/>
      <c r="D13" s="2481"/>
      <c r="E13" s="2483"/>
      <c r="F13" s="2483"/>
      <c r="G13" s="2483"/>
    </row>
    <row r="14" spans="1:29" ht="15" thickBot="1">
      <c r="A14" s="2493"/>
      <c r="B14" s="2493"/>
      <c r="C14" s="2494" t="s">
        <v>2267</v>
      </c>
      <c r="D14" s="2464"/>
      <c r="E14" s="2495"/>
      <c r="F14" s="2495"/>
      <c r="G14" s="2459" t="s">
        <v>2268</v>
      </c>
    </row>
    <row r="15" spans="1:29" ht="51">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8.25">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8.25">
      <c r="A17" s="2445"/>
      <c r="B17" s="2499" t="s">
        <v>2255</v>
      </c>
      <c r="C17" s="2500" t="str">
        <f>C5</f>
        <v>估价对象位于XX商圈，周边办公楼项目较多，入驻率高，办公集聚程度较好</v>
      </c>
      <c r="D17" s="2470"/>
      <c r="E17" s="2446"/>
      <c r="F17" s="2501" t="s">
        <v>2272</v>
      </c>
      <c r="G17" s="2503"/>
    </row>
    <row r="18" spans="1:18" ht="38.25">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5.5">
      <c r="A19" s="2445"/>
      <c r="B19" s="2501" t="s">
        <v>2273</v>
      </c>
      <c r="C19" s="2503"/>
      <c r="D19" s="2464"/>
      <c r="E19" s="2446"/>
      <c r="F19" s="323" t="s">
        <v>2257</v>
      </c>
      <c r="G19" s="2502" t="str">
        <f>G5</f>
        <v>估价对象所在区域公共配套设施齐备情况</v>
      </c>
    </row>
    <row r="20" spans="1:18" ht="25.5">
      <c r="A20" s="2445"/>
      <c r="B20" s="2501" t="s">
        <v>2274</v>
      </c>
      <c r="C20" s="2500" t="str">
        <f>C9</f>
        <v>区域自然环境：；人文环境；综合评价环境状况一般</v>
      </c>
      <c r="D20" s="2470"/>
      <c r="E20" s="2446"/>
      <c r="F20" s="323" t="s">
        <v>2260</v>
      </c>
      <c r="G20" s="2502" t="str">
        <f>G6</f>
        <v>估价对象所在区域基础设施水平</v>
      </c>
    </row>
    <row r="21" spans="1:18" ht="25.5">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8"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8"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1911.3919999999998</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45449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2489</v>
      </c>
      <c r="C5" s="2511">
        <f ca="1">IF(B5=D14,结果表!H102,ROUND(B5*10000/$B$1,0))</f>
        <v>10416</v>
      </c>
      <c r="D5" s="2511" t="e">
        <f ca="1">ROUND(B5*10000/$B$2,0)</f>
        <v>#DIV/0!</v>
      </c>
      <c r="E5" s="2685"/>
      <c r="F5" s="2686"/>
      <c r="G5" s="2686"/>
      <c r="H5" s="2687"/>
      <c r="I5" s="2687"/>
      <c r="J5" s="2687"/>
      <c r="K5" s="2687"/>
    </row>
    <row r="6" spans="1:11" ht="16.5">
      <c r="A6" s="2511" t="s">
        <v>656</v>
      </c>
      <c r="B6" s="2511">
        <f ca="1">SUM(G14:G23)</f>
        <v>2489</v>
      </c>
      <c r="C6" s="2511">
        <f ca="1">IF(B6=G14,结果表!H108,ROUND(B6*10000/$B$1,0))</f>
        <v>10416</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3355</v>
      </c>
      <c r="D10" s="2511" t="s">
        <v>3356</v>
      </c>
      <c r="E10" s="3440"/>
      <c r="F10" s="3444" t="s">
        <v>3357</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'数据-基础表'!I5</f>
        <v>1911.3919999999998</v>
      </c>
      <c r="C14" s="2517"/>
      <c r="D14" s="2517">
        <f ca="1">结果表!H107</f>
        <v>2489</v>
      </c>
      <c r="E14" s="2517">
        <f ca="1">ROUND(D14*10000/B14,0)</f>
        <v>13022</v>
      </c>
      <c r="F14" s="2517" t="e">
        <f ca="1">ROUND(D14*10000/C14,0)</f>
        <v>#DIV/0!</v>
      </c>
      <c r="G14" s="2517">
        <f ca="1">D14</f>
        <v>2489</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f>D15</f>
        <v>0</v>
      </c>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4" sqref="H2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c r="D1" s="1746"/>
      <c r="E1" s="1746"/>
      <c r="F1" s="1748" t="s">
        <v>1261</v>
      </c>
      <c r="G1" s="1560"/>
      <c r="H1" s="1749" t="str">
        <f>IF(G1="现房","——","估价对象范围")</f>
        <v>估价对象范围</v>
      </c>
      <c r="I1" s="1750"/>
    </row>
    <row r="2" spans="1:12" ht="21.75" customHeight="1" thickBot="1">
      <c r="A2" s="3618" t="str">
        <f>项目基本情况!S2</f>
        <v>北京市房地产</v>
      </c>
      <c r="B2" s="3619"/>
      <c r="C2" s="3619"/>
      <c r="D2" s="3619"/>
      <c r="E2" s="3619"/>
      <c r="F2" s="3619"/>
      <c r="G2" s="3619"/>
      <c r="H2" s="3619"/>
      <c r="I2" s="3620"/>
    </row>
    <row r="3" spans="1:12" ht="12.75">
      <c r="A3" s="3622" t="s">
        <v>1262</v>
      </c>
      <c r="B3" s="3623"/>
      <c r="C3" s="3623"/>
      <c r="D3" s="3623"/>
      <c r="E3" s="3623"/>
      <c r="F3" s="3623"/>
      <c r="G3" s="3623"/>
      <c r="H3" s="3623"/>
      <c r="I3" s="3623"/>
    </row>
    <row r="4" spans="1:12" ht="14.25">
      <c r="A4" s="1753" t="s">
        <v>1263</v>
      </c>
      <c r="B4" s="1754" t="s">
        <v>1264</v>
      </c>
      <c r="C4" s="1755" t="s">
        <v>3474</v>
      </c>
      <c r="D4" s="1755" t="s">
        <v>3463</v>
      </c>
      <c r="E4" s="3624" t="s">
        <v>1265</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8" t="s">
        <v>1266</v>
      </c>
      <c r="B5" s="3585">
        <v>25</v>
      </c>
      <c r="C5" s="3601"/>
      <c r="D5" s="3621"/>
      <c r="E5" s="131" t="s">
        <v>1267</v>
      </c>
      <c r="F5" s="1756"/>
      <c r="G5" s="1756"/>
      <c r="H5" s="1756"/>
      <c r="I5" s="1372"/>
    </row>
    <row r="6" spans="1:12" ht="12.75">
      <c r="A6" s="3598"/>
      <c r="B6" s="3585"/>
      <c r="C6" s="3602"/>
      <c r="D6" s="3621"/>
      <c r="E6" s="131" t="s">
        <v>1268</v>
      </c>
      <c r="F6" s="1756"/>
      <c r="G6" s="1756"/>
      <c r="H6" s="1756"/>
      <c r="I6" s="1372"/>
    </row>
    <row r="7" spans="1:12" ht="12.75">
      <c r="A7" s="3598"/>
      <c r="B7" s="3585"/>
      <c r="C7" s="3603"/>
      <c r="D7" s="3621"/>
      <c r="E7" s="131" t="s">
        <v>1269</v>
      </c>
      <c r="F7" s="1756"/>
      <c r="G7" s="1756"/>
      <c r="H7" s="1756"/>
      <c r="I7" s="1372"/>
    </row>
    <row r="8" spans="1:12" ht="12.75">
      <c r="A8" s="3598" t="s">
        <v>1270</v>
      </c>
      <c r="B8" s="3585">
        <v>15</v>
      </c>
      <c r="C8" s="3601"/>
      <c r="D8" s="3621"/>
      <c r="E8" s="131" t="s">
        <v>1271</v>
      </c>
      <c r="F8" s="1756"/>
      <c r="G8" s="1756"/>
      <c r="H8" s="1756"/>
      <c r="I8" s="1372"/>
    </row>
    <row r="9" spans="1:12" ht="12.75">
      <c r="A9" s="3598"/>
      <c r="B9" s="3585"/>
      <c r="C9" s="3603"/>
      <c r="D9" s="3621"/>
      <c r="E9" s="131" t="s">
        <v>1272</v>
      </c>
      <c r="F9" s="1756"/>
      <c r="G9" s="1756"/>
      <c r="H9" s="1756"/>
      <c r="I9" s="1372"/>
    </row>
    <row r="10" spans="1:12" ht="12.75">
      <c r="A10" s="3598" t="s">
        <v>1273</v>
      </c>
      <c r="B10" s="3585">
        <v>15</v>
      </c>
      <c r="C10" s="3601"/>
      <c r="D10" s="3621"/>
      <c r="E10" s="131" t="s">
        <v>1274</v>
      </c>
      <c r="F10" s="1756"/>
      <c r="G10" s="1756"/>
      <c r="H10" s="1756"/>
      <c r="I10" s="1372"/>
    </row>
    <row r="11" spans="1:12" ht="12.75">
      <c r="A11" s="3598"/>
      <c r="B11" s="3585"/>
      <c r="C11" s="3603"/>
      <c r="D11" s="3621"/>
      <c r="E11" s="131" t="s">
        <v>1275</v>
      </c>
      <c r="F11" s="1756"/>
      <c r="G11" s="1756"/>
      <c r="H11" s="1756"/>
      <c r="I11" s="1372"/>
    </row>
    <row r="12" spans="1:12" ht="12.75">
      <c r="A12" s="3598" t="s">
        <v>1276</v>
      </c>
      <c r="B12" s="3585">
        <v>15</v>
      </c>
      <c r="C12" s="3601"/>
      <c r="D12" s="3621"/>
      <c r="E12" s="131" t="s">
        <v>1277</v>
      </c>
      <c r="F12" s="1756"/>
      <c r="G12" s="1756"/>
      <c r="H12" s="1756"/>
      <c r="I12" s="1372"/>
    </row>
    <row r="13" spans="1:12" ht="12.75">
      <c r="A13" s="3598"/>
      <c r="B13" s="3585"/>
      <c r="C13" s="3603"/>
      <c r="D13" s="3621"/>
      <c r="E13" s="131" t="s">
        <v>1278</v>
      </c>
      <c r="F13" s="1756"/>
      <c r="G13" s="1756"/>
      <c r="H13" s="1756"/>
      <c r="I13" s="1372"/>
    </row>
    <row r="14" spans="1:12" ht="12.75">
      <c r="A14" s="3598" t="s">
        <v>1279</v>
      </c>
      <c r="B14" s="3585">
        <v>30</v>
      </c>
      <c r="C14" s="3601">
        <v>5</v>
      </c>
      <c r="D14" s="3621">
        <v>5</v>
      </c>
      <c r="E14" s="131" t="s">
        <v>1280</v>
      </c>
      <c r="F14" s="1756"/>
      <c r="G14" s="1756"/>
      <c r="H14" s="1756"/>
      <c r="I14" s="1372"/>
    </row>
    <row r="15" spans="1:12" ht="12.75">
      <c r="A15" s="3598"/>
      <c r="B15" s="3585"/>
      <c r="C15" s="3602"/>
      <c r="D15" s="3621"/>
      <c r="E15" s="131" t="s">
        <v>1281</v>
      </c>
      <c r="F15" s="1756"/>
      <c r="G15" s="1756"/>
      <c r="H15" s="1756"/>
      <c r="I15" s="1372"/>
    </row>
    <row r="16" spans="1:12" ht="12.75">
      <c r="A16" s="3598"/>
      <c r="B16" s="3585"/>
      <c r="C16" s="3603"/>
      <c r="D16" s="3621"/>
      <c r="E16" s="131" t="s">
        <v>1282</v>
      </c>
      <c r="F16" s="1756"/>
      <c r="G16" s="1756"/>
      <c r="H16" s="1756"/>
      <c r="I16" s="1372"/>
    </row>
    <row r="17" spans="1:36" ht="15">
      <c r="A17" s="1757" t="s">
        <v>1283</v>
      </c>
      <c r="B17" s="56"/>
      <c r="C17" s="132">
        <f>SUM(C5:C16)</f>
        <v>5</v>
      </c>
      <c r="D17" s="132">
        <f>SUM(D5:D16)</f>
        <v>5</v>
      </c>
      <c r="E17" s="129"/>
      <c r="F17" s="129"/>
      <c r="G17" s="129"/>
      <c r="H17" s="129"/>
      <c r="I17" s="129"/>
      <c r="K17" s="302"/>
      <c r="L17" s="302" t="s">
        <v>1284</v>
      </c>
      <c r="M17" s="302" t="s">
        <v>1285</v>
      </c>
    </row>
    <row r="18" spans="1:36" ht="31.9" customHeight="1" thickBot="1">
      <c r="A18" s="1758" t="s">
        <v>1286</v>
      </c>
      <c r="B18" s="1759"/>
      <c r="C18" s="133">
        <f>ROUND(C17/SUM(C17:D17),2)</f>
        <v>0.5</v>
      </c>
      <c r="D18" s="133">
        <f>1-C18</f>
        <v>0.5</v>
      </c>
      <c r="E18" s="3608" t="s">
        <v>2128</v>
      </c>
      <c r="F18" s="3609"/>
      <c r="G18" s="3609"/>
      <c r="H18" s="3609"/>
      <c r="I18" s="3609"/>
      <c r="K18" s="302" t="s">
        <v>1287</v>
      </c>
      <c r="L18" s="302">
        <f>IF(C1="",'数据-汇总表'!E3,SUMIF(项目类型,C1,'数据-汇总表'!E17:E26)+SUMIF(项目类型,C1,'数据-汇总表'!I17:I26))</f>
        <v>2389.2399999999998</v>
      </c>
      <c r="M18" s="302">
        <f>IF(C1="",'数据-汇总表'!E3,SUMIF(项目类型,C1,'数据-汇总表'!E17:E26))</f>
        <v>2389.2399999999998</v>
      </c>
    </row>
    <row r="19" spans="1:36" ht="15">
      <c r="A19" s="1760" t="s">
        <v>1288</v>
      </c>
      <c r="B19" s="1761" t="s">
        <v>1289</v>
      </c>
      <c r="C19" s="134">
        <f ca="1">SUMIF(INDIRECT("'"&amp;C4&amp;"'"&amp;"!A:A"),结果表!B19,INDIRECT("'"&amp;C4&amp;"'"&amp;"!B:B"))</f>
        <v>2620.9962999999998</v>
      </c>
      <c r="D19" s="135">
        <f ca="1">SUMIF(INDIRECT("'"&amp;D4&amp;"'"&amp;"!A:A"),结果表!B19,INDIRECT("'"&amp;D4&amp;"'"&amp;"!B:B"))</f>
        <v>2356.3177000000001</v>
      </c>
      <c r="E19" s="1760" t="s">
        <v>1290</v>
      </c>
      <c r="F19" s="1761" t="s">
        <v>1289</v>
      </c>
      <c r="G19" s="136">
        <f ca="1">ROUND(C19*$C$18+D19*$D$18,0)</f>
        <v>2489</v>
      </c>
      <c r="H19" s="1762"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3"/>
      <c r="B20" s="1025" t="s">
        <v>1293</v>
      </c>
      <c r="C20" s="137">
        <f ca="1">SUMIF(INDIRECT("'"&amp;C4&amp;"'"&amp;"!A:A"),结果表!B20,INDIRECT("'"&amp;C4&amp;"'"&amp;"!B:B"))</f>
        <v>10970</v>
      </c>
      <c r="D20" s="138">
        <f ca="1">SUMIF(INDIRECT("'"&amp;D4&amp;"'"&amp;"!A:A"),结果表!B20,INDIRECT("'"&amp;D4&amp;"'"&amp;"!B:B"))</f>
        <v>9862</v>
      </c>
      <c r="E20" s="1763"/>
      <c r="F20" s="1025" t="s">
        <v>1293</v>
      </c>
      <c r="G20" s="139">
        <f ca="1">ROUND(C20*$C$18+D20*$D$18,0)</f>
        <v>10416</v>
      </c>
      <c r="H20" s="807" t="s">
        <v>1294</v>
      </c>
      <c r="I20" s="129"/>
    </row>
    <row r="21" spans="1:36" ht="15" customHeight="1" thickBot="1">
      <c r="A21" s="827"/>
      <c r="B21" s="1764" t="s">
        <v>1295</v>
      </c>
      <c r="C21" s="718" t="e">
        <f ca="1">ROUND(C19*10000/L19,0)</f>
        <v>#DIV/0!</v>
      </c>
      <c r="D21" s="719" t="e">
        <f ca="1">ROUND(D19*10000/L19,0)</f>
        <v>#DIV/0!</v>
      </c>
      <c r="E21" s="827"/>
      <c r="F21" s="1764" t="s">
        <v>1295</v>
      </c>
      <c r="G21" s="140" t="e">
        <f ca="1">ROUND(G19*10000/L19,0)</f>
        <v>#DIV/0!</v>
      </c>
      <c r="H21" s="1765" t="s">
        <v>1294</v>
      </c>
      <c r="I21" s="129"/>
    </row>
    <row r="22" spans="1:36" ht="15" thickBot="1">
      <c r="A22" s="1687" t="s">
        <v>1296</v>
      </c>
      <c r="B22" s="1766"/>
      <c r="C22" s="1767"/>
      <c r="D22" s="720">
        <f ca="1">IF(C19&lt;D19,D19/C19-1,C19/D19-1)</f>
        <v>0.11232721292209447</v>
      </c>
      <c r="E22" s="129"/>
      <c r="F22" s="129"/>
      <c r="G22" s="129"/>
      <c r="H22" s="129"/>
      <c r="I22" s="129"/>
    </row>
    <row r="23" spans="1:36" ht="13.5" thickBot="1">
      <c r="A23" s="1746"/>
      <c r="B23" s="1746"/>
      <c r="C23" s="1746"/>
      <c r="D23" s="1746"/>
      <c r="E23" s="129"/>
      <c r="F23" s="129"/>
      <c r="G23" s="129"/>
      <c r="H23" s="129"/>
      <c r="I23" s="129"/>
    </row>
    <row r="24" spans="1:36" ht="14.25">
      <c r="A24" s="3592" t="s">
        <v>1297</v>
      </c>
      <c r="B24" s="1761" t="s">
        <v>1289</v>
      </c>
      <c r="C24" s="136">
        <f>IF(B30=0,0,D30)</f>
        <v>0</v>
      </c>
      <c r="D24" s="1768"/>
      <c r="E24" s="129"/>
      <c r="F24" s="129"/>
      <c r="G24" s="129"/>
      <c r="H24" s="129"/>
      <c r="I24" s="129"/>
    </row>
    <row r="25" spans="1:36" ht="14.25">
      <c r="A25" s="3593"/>
      <c r="B25" s="1025" t="s">
        <v>1293</v>
      </c>
      <c r="C25" s="141">
        <f>IF(B30=0,0,C30)</f>
        <v>0</v>
      </c>
      <c r="D25" s="1769"/>
      <c r="E25" s="129"/>
      <c r="F25" s="129"/>
      <c r="G25" s="129">
        <f ca="1">G20/0.85</f>
        <v>12254.117647058823</v>
      </c>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 ca="1">G20/0.66</f>
        <v>15781.818181818182</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10416</v>
      </c>
      <c r="D32" s="1774" t="s">
        <v>3435</v>
      </c>
      <c r="E32" s="129"/>
      <c r="F32" s="129"/>
      <c r="G32" s="129"/>
      <c r="H32" s="129"/>
      <c r="I32" s="129"/>
    </row>
    <row r="33" spans="1:15" ht="15">
      <c r="A33" s="785" t="s">
        <v>1304</v>
      </c>
      <c r="B33" s="1775"/>
      <c r="C33" s="1776" t="s">
        <v>3451</v>
      </c>
      <c r="D33" s="1777" t="s">
        <v>3465</v>
      </c>
      <c r="E33" s="1778" t="s">
        <v>1305</v>
      </c>
      <c r="F33" s="1779" t="str">
        <f>IF(D32="楼面单价","取值（单价）","取值（总价）")</f>
        <v>取值（单价）</v>
      </c>
      <c r="G33" s="129"/>
      <c r="H33" s="129"/>
      <c r="I33" s="129"/>
    </row>
    <row r="34" spans="1:15" ht="15">
      <c r="A34" s="1780"/>
      <c r="B34" s="1781" t="s">
        <v>1306</v>
      </c>
      <c r="C34" s="148">
        <f ca="1">IF(C33="自定义",F34,C32-C35)</f>
        <v>4291</v>
      </c>
      <c r="D34" s="860">
        <f ca="1">IF(C33="自定义",ROUND(C34/C32,3),IF(C33="收益比率",SUMIF(INDIRECT("'"&amp;D33&amp;"'"&amp;"!b:b"),"土地收益比率",INDIRECT("'"&amp;D33&amp;"'"&amp;"!c:c")),SUMIF(INDIRECT("'"&amp;D33&amp;"'"&amp;"!b:b"),"土地成本比率",INDIRECT("'"&amp;D33&amp;"'"&amp;"!c:c"))))</f>
        <v>0.41200000000000003</v>
      </c>
      <c r="E34" s="1782" t="s">
        <v>1307</v>
      </c>
      <c r="F34" s="1329"/>
      <c r="G34" s="129"/>
      <c r="H34" s="129"/>
      <c r="I34" s="129"/>
    </row>
    <row r="35" spans="1:15" ht="15.75" thickBot="1">
      <c r="A35" s="1783"/>
      <c r="B35" s="1784" t="s">
        <v>1308</v>
      </c>
      <c r="C35" s="1169">
        <f ca="1">IF(C33="自定义",F35,ROUND(C32*D35,0))</f>
        <v>6125</v>
      </c>
      <c r="D35" s="1170">
        <f ca="1">IF(C33="自定义",ROUND(C35/C32,3),IF(C33="收益比率",SUMIF(INDIRECT("'"&amp;D33&amp;"'"&amp;"!b:b"),"建筑物收益比率",INDIRECT("'"&amp;D33&amp;"'"&amp;"!c:c")),SUMIF(INDIRECT("'"&amp;D33&amp;"'"&amp;"!b:b"),"建筑物成本比率",INDIRECT("'"&amp;D33&amp;"'"&amp;"!c:c"))))</f>
        <v>0.58799999999999997</v>
      </c>
      <c r="E35" s="1785" t="s">
        <v>1309</v>
      </c>
      <c r="F35" s="154"/>
      <c r="G35" s="129"/>
      <c r="H35" s="129"/>
      <c r="I35" s="129"/>
    </row>
    <row r="36" spans="1:15" ht="15.75" thickBot="1">
      <c r="A36" s="3612" t="s">
        <v>1310</v>
      </c>
      <c r="B36" s="1786" t="s">
        <v>1311</v>
      </c>
      <c r="C36" s="145"/>
      <c r="D36" s="1787"/>
      <c r="E36" s="1788"/>
      <c r="F36" s="1789"/>
      <c r="G36" s="129"/>
      <c r="H36" s="129"/>
      <c r="I36" s="129"/>
    </row>
    <row r="37" spans="1:15" ht="15.75" thickBot="1">
      <c r="A37" s="3613"/>
      <c r="B37" s="1673" t="s">
        <v>1312</v>
      </c>
      <c r="C37" s="147"/>
      <c r="D37" s="1138"/>
      <c r="E37" s="1138"/>
      <c r="F37" s="1789"/>
      <c r="G37" s="129"/>
      <c r="H37" s="129"/>
      <c r="I37" s="129"/>
    </row>
    <row r="38" spans="1:15" ht="15.75" thickBot="1">
      <c r="A38" s="3614"/>
      <c r="B38" s="1790" t="s">
        <v>1313</v>
      </c>
      <c r="C38" s="673"/>
      <c r="D38" s="1791" t="s">
        <v>1314</v>
      </c>
      <c r="E38" s="1138"/>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589" t="s">
        <v>1324</v>
      </c>
      <c r="B45" s="3590"/>
      <c r="C45" s="3591"/>
      <c r="D45" s="155">
        <f ca="1">ROUND(H101*F45,0)</f>
        <v>2489</v>
      </c>
      <c r="E45" s="156" t="s">
        <v>1325</v>
      </c>
      <c r="F45" s="157">
        <v>1</v>
      </c>
      <c r="G45" s="158" t="s">
        <v>1326</v>
      </c>
      <c r="H45" s="129"/>
      <c r="I45" s="129"/>
      <c r="J45" s="3667" t="s">
        <v>1327</v>
      </c>
      <c r="K45" s="3667"/>
      <c r="L45" s="3667"/>
      <c r="M45" s="3667"/>
      <c r="N45" s="3667"/>
      <c r="O45" s="3667"/>
    </row>
    <row r="46" spans="1:15" ht="14.25" customHeight="1">
      <c r="A46" s="3586" t="s">
        <v>1328</v>
      </c>
      <c r="B46" s="3587"/>
      <c r="C46" s="3587"/>
      <c r="D46" s="3587"/>
      <c r="E46" s="3587"/>
      <c r="F46" s="3587"/>
      <c r="G46" s="3588"/>
      <c r="H46" s="1805"/>
      <c r="I46" s="159"/>
      <c r="J46" s="2522">
        <v>1</v>
      </c>
      <c r="K46" s="3648" t="s">
        <v>1329</v>
      </c>
      <c r="L46" s="3648"/>
      <c r="M46" s="3668"/>
      <c r="N46" s="3668"/>
      <c r="O46" s="3668"/>
    </row>
    <row r="47" spans="1:15" ht="12" customHeight="1">
      <c r="A47" s="160" t="s">
        <v>1330</v>
      </c>
      <c r="B47" s="161"/>
      <c r="C47" s="162"/>
      <c r="D47" s="1086" t="s">
        <v>1331</v>
      </c>
      <c r="E47" s="302" t="s">
        <v>1332</v>
      </c>
      <c r="F47" s="163" t="s">
        <v>1333</v>
      </c>
      <c r="G47" s="2545" t="s">
        <v>1334</v>
      </c>
      <c r="H47" s="2546"/>
      <c r="I47" s="159"/>
      <c r="J47" s="2522">
        <v>2</v>
      </c>
      <c r="K47" s="3648" t="s">
        <v>1335</v>
      </c>
      <c r="L47" s="3648"/>
      <c r="M47" s="3669">
        <f>'数据-取费表'!B2</f>
        <v>45449</v>
      </c>
      <c r="N47" s="3669"/>
      <c r="O47" s="3669"/>
    </row>
    <row r="48" spans="1:15" ht="25.5">
      <c r="A48" s="3617" t="s">
        <v>1336</v>
      </c>
      <c r="B48" s="3600"/>
      <c r="C48" s="3600"/>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1337</v>
      </c>
      <c r="H48" s="2549"/>
      <c r="I48" s="1805"/>
      <c r="J48" s="2522">
        <v>3</v>
      </c>
      <c r="K48" s="3648" t="s">
        <v>1338</v>
      </c>
      <c r="L48" s="3648"/>
      <c r="M48" s="3670">
        <f ca="1">H101</f>
        <v>2489</v>
      </c>
      <c r="N48" s="3670"/>
      <c r="O48" s="3670"/>
    </row>
    <row r="49" spans="1:35" ht="25.5" customHeight="1">
      <c r="A49" s="2332" t="s">
        <v>1339</v>
      </c>
      <c r="B49" s="3584" t="s">
        <v>1340</v>
      </c>
      <c r="C49" s="3584"/>
      <c r="D49" s="1589">
        <v>0</v>
      </c>
      <c r="E49" s="324" t="s">
        <v>1341</v>
      </c>
      <c r="F49" s="2423" t="s">
        <v>28</v>
      </c>
      <c r="G49" s="3654"/>
      <c r="H49" s="2309" t="s">
        <v>2131</v>
      </c>
      <c r="I49" s="2310"/>
      <c r="J49" s="2522">
        <v>4</v>
      </c>
      <c r="K49" s="3648" t="str">
        <f>IF(项目基本情况!E8="房地产抵押价值","房地产抵押价值","抵押担保权已注销时的房地产抵押价值")</f>
        <v>房地产抵押价值</v>
      </c>
      <c r="L49" s="3648"/>
      <c r="M49" s="3670">
        <f ca="1">IF(项目基本情况!E8="房地产抵押价值",H107,H109)</f>
        <v>2489</v>
      </c>
      <c r="N49" s="3670"/>
      <c r="O49" s="3670"/>
    </row>
    <row r="50" spans="1:35" ht="25.5" customHeight="1">
      <c r="A50" s="2550"/>
      <c r="B50" s="3584" t="s">
        <v>1342</v>
      </c>
      <c r="C50" s="3584"/>
      <c r="D50" s="2551"/>
      <c r="E50" s="332"/>
      <c r="F50" s="2423"/>
      <c r="G50" s="3655"/>
      <c r="H50" s="2311" t="s">
        <v>2132</v>
      </c>
      <c r="I50" s="2310"/>
      <c r="J50" s="3667" t="s">
        <v>1343</v>
      </c>
      <c r="K50" s="3667"/>
      <c r="L50" s="3667"/>
      <c r="M50" s="3667"/>
      <c r="N50" s="3667"/>
      <c r="O50" s="3667"/>
    </row>
    <row r="51" spans="1:35" ht="20.45" customHeight="1">
      <c r="A51" s="2552"/>
      <c r="B51" s="3584" t="s">
        <v>1344</v>
      </c>
      <c r="C51" s="3584"/>
      <c r="D51" s="1086"/>
      <c r="E51" s="327"/>
      <c r="F51" s="2423"/>
      <c r="G51" s="3656"/>
      <c r="H51" s="2311" t="s">
        <v>2133</v>
      </c>
      <c r="I51" s="2310"/>
      <c r="J51" s="2523" t="s">
        <v>1345</v>
      </c>
      <c r="K51" s="3648" t="s">
        <v>1346</v>
      </c>
      <c r="L51" s="3648"/>
      <c r="M51" s="2523" t="s">
        <v>1347</v>
      </c>
      <c r="N51" s="2523" t="s">
        <v>1348</v>
      </c>
      <c r="O51" s="2523" t="s">
        <v>1349</v>
      </c>
    </row>
    <row r="52" spans="1:35" ht="24" customHeight="1">
      <c r="A52" s="2334" t="s">
        <v>1350</v>
      </c>
      <c r="B52" s="3584" t="s">
        <v>1351</v>
      </c>
      <c r="C52" s="3584"/>
      <c r="D52" s="1086">
        <f ca="1">ROUND(D45*'数据-取费表'!B41/(1+'数据-取费表'!C42),0)</f>
        <v>133</v>
      </c>
      <c r="E52" s="2333" t="s">
        <v>1352</v>
      </c>
      <c r="F52" s="2553">
        <f>'数据-取费表'!B41</f>
        <v>5.6000000000000001E-2</v>
      </c>
      <c r="G52" s="2554"/>
      <c r="H52" s="2543"/>
      <c r="I52" s="1806"/>
      <c r="J52" s="2522">
        <v>1</v>
      </c>
      <c r="K52" s="3649" t="s">
        <v>1353</v>
      </c>
      <c r="L52" s="3649"/>
      <c r="M52" s="2524" t="b">
        <f>D48</f>
        <v>0</v>
      </c>
      <c r="N52" s="2522" t="str">
        <f>E48</f>
        <v>销售额×税（费）率</v>
      </c>
      <c r="O52" s="2525">
        <f>F48</f>
        <v>5.6000000000000001E-2</v>
      </c>
    </row>
    <row r="53" spans="1:35" ht="12" customHeight="1">
      <c r="A53" s="2334" t="s">
        <v>1354</v>
      </c>
      <c r="B53" s="3610" t="s">
        <v>2288</v>
      </c>
      <c r="C53" s="3611"/>
      <c r="D53" s="1086">
        <f ca="1">ROUND(D45*'数据-取费表'!B41/(1+'数据-取费表'!C42),0)</f>
        <v>133</v>
      </c>
      <c r="E53" s="2333" t="s">
        <v>1352</v>
      </c>
      <c r="F53" s="2553">
        <f>'数据-取费表'!B41</f>
        <v>5.6000000000000001E-2</v>
      </c>
      <c r="G53" s="2554"/>
      <c r="H53" s="2543"/>
      <c r="I53" s="1806"/>
      <c r="J53" s="2522">
        <v>2</v>
      </c>
      <c r="K53" s="3649" t="s">
        <v>1355</v>
      </c>
      <c r="L53" s="3649"/>
      <c r="M53" s="2524">
        <f t="shared" ref="M53:O54" ca="1" si="0">D55</f>
        <v>1</v>
      </c>
      <c r="N53" s="2522" t="str">
        <f t="shared" si="0"/>
        <v>销售额×税（费）率</v>
      </c>
      <c r="O53" s="2525" t="str">
        <f t="shared" si="0"/>
        <v>免征</v>
      </c>
    </row>
    <row r="54" spans="1:35" ht="12" customHeight="1">
      <c r="A54" s="2334" t="s">
        <v>1356</v>
      </c>
      <c r="B54" s="3610" t="s">
        <v>2289</v>
      </c>
      <c r="C54" s="3611"/>
      <c r="D54" s="1086">
        <f ca="1">C68</f>
        <v>133</v>
      </c>
      <c r="E54" s="327" t="s">
        <v>1357</v>
      </c>
      <c r="F54" s="2553">
        <f>'数据-取费表'!B41</f>
        <v>5.6000000000000001E-2</v>
      </c>
      <c r="G54" s="2554"/>
      <c r="H54" s="2555"/>
      <c r="I54" s="1806"/>
      <c r="J54" s="2522">
        <v>3</v>
      </c>
      <c r="K54" s="3649" t="s">
        <v>1358</v>
      </c>
      <c r="L54" s="3649"/>
      <c r="M54" s="2524">
        <f t="shared" ca="1" si="0"/>
        <v>1409</v>
      </c>
      <c r="N54" s="2522" t="str">
        <f t="shared" si="0"/>
        <v>增值额×税（费）率</v>
      </c>
      <c r="O54" s="2526" t="str">
        <f t="shared" si="0"/>
        <v>免征</v>
      </c>
    </row>
    <row r="55" spans="1:35" ht="24" customHeight="1">
      <c r="A55" s="3599" t="s">
        <v>1359</v>
      </c>
      <c r="B55" s="3600"/>
      <c r="C55" s="3600"/>
      <c r="D55" s="2323">
        <f ca="1">IF(H55="个人住宅",0,ROUND(D45*I55,0))</f>
        <v>1</v>
      </c>
      <c r="E55" s="2333" t="s">
        <v>1360</v>
      </c>
      <c r="F55" s="2553" t="str">
        <f>IF(H55="正常",I55,"免征")</f>
        <v>免征</v>
      </c>
      <c r="G55" s="2554"/>
      <c r="H55" s="2549"/>
      <c r="I55" s="165">
        <f>'数据-取费表'!B49</f>
        <v>5.0000000000000001E-4</v>
      </c>
      <c r="J55" s="2522">
        <f>IF(H59="非个人房产","",4)</f>
        <v>4</v>
      </c>
      <c r="K55" s="3649" t="str">
        <f>IF(H59="非个人房产","——","个人所得税")</f>
        <v>个人所得税</v>
      </c>
      <c r="L55" s="3649"/>
      <c r="M55" s="2527">
        <f ca="1">D59</f>
        <v>24</v>
      </c>
      <c r="N55" s="2039" t="str">
        <f>E59</f>
        <v>差额计税</v>
      </c>
      <c r="O55" s="2528">
        <f>F59</f>
        <v>0.01</v>
      </c>
    </row>
    <row r="56" spans="1:35" ht="24.75">
      <c r="A56" s="3599" t="s">
        <v>1361</v>
      </c>
      <c r="B56" s="3600"/>
      <c r="C56" s="3600"/>
      <c r="D56" s="2323">
        <f ca="1">IF(H56="个人住宅",D57,D58)</f>
        <v>1409</v>
      </c>
      <c r="E56" s="2333" t="s">
        <v>1362</v>
      </c>
      <c r="F56" s="2553" t="str">
        <f>IF(H56="正常",F58,"免征")</f>
        <v>免征</v>
      </c>
      <c r="G56" s="2556" t="s">
        <v>1363</v>
      </c>
      <c r="H56" s="2557"/>
      <c r="I56" s="1807"/>
      <c r="J56" s="2522" t="str">
        <f>IF(项目基本情况!K6="上海银行",IF(J55="",4,J55+1),"")</f>
        <v/>
      </c>
      <c r="K56" s="3672" t="str">
        <f>IF(项目基本情况!K6="上海银行","其他处置费用","")</f>
        <v/>
      </c>
      <c r="L56" s="3673"/>
      <c r="M56" s="2524" t="str">
        <f>IF(项目基本情况!K6="上海银行",M69,"")</f>
        <v/>
      </c>
      <c r="N56" s="3672" t="str">
        <f>IF(项目基本情况!K6="上海银行","包含处置中涉及的律师、诉讼、拍卖、评估等费用","")</f>
        <v/>
      </c>
      <c r="O56" s="3675"/>
    </row>
    <row r="57" spans="1:35" ht="12.75">
      <c r="A57" s="2334" t="s">
        <v>1339</v>
      </c>
      <c r="B57" s="3610" t="s">
        <v>1364</v>
      </c>
      <c r="C57" s="3611"/>
      <c r="D57" s="1589">
        <v>0</v>
      </c>
      <c r="E57" s="324" t="s">
        <v>1341</v>
      </c>
      <c r="F57" s="302"/>
      <c r="G57" s="2554"/>
      <c r="H57" s="2558"/>
      <c r="I57" s="1807"/>
      <c r="J57" s="3649">
        <f>IF(AND(J55="",J56=""),4,IF(项目基本情况!K6="上海银行",结果表!J56+1,结果表!J55+1))</f>
        <v>5</v>
      </c>
      <c r="K57" s="3649" t="s">
        <v>1365</v>
      </c>
      <c r="L57" s="2529" t="s">
        <v>1366</v>
      </c>
      <c r="M57" s="2530"/>
      <c r="N57" s="2531">
        <f ca="1">SUMIF(M52:M56,"&lt;9e307")</f>
        <v>1434</v>
      </c>
      <c r="O57" s="2532"/>
      <c r="P57" s="2689">
        <f ca="1">N57/M49</f>
        <v>0.57613499397348333</v>
      </c>
    </row>
    <row r="58" spans="1:35" ht="24.75">
      <c r="A58" s="2334" t="s">
        <v>1350</v>
      </c>
      <c r="B58" s="3610" t="s">
        <v>1367</v>
      </c>
      <c r="C58" s="3584"/>
      <c r="D58" s="2323">
        <f ca="1">IF(H58="转让取得",C81,C97)</f>
        <v>1409</v>
      </c>
      <c r="E58" s="2333" t="s">
        <v>1362</v>
      </c>
      <c r="F58" s="302" t="s">
        <v>28</v>
      </c>
      <c r="G58" s="2554"/>
      <c r="H58" s="2557"/>
      <c r="I58" s="1807"/>
      <c r="J58" s="3649"/>
      <c r="K58" s="3649"/>
      <c r="L58" s="2529" t="s">
        <v>1368</v>
      </c>
      <c r="M58" s="2533"/>
      <c r="N58" s="2534" t="str">
        <f ca="1">NUMBERSTRING(INT(N57*10000),2)&amp;"元整"</f>
        <v>壹仟肆佰叁拾肆万元整</v>
      </c>
      <c r="O58" s="2535"/>
    </row>
    <row r="59" spans="1:35" ht="24.75" thickBot="1">
      <c r="A59" s="3652" t="s">
        <v>1369</v>
      </c>
      <c r="B59" s="3653"/>
      <c r="C59" s="3653"/>
      <c r="D59" s="2559">
        <f ca="1">IF(H59="非个人房产","——",IF(H59="个人住宅（满五唯一有凭证）",0,IF(H59="个人其他（无凭证）",ROUND(D45*F59,0),ROUND(C67*F59,0))))</f>
        <v>24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1363</v>
      </c>
      <c r="H59" s="2313"/>
      <c r="I59" s="2312" t="s">
        <v>2134</v>
      </c>
      <c r="J59" s="3650">
        <f>J57+1</f>
        <v>6</v>
      </c>
      <c r="K59" s="3649" t="s">
        <v>1370</v>
      </c>
      <c r="L59" s="2522" t="s">
        <v>1366</v>
      </c>
      <c r="M59" s="2536"/>
      <c r="N59" s="2537">
        <f ca="1">M49-N57</f>
        <v>1055</v>
      </c>
      <c r="O59" s="2538"/>
    </row>
    <row r="60" spans="1:35" ht="12" customHeight="1">
      <c r="A60" s="1808"/>
      <c r="B60" s="1746"/>
      <c r="C60" s="1746"/>
      <c r="D60" s="1746"/>
      <c r="E60" s="1577"/>
      <c r="F60" s="1807"/>
      <c r="G60" s="1807"/>
      <c r="H60" s="1809"/>
      <c r="I60" s="129"/>
      <c r="J60" s="3651"/>
      <c r="K60" s="3649"/>
      <c r="L60" s="2529" t="s">
        <v>1368</v>
      </c>
      <c r="M60" s="2533"/>
      <c r="N60" s="2534" t="str">
        <f ca="1">NUMBERSTRING(INT(N59*10000),2)&amp;"元整"</f>
        <v>壹仟零伍拾伍万元整</v>
      </c>
      <c r="O60" s="2535"/>
    </row>
    <row r="61" spans="1:35" ht="13.5" thickBot="1">
      <c r="A61" s="3597" t="s">
        <v>1371</v>
      </c>
      <c r="B61" s="3597"/>
      <c r="C61" s="3597"/>
      <c r="D61" s="3597"/>
      <c r="E61" s="3597"/>
      <c r="F61" s="1807"/>
      <c r="G61" s="1807"/>
      <c r="H61" s="1809"/>
      <c r="I61" s="129"/>
      <c r="J61" s="2522">
        <f>J59+1</f>
        <v>7</v>
      </c>
      <c r="K61" s="3649" t="s">
        <v>1372</v>
      </c>
      <c r="L61" s="3649"/>
      <c r="M61" s="2539"/>
      <c r="N61" s="2540">
        <f ca="1">ROUND(N59*10000/'数据-汇总表'!E3,0)</f>
        <v>4416</v>
      </c>
      <c r="O61" s="2541"/>
    </row>
    <row r="62" spans="1:35" ht="12.75">
      <c r="A62" s="3615" t="s">
        <v>1373</v>
      </c>
      <c r="B62" s="3616"/>
      <c r="C62" s="2020"/>
      <c r="D62" s="2020" t="s">
        <v>1374</v>
      </c>
      <c r="E62" s="166" t="s">
        <v>1375</v>
      </c>
      <c r="F62" s="1807"/>
      <c r="G62" s="1807"/>
      <c r="H62" s="1809"/>
      <c r="I62" s="129"/>
    </row>
    <row r="63" spans="1:35" ht="12.75">
      <c r="A63" s="173" t="s">
        <v>330</v>
      </c>
      <c r="B63" s="167" t="s">
        <v>1376</v>
      </c>
      <c r="C63" s="2563">
        <f ca="1">ROUND((C64+C65)/(1+'数据-取费表'!C42),0)</f>
        <v>2370</v>
      </c>
      <c r="D63" s="167"/>
      <c r="E63" s="168"/>
      <c r="F63" s="1807"/>
      <c r="G63" s="1807"/>
      <c r="H63" s="1809"/>
      <c r="I63" s="129"/>
      <c r="J63" s="3674" t="s">
        <v>1377</v>
      </c>
      <c r="K63" s="1331" t="s">
        <v>1378</v>
      </c>
      <c r="L63" s="1331">
        <f ca="1">IF(M49&gt;10000,M49*0.5%,IF(AND(M49&gt;1000,M49&lt;=10000),M49*1%,IF(AND(M49&gt;100,M49&lt;=1000),M49*3%,IF(AND(M49&gt;10,M49&lt;=100),M49*5%,M49*8%))))</f>
        <v>24.89</v>
      </c>
      <c r="M63" s="302">
        <f ca="1">ROUND(L63,1)</f>
        <v>24.9</v>
      </c>
      <c r="N63" s="2542"/>
      <c r="Z63" s="1751"/>
      <c r="AI63" s="1752"/>
    </row>
    <row r="64" spans="1:35" ht="14.25" customHeight="1">
      <c r="A64" s="169" t="s">
        <v>325</v>
      </c>
      <c r="B64" s="170" t="s">
        <v>1379</v>
      </c>
      <c r="C64" s="2564">
        <f ca="1">D45</f>
        <v>2489</v>
      </c>
      <c r="D64" s="170" t="s">
        <v>26</v>
      </c>
      <c r="E64" s="172"/>
      <c r="F64" s="1807"/>
      <c r="G64" s="1807"/>
      <c r="H64" s="1809"/>
      <c r="I64" s="129"/>
      <c r="J64" s="3674"/>
      <c r="K64" s="1331" t="s">
        <v>1380</v>
      </c>
      <c r="L64" s="1331">
        <f ca="1">IF(M49&gt;2000,M49*0.5%,IF(AND(M49&gt;1000,M49&lt;=2000),M49*0.6%,IF(AND(M49&gt;500,M49&lt;=1000),M49*0.7%,IF(AND(M49&gt;200,M49&lt;=500),M49*0.8%,IF(AND(M49&gt;100,M49&lt;=200),M49*0.9%,IF(AND(M49&gt;50,M49&lt;=100),M49*1%,IF(AND(M49&gt;20,M49&lt;=50),M49*1.5%,IF(AND(M49&gt;10,M49&lt;=20),M49*2%,IF(AND(M49&gt;1,M49&lt;=10),M49*2.5%)))))))))</f>
        <v>12.445</v>
      </c>
      <c r="M64" s="302">
        <f t="shared" ref="M64:M65" ca="1" si="1">ROUND(L64,1)</f>
        <v>12.4</v>
      </c>
      <c r="N64" s="2543" t="s">
        <v>1381</v>
      </c>
      <c r="Z64" s="1751"/>
      <c r="AI64" s="1752"/>
    </row>
    <row r="65" spans="1:35" ht="14.25" customHeight="1">
      <c r="A65" s="169" t="s">
        <v>326</v>
      </c>
      <c r="B65" s="170" t="s">
        <v>1382</v>
      </c>
      <c r="C65" s="2565"/>
      <c r="D65" s="170"/>
      <c r="E65" s="172"/>
      <c r="F65" s="1807"/>
      <c r="G65" s="1807"/>
      <c r="H65" s="1809"/>
      <c r="I65" s="129"/>
      <c r="J65" s="3674"/>
      <c r="K65" s="1331" t="s">
        <v>1383</v>
      </c>
      <c r="L65" s="1331">
        <f ca="1">IF(M49&gt;1000,M49*0.1%,IF(AND(M49&gt;500,M49&lt;=1000),M49*0.5%,IF(AND(M49&gt;50,M49&lt;=500),M49*1%,IF(AND(M49&gt;1,M49&lt;=50),M49*1.5%))))</f>
        <v>2.4889999999999999</v>
      </c>
      <c r="M65" s="302">
        <f t="shared" ca="1" si="1"/>
        <v>2.5</v>
      </c>
      <c r="N65" s="2543" t="s">
        <v>1381</v>
      </c>
      <c r="Z65" s="1751"/>
      <c r="AI65" s="1752"/>
    </row>
    <row r="66" spans="1:35" ht="14.25" customHeight="1">
      <c r="A66" s="173" t="s">
        <v>327</v>
      </c>
      <c r="B66" s="174" t="s">
        <v>1384</v>
      </c>
      <c r="C66" s="2566"/>
      <c r="D66" s="174" t="s">
        <v>26</v>
      </c>
      <c r="E66" s="1337" t="s">
        <v>671</v>
      </c>
      <c r="F66" s="1807"/>
      <c r="G66" s="1807"/>
      <c r="H66" s="1809"/>
      <c r="I66" s="129"/>
      <c r="J66" s="3674"/>
      <c r="K66" s="1331" t="s">
        <v>1385</v>
      </c>
      <c r="L66" s="1331">
        <f ca="1">M49*0.5%</f>
        <v>12.445</v>
      </c>
      <c r="M66" s="302">
        <f ca="1">IF(L66&gt;0.5,0.5,ROUND(L66,0))</f>
        <v>0.5</v>
      </c>
      <c r="N66" s="2543" t="s">
        <v>1386</v>
      </c>
      <c r="Z66" s="1751"/>
      <c r="AI66" s="1752"/>
    </row>
    <row r="67" spans="1:35" ht="14.25" customHeight="1">
      <c r="A67" s="173" t="s">
        <v>328</v>
      </c>
      <c r="B67" s="174" t="s">
        <v>1387</v>
      </c>
      <c r="C67" s="2567">
        <f ca="1">C63-C66</f>
        <v>2370</v>
      </c>
      <c r="D67" s="170" t="s">
        <v>26</v>
      </c>
      <c r="E67" s="172"/>
      <c r="F67" s="1807"/>
      <c r="G67" s="1807"/>
      <c r="H67" s="1809"/>
      <c r="I67" s="129"/>
      <c r="J67" s="3674"/>
      <c r="K67" s="1331" t="s">
        <v>1388</v>
      </c>
      <c r="L67" s="133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2"/>
      <c r="Z67" s="1751"/>
      <c r="AI67" s="1752"/>
    </row>
    <row r="68" spans="1:35" ht="14.25" customHeight="1" thickBot="1">
      <c r="A68" s="176" t="s">
        <v>329</v>
      </c>
      <c r="B68" s="177" t="s">
        <v>1389</v>
      </c>
      <c r="C68" s="2568">
        <f ca="1">IF(C67&lt;=0,0,ROUND(C67*D68,0))</f>
        <v>133</v>
      </c>
      <c r="D68" s="2569">
        <f>'数据-取费表'!B41</f>
        <v>5.6000000000000001E-2</v>
      </c>
      <c r="E68" s="178"/>
      <c r="F68" s="1807"/>
      <c r="G68" s="1807"/>
      <c r="H68" s="1809"/>
      <c r="I68" s="129"/>
      <c r="J68" s="3674"/>
      <c r="K68" s="1331" t="s">
        <v>1390</v>
      </c>
      <c r="L68" s="1331">
        <f ca="1">IF(M49&gt;10000,M49*0.5%,IF(AND(M49&gt;5000,M49&lt;=10000),M49*1%,IF(AND(M49&gt;1000,M49&lt;=5000),M49*2%,IF(AND(M49&gt;200,M49&lt;=1000),M49*3%,M49*5%))))</f>
        <v>49.78</v>
      </c>
      <c r="M68" s="302">
        <f ca="1">ROUND(L68,1)</f>
        <v>49.8</v>
      </c>
      <c r="N68" s="2542"/>
      <c r="Z68" s="1751"/>
      <c r="AI68" s="1752"/>
    </row>
    <row r="69" spans="1:35" s="1771" customFormat="1" ht="16.5" customHeight="1">
      <c r="A69" s="1810"/>
      <c r="B69" s="1811"/>
      <c r="C69" s="1812"/>
      <c r="D69" s="1813"/>
      <c r="E69" s="1814"/>
      <c r="F69" s="1577"/>
      <c r="G69" s="1577"/>
      <c r="H69" s="1576"/>
      <c r="I69" s="1746"/>
      <c r="J69" s="3674"/>
      <c r="K69" s="1331" t="s">
        <v>1391</v>
      </c>
      <c r="L69" s="1331"/>
      <c r="M69" s="302">
        <f ca="1">ROUND(SUM(M63:M68),0)</f>
        <v>93</v>
      </c>
      <c r="N69" s="2544">
        <f ca="1">M69/M49</f>
        <v>3.7364403374849336E-2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6" t="s">
        <v>1392</v>
      </c>
      <c r="B70" s="3637"/>
      <c r="C70" s="3637"/>
      <c r="D70" s="3637"/>
      <c r="E70" s="3637"/>
      <c r="F70" s="3637"/>
      <c r="G70" s="3637"/>
      <c r="H70" s="3637"/>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5" t="s">
        <v>1373</v>
      </c>
      <c r="B71" s="3616"/>
      <c r="C71" s="2020"/>
      <c r="D71" s="2020" t="s">
        <v>1374</v>
      </c>
      <c r="E71" s="179" t="s">
        <v>1375</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67">
        <f ca="1">ROUND(D45/(1+'数据-取费表'!C42),0)</f>
        <v>2370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67">
        <f ca="1">C74+C78</f>
        <v>14</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70"/>
      <c r="D75" s="170" t="s">
        <v>26</v>
      </c>
      <c r="E75" s="184" t="s">
        <v>1397</v>
      </c>
      <c r="F75" s="2571"/>
      <c r="G75" s="184" t="s">
        <v>1398</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0</v>
      </c>
      <c r="D76" s="2573">
        <v>0.05</v>
      </c>
      <c r="E76" s="3610" t="s">
        <v>1400</v>
      </c>
      <c r="F76" s="3584"/>
      <c r="G76" s="3584"/>
      <c r="H76" s="363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0</v>
      </c>
      <c r="D77" s="2574">
        <f>'数据-取费表'!B48+'数据-取费表'!B49</f>
        <v>3.0499999999999999E-2</v>
      </c>
      <c r="E77" s="2323" t="s">
        <v>1402</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75">
        <f ca="1">ROUND(D45*D78/(1+'数据-取费表'!C42),0)</f>
        <v>14</v>
      </c>
      <c r="D78" s="2576">
        <f>'数据-取费表'!B43</f>
        <v>6.000000000000001E-3</v>
      </c>
      <c r="E78" s="3594" t="s">
        <v>1404</v>
      </c>
      <c r="F78" s="3595"/>
      <c r="G78" s="3595"/>
      <c r="H78" s="360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1405</v>
      </c>
      <c r="C79" s="2567">
        <f ca="1">C72-C73</f>
        <v>2356</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77">
        <f ca="1">IF(C79&lt;=0,0,C79/C73)</f>
        <v>168.28571428571428</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78">
        <f ca="1">ROUND(IF(C79&lt;=0,0,IF(C80&gt;=200%,C79*60%-C73*35%,IF(C80&gt;=100%,C79*50%-C73*15%,IF(C80&gt;=50%,C79*40%-C73*5%,IF(C80&lt;50%,C79*30%,0))))),0)</f>
        <v>1409</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6" t="s">
        <v>1408</v>
      </c>
      <c r="B83" s="3637"/>
      <c r="C83" s="3637"/>
      <c r="D83" s="3637"/>
      <c r="E83" s="3637"/>
      <c r="F83" s="3637"/>
      <c r="G83" s="3637"/>
      <c r="H83" s="363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5" t="s">
        <v>1373</v>
      </c>
      <c r="B84" s="3616"/>
      <c r="C84" s="2020"/>
      <c r="D84" s="2020"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1393</v>
      </c>
      <c r="C85" s="2567">
        <f ca="1">ROUND(D45/(1+'数据-取费表'!C42),0)</f>
        <v>2370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1394</v>
      </c>
      <c r="C86" s="2567">
        <f ca="1">IF(H88="仅含出让金",C87+C90+C91+C92+C93+C94,C87+C91+C92+C93+C94)</f>
        <v>14</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1409</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1410</v>
      </c>
      <c r="C88" s="2581"/>
      <c r="D88" s="2576"/>
      <c r="E88" s="193" t="s">
        <v>1411</v>
      </c>
      <c r="F88" s="2326"/>
      <c r="G88" s="194" t="s">
        <v>1412</v>
      </c>
      <c r="H88" s="1823"/>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1401</v>
      </c>
      <c r="C89" s="2575">
        <f>ROUND(C88*D89,0)</f>
        <v>0</v>
      </c>
      <c r="D89" s="2576">
        <f>'数据-取费表'!B48+'数据-取费表'!B49</f>
        <v>3.0499999999999999E-2</v>
      </c>
      <c r="E89" s="193" t="s">
        <v>1413</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1414</v>
      </c>
      <c r="C90" s="2581"/>
      <c r="D90" s="2576"/>
      <c r="E90" s="193" t="str">
        <f>IF(H88="-","土地取得成本中已包含该笔费用"," ")</f>
        <v xml:space="preserve"> </v>
      </c>
      <c r="F90" s="2326"/>
      <c r="G90" s="3676" t="s">
        <v>2126</v>
      </c>
      <c r="H90" s="3677"/>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1415</v>
      </c>
      <c r="B91" s="170" t="s">
        <v>1416</v>
      </c>
      <c r="C91" s="2575">
        <f>IF(H91="——",成本法!C33,I91)</f>
        <v>0</v>
      </c>
      <c r="D91" s="2576"/>
      <c r="E91" s="3594" t="s">
        <v>1417</v>
      </c>
      <c r="F91" s="3595"/>
      <c r="G91" s="359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1418</v>
      </c>
      <c r="B92" s="170" t="s">
        <v>1419</v>
      </c>
      <c r="C92" s="2575">
        <f>ROUND((C87+C90+C91)*D92,0)</f>
        <v>0</v>
      </c>
      <c r="D92" s="2582"/>
      <c r="E92" s="3594" t="s">
        <v>1420</v>
      </c>
      <c r="F92" s="3595"/>
      <c r="G92" s="3595"/>
      <c r="H92" s="3604"/>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1421</v>
      </c>
      <c r="B93" s="170" t="s">
        <v>1403</v>
      </c>
      <c r="C93" s="2575">
        <f ca="1">ROUND(D45*D93/(1+'数据-取费表'!C42),0)</f>
        <v>14</v>
      </c>
      <c r="D93" s="2576">
        <f>'数据-取费表'!B43</f>
        <v>6.000000000000001E-3</v>
      </c>
      <c r="E93" s="3594" t="s">
        <v>1404</v>
      </c>
      <c r="F93" s="3595"/>
      <c r="G93" s="3595"/>
      <c r="H93" s="360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1422</v>
      </c>
      <c r="B94" s="170" t="s">
        <v>1423</v>
      </c>
      <c r="C94" s="2581">
        <f>ROUND((C87+C90+C91)*D94,0)</f>
        <v>0</v>
      </c>
      <c r="D94" s="2576">
        <v>0.2</v>
      </c>
      <c r="E94" s="3605" t="s">
        <v>1424</v>
      </c>
      <c r="F94" s="3606"/>
      <c r="G94" s="3606"/>
      <c r="H94" s="360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1405</v>
      </c>
      <c r="C95" s="2567">
        <f ca="1">ROUND(C85-C86,0)</f>
        <v>2356</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1406</v>
      </c>
      <c r="C96" s="2577">
        <f ca="1">IF(C95&lt;=0,0,C95/C86)</f>
        <v>168.28571428571428</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1407</v>
      </c>
      <c r="C97" s="2578">
        <f ca="1">ROUND(IF(C95&lt;=0,0,IF(C96&gt;=200%,C95*60%-C86*35%,IF(C96&gt;=100%,C95*50%-C86*15%,IF(C96&gt;=50%,C95*40%-C86*5%,IF(C96&lt;50%,C95*30%,0))))),0)</f>
        <v>1409</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78" t="s">
        <v>1426</v>
      </c>
      <c r="B100" s="3579"/>
      <c r="C100" s="3579"/>
      <c r="D100" s="3596"/>
      <c r="E100" s="3579" t="s">
        <v>1427</v>
      </c>
      <c r="F100" s="3579"/>
      <c r="G100" s="3579"/>
      <c r="H100" s="3596"/>
      <c r="I100" s="129"/>
    </row>
    <row r="101" spans="1:35" ht="18.75" customHeight="1">
      <c r="A101" s="3657" t="s">
        <v>1428</v>
      </c>
      <c r="B101" s="3658"/>
      <c r="C101" s="2584" t="str">
        <f>C4</f>
        <v>比较法-办公</v>
      </c>
      <c r="D101" s="2585" t="str">
        <f>D4</f>
        <v>收益法 (元)</v>
      </c>
      <c r="E101" s="3671" t="s">
        <v>1429</v>
      </c>
      <c r="F101" s="3628"/>
      <c r="G101" s="1826" t="s">
        <v>1430</v>
      </c>
      <c r="H101" s="2594">
        <f ca="1">H118</f>
        <v>2489</v>
      </c>
      <c r="I101" s="129"/>
    </row>
    <row r="102" spans="1:35" ht="18.75" customHeight="1">
      <c r="A102" s="3630" t="s">
        <v>1431</v>
      </c>
      <c r="B102" s="2583" t="s">
        <v>1430</v>
      </c>
      <c r="C102" s="2584">
        <f ca="1">IF(D32="楼面单价",ROUND(C19,0),C19)</f>
        <v>2621</v>
      </c>
      <c r="D102" s="2585">
        <f ca="1">IF(D32="楼面单价",ROUND(D19,0),D19)</f>
        <v>2356</v>
      </c>
      <c r="E102" s="3671"/>
      <c r="F102" s="3628"/>
      <c r="G102" s="1826" t="s">
        <v>1432</v>
      </c>
      <c r="H102" s="2554">
        <f ca="1">I118</f>
        <v>10416</v>
      </c>
      <c r="I102" s="129"/>
    </row>
    <row r="103" spans="1:35" ht="42.75" customHeight="1">
      <c r="A103" s="3630"/>
      <c r="B103" s="2583" t="s">
        <v>1432</v>
      </c>
      <c r="C103" s="2586">
        <f ca="1">C20</f>
        <v>10970</v>
      </c>
      <c r="D103" s="2587">
        <f ca="1">D20</f>
        <v>9862</v>
      </c>
      <c r="E103" s="3665" t="s">
        <v>1433</v>
      </c>
      <c r="F103" s="3666"/>
      <c r="G103" s="1827" t="s">
        <v>1434</v>
      </c>
      <c r="H103" s="2594">
        <f>IF(D36="正常操作",H104+H105+H106,H105+H106)</f>
        <v>0</v>
      </c>
      <c r="I103" s="129"/>
    </row>
    <row r="104" spans="1:35" ht="18.75" customHeight="1">
      <c r="A104" s="3630" t="s">
        <v>1435</v>
      </c>
      <c r="B104" s="2588" t="s">
        <v>1430</v>
      </c>
      <c r="C104" s="2589">
        <f ca="1">H118</f>
        <v>2489</v>
      </c>
      <c r="D104" s="2590"/>
      <c r="E104" s="1673" t="s">
        <v>1436</v>
      </c>
      <c r="F104" s="1665"/>
      <c r="G104" s="1827" t="s">
        <v>1434</v>
      </c>
      <c r="H104" s="2595">
        <f>IF(D36="同一抵押权人同一抵押物续贷",C36&amp;"（续贷，未扣减，详见特别提示）",C36)</f>
        <v>0</v>
      </c>
      <c r="I104" s="129"/>
    </row>
    <row r="105" spans="1:35" ht="18.75" customHeight="1" thickBot="1">
      <c r="A105" s="3631"/>
      <c r="B105" s="2591" t="s">
        <v>1432</v>
      </c>
      <c r="C105" s="2592">
        <f ca="1">I118</f>
        <v>10416</v>
      </c>
      <c r="D105" s="2593"/>
      <c r="E105" s="1673" t="s">
        <v>1437</v>
      </c>
      <c r="F105" s="1665"/>
      <c r="G105" s="1827" t="s">
        <v>1434</v>
      </c>
      <c r="H105" s="2596">
        <f>C37</f>
        <v>0</v>
      </c>
      <c r="I105" s="129"/>
    </row>
    <row r="106" spans="1:35" ht="18.75" customHeight="1">
      <c r="A106" s="1746" t="s">
        <v>1438</v>
      </c>
      <c r="B106" s="1746"/>
      <c r="C106" s="1746"/>
      <c r="D106" s="1746"/>
      <c r="E106" s="1828" t="s">
        <v>1439</v>
      </c>
      <c r="F106" s="1665"/>
      <c r="G106" s="1827" t="s">
        <v>1434</v>
      </c>
      <c r="H106" s="2596">
        <f>C38</f>
        <v>0</v>
      </c>
      <c r="I106" s="129"/>
    </row>
    <row r="107" spans="1:35" ht="18.75" customHeight="1">
      <c r="A107" s="129"/>
      <c r="B107" s="129"/>
      <c r="C107" s="129"/>
      <c r="D107" s="129"/>
      <c r="E107" s="3627" t="str">
        <f>IF(项目基本情况!E8="已注销","——","3.房地产抵押价值")</f>
        <v>3.房地产抵押价值</v>
      </c>
      <c r="F107" s="3628"/>
      <c r="G107" s="1826" t="s">
        <v>1430</v>
      </c>
      <c r="H107" s="2594">
        <f ca="1">IF(E107="——","——",H101-H103)</f>
        <v>2489</v>
      </c>
      <c r="I107" s="129"/>
    </row>
    <row r="108" spans="1:35" ht="18.75" customHeight="1">
      <c r="A108" s="129"/>
      <c r="B108" s="129"/>
      <c r="C108" s="129"/>
      <c r="D108" s="129"/>
      <c r="E108" s="3627"/>
      <c r="F108" s="3628"/>
      <c r="G108" s="1826" t="s">
        <v>1432</v>
      </c>
      <c r="H108" s="2554">
        <f ca="1">IF(H107=H101,H102,ROUND(H107*10000/'数据-汇总表'!E3,0))</f>
        <v>10416</v>
      </c>
      <c r="I108" s="129"/>
    </row>
    <row r="109" spans="1:35" ht="18.75" customHeight="1">
      <c r="A109" s="129"/>
      <c r="B109" s="129"/>
      <c r="C109" s="129"/>
      <c r="D109" s="129"/>
      <c r="E109" s="3627" t="str">
        <f>IF(项目基本情况!E8="已注销及未注销","4.抵押担保权已注销时的房地产抵押价值",IF(项目基本情况!E8="已注销","3.抵押担保权已注销时的房地产抵押价值","——"))</f>
        <v>——</v>
      </c>
      <c r="F109" s="3628"/>
      <c r="G109" s="1826" t="s">
        <v>1430</v>
      </c>
      <c r="H109" s="2597" t="str">
        <f>IF(E109="——","——",H101-H105-H106)</f>
        <v>——</v>
      </c>
      <c r="I109" s="129"/>
    </row>
    <row r="110" spans="1:35" ht="18.75" customHeight="1">
      <c r="A110" s="129"/>
      <c r="B110" s="129"/>
      <c r="C110" s="129"/>
      <c r="D110" s="129"/>
      <c r="E110" s="3627"/>
      <c r="F110" s="3628"/>
      <c r="G110" s="1826" t="s">
        <v>1432</v>
      </c>
      <c r="H110" s="2554" t="str">
        <f>IF(H109="——","——",ROUND(H109*10000/'数据-汇总表'!E3,0))</f>
        <v>——</v>
      </c>
      <c r="I110" s="129"/>
    </row>
    <row r="111" spans="1:35" ht="18.75" customHeight="1">
      <c r="A111" s="129"/>
      <c r="B111" s="129"/>
      <c r="C111" s="129"/>
      <c r="D111" s="129"/>
      <c r="E111" s="3659" t="str">
        <f>IF(项目基本情况!E9="抵押净值",IF(OR(项目基本情况!E8="已注销",项目基本情况!E8="房地产抵押价值"),"4.抵押净值","5.抵押净值"),"——")</f>
        <v>——</v>
      </c>
      <c r="F111" s="3629"/>
      <c r="G111" s="1826" t="s">
        <v>1430</v>
      </c>
      <c r="H111" s="2594" t="str">
        <f>IF(E111="——","——",N59)</f>
        <v>——</v>
      </c>
      <c r="I111" s="129"/>
    </row>
    <row r="112" spans="1:35" ht="18.75" customHeight="1" thickBot="1">
      <c r="A112" s="129"/>
      <c r="B112" s="129"/>
      <c r="C112" s="129"/>
      <c r="D112" s="129"/>
      <c r="E112" s="3660"/>
      <c r="F112" s="3661"/>
      <c r="G112" s="1829" t="s">
        <v>1432</v>
      </c>
      <c r="H112" s="2598" t="str">
        <f>IF(E111="——","——",N61)</f>
        <v>——</v>
      </c>
      <c r="I112" s="129"/>
    </row>
    <row r="113" spans="1:27" ht="18.75" customHeight="1">
      <c r="A113" s="129"/>
      <c r="B113" s="129"/>
      <c r="C113" s="129"/>
      <c r="D113" s="129"/>
      <c r="E113" s="3632" t="s">
        <v>1438</v>
      </c>
      <c r="F113" s="3632"/>
      <c r="G113" s="3632"/>
      <c r="H113" s="3632"/>
      <c r="I113" s="129"/>
    </row>
    <row r="114" spans="1:27" ht="3.75" customHeight="1">
      <c r="A114" s="1746"/>
      <c r="B114" s="1746"/>
      <c r="C114" s="1746"/>
      <c r="D114" s="1746"/>
      <c r="E114" s="1808"/>
      <c r="F114" s="1808"/>
      <c r="G114" s="1808"/>
      <c r="H114" s="1808"/>
      <c r="I114" s="1746"/>
    </row>
    <row r="115" spans="1:27" ht="18.75" customHeight="1">
      <c r="A115" s="3642" t="s">
        <v>1440</v>
      </c>
      <c r="B115" s="3643"/>
      <c r="C115" s="3643"/>
      <c r="D115" s="3643"/>
      <c r="E115" s="3643"/>
      <c r="F115" s="3643"/>
      <c r="G115" s="3643"/>
      <c r="H115" s="3643"/>
      <c r="I115" s="3644"/>
    </row>
    <row r="116" spans="1:27" ht="27" customHeight="1">
      <c r="A116" s="3598" t="s">
        <v>1441</v>
      </c>
      <c r="B116" s="3633" t="s">
        <v>1442</v>
      </c>
      <c r="C116" s="3633" t="s">
        <v>1443</v>
      </c>
      <c r="D116" s="3646" t="s">
        <v>1444</v>
      </c>
      <c r="E116" s="3647"/>
      <c r="F116" s="3641" t="s">
        <v>1445</v>
      </c>
      <c r="G116" s="3641"/>
      <c r="H116" s="3598" t="s">
        <v>1446</v>
      </c>
      <c r="I116" s="3598"/>
    </row>
    <row r="117" spans="1:27" ht="18.75" customHeight="1">
      <c r="A117" s="3598"/>
      <c r="B117" s="3634"/>
      <c r="C117" s="3634"/>
      <c r="D117" s="2328" t="s">
        <v>1447</v>
      </c>
      <c r="E117" s="2328" t="s">
        <v>1448</v>
      </c>
      <c r="F117" s="2328" t="s">
        <v>1447</v>
      </c>
      <c r="G117" s="2328" t="s">
        <v>1449</v>
      </c>
      <c r="H117" s="2328" t="s">
        <v>1447</v>
      </c>
      <c r="I117" s="2328" t="s">
        <v>1449</v>
      </c>
    </row>
    <row r="118" spans="1:27" ht="24.75" customHeight="1">
      <c r="A118" s="2599" t="str">
        <f>项目基本情况!S2</f>
        <v>北京市房地产</v>
      </c>
      <c r="B118" s="2328">
        <f>M18</f>
        <v>2389.2399999999998</v>
      </c>
      <c r="C118" s="2328">
        <f>M19</f>
        <v>0</v>
      </c>
      <c r="D118" s="2328">
        <f ca="1">ROUND(IF(D32="总价",C34,E118*B118/10000),0)</f>
        <v>1025</v>
      </c>
      <c r="E118" s="2328">
        <f ca="1">ROUND(IF(C33="自定义",IF(D32="楼面单价",C34,D118*10000/B118),I118-G118),0)</f>
        <v>4291</v>
      </c>
      <c r="F118" s="2328">
        <f ca="1">ROUND(IF(D32="总价",C35,G118*B118/10000),0)</f>
        <v>1463</v>
      </c>
      <c r="G118" s="2328">
        <f ca="1">ROUND(IF(D32="楼面单价",C35,F118*10000/B118),0)</f>
        <v>6125</v>
      </c>
      <c r="H118" s="2328">
        <f ca="1">ROUND(IF(D32="总价",C32,I118*B118/10000),0)</f>
        <v>2489</v>
      </c>
      <c r="I118" s="2328">
        <f ca="1">ROUND(IF(D32="楼面单价",C32,H118*10000/B118),0)</f>
        <v>10416</v>
      </c>
    </row>
    <row r="119" spans="1:27" ht="18.75" customHeight="1">
      <c r="A119" s="3598" t="s">
        <v>1450</v>
      </c>
      <c r="B119" s="3598"/>
      <c r="C119" s="3598"/>
      <c r="D119" s="3638" t="str">
        <f ca="1">NUMBERSTRING(INT(D118*10000),2)&amp;"元整"</f>
        <v>壹仟零贰拾伍万元整</v>
      </c>
      <c r="E119" s="3640"/>
      <c r="F119" s="3638" t="str">
        <f ca="1">NUMBERSTRING(INT(F118*10000),2)&amp;"元整"</f>
        <v>壹仟肆佰陆拾叁万元整</v>
      </c>
      <c r="G119" s="3640"/>
      <c r="H119" s="3638" t="str">
        <f ca="1">NUMBERSTRING(INT(H118*10000),2)&amp;"元整"</f>
        <v>贰仟肆佰捌拾玖万元整</v>
      </c>
      <c r="I119" s="3640"/>
    </row>
    <row r="120" spans="1:27" ht="18.75" customHeight="1">
      <c r="A120" s="3662" t="str">
        <f>IF(项目基本情况!B9="房地产市场价值","",MID(E103,3,LEN(E103)-2))</f>
        <v>估价师知悉的法定优先受偿款</v>
      </c>
      <c r="B120" s="3663"/>
      <c r="C120" s="3664"/>
      <c r="D120" s="3662">
        <f>H103</f>
        <v>0</v>
      </c>
      <c r="E120" s="3663"/>
      <c r="F120" s="3663"/>
      <c r="G120" s="3663"/>
      <c r="H120" s="3663"/>
      <c r="I120" s="366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38" t="s">
        <v>1450</v>
      </c>
      <c r="B121" s="3639"/>
      <c r="C121" s="3640"/>
      <c r="D121" s="3638" t="str">
        <f>IF(D120=0,"零元整",NUMBERSTRING(INT(D120*10000),2)&amp;"元整")</f>
        <v>零元整</v>
      </c>
      <c r="E121" s="3639"/>
      <c r="F121" s="3639"/>
      <c r="G121" s="3639"/>
      <c r="H121" s="3639"/>
      <c r="I121" s="3640"/>
      <c r="AA121" s="724"/>
    </row>
    <row r="122" spans="1:27" ht="18.75" customHeight="1">
      <c r="A122" s="3629" t="str">
        <f>IF(项目基本情况!B9="房地产市场价值","",MID(E107,3,LEN(E107)-2))</f>
        <v>房地产抵押价值</v>
      </c>
      <c r="B122" s="3629"/>
      <c r="C122" s="3629"/>
      <c r="D122" s="3662">
        <f ca="1">H107</f>
        <v>2489</v>
      </c>
      <c r="E122" s="3663"/>
      <c r="F122" s="3663"/>
      <c r="G122" s="3663"/>
      <c r="H122" s="3663"/>
      <c r="I122" s="3664"/>
      <c r="AA122" s="724"/>
    </row>
    <row r="123" spans="1:27" ht="18.75" customHeight="1">
      <c r="A123" s="3598" t="s">
        <v>1450</v>
      </c>
      <c r="B123" s="3598"/>
      <c r="C123" s="3598"/>
      <c r="D123" s="3638" t="str">
        <f ca="1">NUMBERSTRING(INT(D122*10000),2)&amp;"元整"</f>
        <v>贰仟肆佰捌拾玖万元整</v>
      </c>
      <c r="E123" s="3639"/>
      <c r="F123" s="3639"/>
      <c r="G123" s="3639"/>
      <c r="H123" s="3639"/>
      <c r="I123" s="3640"/>
      <c r="AA123" s="724"/>
    </row>
    <row r="124" spans="1:27" ht="18.75" customHeight="1">
      <c r="A124" s="3629" t="str">
        <f>IF(项目基本情况!B9="房地产市场价值","",MID(E109,3,LEN(E109)-2))</f>
        <v/>
      </c>
      <c r="B124" s="3629"/>
      <c r="C124" s="3629"/>
      <c r="D124" s="3662" t="str">
        <f>H109</f>
        <v>——</v>
      </c>
      <c r="E124" s="3663"/>
      <c r="F124" s="3663"/>
      <c r="G124" s="3663"/>
      <c r="H124" s="3663"/>
      <c r="I124" s="3664"/>
      <c r="AA124" s="724"/>
    </row>
    <row r="125" spans="1:27" ht="18.75" customHeight="1">
      <c r="A125" s="3598" t="s">
        <v>1450</v>
      </c>
      <c r="B125" s="3598"/>
      <c r="C125" s="3598"/>
      <c r="D125" s="3638" t="e">
        <f>NUMBERSTRING(INT(D124*10000),2)&amp;"元整"</f>
        <v>#VALUE!</v>
      </c>
      <c r="E125" s="3639"/>
      <c r="F125" s="3639"/>
      <c r="G125" s="3639"/>
      <c r="H125" s="3639"/>
      <c r="I125" s="3640"/>
      <c r="AA125" s="724"/>
    </row>
    <row r="126" spans="1:27" ht="18.75" customHeight="1">
      <c r="A126" s="3629" t="str">
        <f>IF(项目基本情况!B9="房地产市场价值","",MID(E111,3,LEN(E111)-2))</f>
        <v/>
      </c>
      <c r="B126" s="3629"/>
      <c r="C126" s="3629"/>
      <c r="D126" s="3662" t="str">
        <f>H111</f>
        <v>——</v>
      </c>
      <c r="E126" s="3663"/>
      <c r="F126" s="3663"/>
      <c r="G126" s="3663"/>
      <c r="H126" s="3663"/>
      <c r="I126" s="3664"/>
      <c r="AA126" s="724"/>
    </row>
    <row r="127" spans="1:27" ht="18.75" customHeight="1">
      <c r="A127" s="3598" t="s">
        <v>1450</v>
      </c>
      <c r="B127" s="3598"/>
      <c r="C127" s="3598"/>
      <c r="D127" s="3638" t="e">
        <f>NUMBERSTRING(INT(D126*10000),2)&amp;"元整"</f>
        <v>#VALUE!</v>
      </c>
      <c r="E127" s="3639"/>
      <c r="F127" s="3639"/>
      <c r="G127" s="3639"/>
      <c r="H127" s="3639"/>
      <c r="I127" s="3640"/>
      <c r="AA127" s="724"/>
    </row>
    <row r="128" spans="1:27" ht="21.75" customHeight="1">
      <c r="A128" s="3645" t="s">
        <v>1451</v>
      </c>
      <c r="B128" s="3645"/>
      <c r="C128" s="3645"/>
      <c r="D128" s="3645"/>
      <c r="E128" s="3645"/>
      <c r="F128" s="3645"/>
      <c r="G128" s="3645"/>
      <c r="H128" s="3645"/>
      <c r="I128" s="3645"/>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H27" sqref="H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t="s">
        <v>21</v>
      </c>
      <c r="C1" s="198"/>
      <c r="D1" s="198"/>
      <c r="E1" s="198"/>
      <c r="F1" s="198"/>
      <c r="G1" s="1125">
        <f>MATCH(B1,'数据-取费表'!A6:A16,0)+5</f>
        <v>6</v>
      </c>
    </row>
    <row r="2" spans="1:9" s="200" customFormat="1" ht="18" customHeight="1">
      <c r="A2" s="201" t="s">
        <v>1460</v>
      </c>
      <c r="B2" s="202">
        <f ca="1">IF(D2="——",C52,C52-E2)</f>
        <v>1754</v>
      </c>
      <c r="C2" s="199" t="s">
        <v>1461</v>
      </c>
      <c r="D2" s="1852" t="s">
        <v>43</v>
      </c>
      <c r="E2" s="1168" t="e">
        <f ca="1">SUMIF(INDIRECT("'"&amp;G2&amp;"'"&amp;"!A:A"),"承租人权益价值",INDIRECT("'"&amp;G2&amp;"'"&amp;"!c:c"))</f>
        <v>#REF!</v>
      </c>
      <c r="F2" s="1853" t="s">
        <v>1461</v>
      </c>
      <c r="G2" s="1854"/>
    </row>
    <row r="3" spans="1:9" s="200" customFormat="1" ht="18" customHeight="1" thickBot="1">
      <c r="A3" s="203" t="s">
        <v>1462</v>
      </c>
      <c r="B3" s="204">
        <f ca="1">ROUND(B2*10000/(IF(B1="",'数据-汇总表'!E3,INDIRECT("'数据-取费表'!k"&amp;$G$1))),0)</f>
        <v>7341</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422</v>
      </c>
      <c r="D5" s="211" t="s">
        <v>1467</v>
      </c>
      <c r="E5" s="212" t="s">
        <v>1468</v>
      </c>
      <c r="F5" s="212" t="s">
        <v>1469</v>
      </c>
      <c r="G5" s="213"/>
    </row>
    <row r="6" spans="1:9" s="214" customFormat="1" ht="13.5" customHeight="1">
      <c r="A6" s="777" t="s">
        <v>1470</v>
      </c>
      <c r="B6" s="215" t="s">
        <v>1471</v>
      </c>
      <c r="C6" s="216">
        <f>基准地价修正!E33+基准地价修正!E37</f>
        <v>363</v>
      </c>
      <c r="D6" s="217"/>
      <c r="E6" s="218"/>
      <c r="F6" s="218"/>
      <c r="G6" s="219"/>
    </row>
    <row r="7" spans="1:9" s="214" customFormat="1" ht="13.5" customHeight="1">
      <c r="A7" s="777" t="s">
        <v>1472</v>
      </c>
      <c r="B7" s="215" t="s">
        <v>1473</v>
      </c>
      <c r="C7" s="220">
        <f>ROUND(C6*F7,0)</f>
        <v>11</v>
      </c>
      <c r="D7" s="220"/>
      <c r="E7" s="218"/>
      <c r="F7" s="221">
        <f>IF(项目基本情况!B8="出让",0,'数据-取费表'!B48+'数据-取费表'!B49)</f>
        <v>3.0499999999999999E-2</v>
      </c>
      <c r="G7" s="219"/>
    </row>
    <row r="8" spans="1:9" s="223" customFormat="1">
      <c r="A8" s="777" t="s">
        <v>1474</v>
      </c>
      <c r="B8" s="215" t="s">
        <v>1475</v>
      </c>
      <c r="C8" s="220">
        <f ca="1">IF(G8="已包含在土地购买价格中","0",IF(B1="",'数据-取费表'!B29,IF(G9="全部缴纳",C9+C10,H9)))</f>
        <v>48</v>
      </c>
      <c r="D8" s="222"/>
      <c r="E8" s="220"/>
      <c r="F8" s="221"/>
      <c r="G8" s="1855" t="s">
        <v>3436</v>
      </c>
    </row>
    <row r="9" spans="1:9" s="214" customFormat="1" ht="13.5" customHeight="1">
      <c r="A9" s="778" t="s">
        <v>355</v>
      </c>
      <c r="B9" s="224" t="s">
        <v>1476</v>
      </c>
      <c r="C9" s="225">
        <f ca="1">ROUND(D9*E9/10000,0)</f>
        <v>0</v>
      </c>
      <c r="D9" s="844">
        <f ca="1">IF(B1="",'数据-汇总表'!E5,IF(INDIRECT("'数据-取费表'!c"&amp;$G$1)="住宅",INDIRECT("'数据-取费表'!k"&amp;$G$1),0))</f>
        <v>0</v>
      </c>
      <c r="E9" s="225">
        <f>'数据-取费表'!B27</f>
        <v>0</v>
      </c>
      <c r="F9" s="221"/>
      <c r="G9" s="1856" t="s">
        <v>3442</v>
      </c>
      <c r="H9" s="1136"/>
      <c r="I9" s="1857" t="s">
        <v>1477</v>
      </c>
    </row>
    <row r="10" spans="1:9" s="214" customFormat="1" ht="13.5" customHeight="1">
      <c r="A10" s="778" t="s">
        <v>356</v>
      </c>
      <c r="B10" s="224" t="s">
        <v>1478</v>
      </c>
      <c r="C10" s="225">
        <f ca="1">ROUND(D10*E10/10000,0)</f>
        <v>48</v>
      </c>
      <c r="D10" s="844">
        <f ca="1">IF(B1="",'数据-汇总表'!E6,IF(INDIRECT("'数据-取费表'!c"&amp;$G$1)="住宅",INDIRECT("'数据-取费表'!s"&amp;$G$1),INDIRECT("'数据-取费表'!k"&amp;$G$1)+INDIRECT("'数据-取费表'!s"&amp;$G$1)))</f>
        <v>2389.2399999999998</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f ca="1">D9+D10</f>
        <v>2389.2399999999998</v>
      </c>
      <c r="E19" s="211">
        <f>'数据-取费表'!B31</f>
        <v>200</v>
      </c>
      <c r="F19" s="231"/>
      <c r="G19" s="1855" t="s">
        <v>3437</v>
      </c>
    </row>
    <row r="20" spans="1:7" s="214" customFormat="1" ht="13.5" customHeight="1">
      <c r="A20" s="255" t="s">
        <v>1491</v>
      </c>
      <c r="B20" s="210" t="s">
        <v>1492</v>
      </c>
      <c r="C20" s="232">
        <f ca="1">ROUND((C5+C19)*F20,0)</f>
        <v>8</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f ca="1">ROUND(SUM(C23:C25),0)</f>
        <v>30</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9" t="s">
        <v>1500</v>
      </c>
      <c r="B23" s="215" t="s">
        <v>1501</v>
      </c>
      <c r="C23" s="1104">
        <f ca="1">ROUND(IF('数据-取费表'!B22&lt;=1,C5*F22*'数据-取费表'!B23,C5*(POWER((1+F22),'数据-取费表'!B23)-1)),0)</f>
        <v>30</v>
      </c>
      <c r="D23" s="238"/>
      <c r="E23" s="238"/>
      <c r="F23" s="239"/>
      <c r="G23" s="240" t="s">
        <v>1502</v>
      </c>
    </row>
    <row r="24" spans="1:7" s="214" customFormat="1" ht="13.5" customHeight="1">
      <c r="A24" s="779" t="s">
        <v>1503</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4">
        <f ca="1">ROUND(IF('数据-取费表'!B22&lt;=1,C20*F22*'数据-取费表'!B23/2,C20*(POWER((1+F22),'数据-取费表'!B23/2)-1)),0)</f>
        <v>0</v>
      </c>
      <c r="D25" s="238"/>
      <c r="E25" s="241"/>
      <c r="F25" s="239"/>
      <c r="G25" s="242" t="s">
        <v>1508</v>
      </c>
    </row>
    <row r="26" spans="1:7" s="214" customFormat="1">
      <c r="A26" s="779"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43</v>
      </c>
      <c r="D27" s="235">
        <f ca="1">C29</f>
        <v>2E-3</v>
      </c>
      <c r="E27" s="236" t="s">
        <v>1512</v>
      </c>
      <c r="F27" s="246">
        <f ca="1">IF(B1="",'数据-取费表'!Q16,INDIRECT("'数据-取费表'!q"&amp;$G$1))</f>
        <v>0.1</v>
      </c>
      <c r="G27" s="247" t="s">
        <v>1513</v>
      </c>
    </row>
    <row r="28" spans="1:7" s="214" customFormat="1" ht="13.5" customHeight="1">
      <c r="A28" s="779" t="s">
        <v>346</v>
      </c>
      <c r="B28" s="248" t="s">
        <v>1514</v>
      </c>
      <c r="C28" s="249">
        <f ca="1">ROUND((C5+C19+C20)*F27*'数据-取费表'!B21/'数据-取费表'!B20,0)</f>
        <v>43</v>
      </c>
      <c r="D28" s="235"/>
      <c r="E28" s="236"/>
      <c r="F28" s="246"/>
      <c r="G28" s="247"/>
    </row>
    <row r="29" spans="1:7" s="214" customFormat="1" ht="13.5" customHeight="1">
      <c r="A29" s="779" t="s">
        <v>347</v>
      </c>
      <c r="B29" s="248" t="s">
        <v>1515</v>
      </c>
      <c r="C29" s="238">
        <f ca="1">ROUND(C21*F27*'数据-取费表'!B21/'数据-取费表'!B20,4)</f>
        <v>2E-3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544</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1177</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1075</v>
      </c>
      <c r="D34" s="217"/>
      <c r="E34" s="220"/>
      <c r="F34" s="257">
        <f ca="1">IF('数据-取费表'!B24=0,1,IF(B1="",'数据-取费表'!N16,INDIRECT("'数据-取费表'!n"&amp;$G$1)))</f>
        <v>1</v>
      </c>
      <c r="G34" s="219" t="s">
        <v>1524</v>
      </c>
    </row>
    <row r="35" spans="1:7" ht="13.5" customHeight="1">
      <c r="A35" s="779" t="s">
        <v>351</v>
      </c>
      <c r="B35" s="215" t="s">
        <v>1525</v>
      </c>
      <c r="C35" s="220">
        <f ca="1">ROUND(C34*F35,0)</f>
        <v>32</v>
      </c>
      <c r="D35" s="220"/>
      <c r="E35" s="220"/>
      <c r="F35" s="259">
        <f>'数据-取费表'!B33</f>
        <v>0.03</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9" t="s">
        <v>353</v>
      </c>
      <c r="B37" s="215" t="s">
        <v>1529</v>
      </c>
      <c r="C37" s="249">
        <f ca="1">ROUND(E37*D37*F34/10000,0)</f>
        <v>48</v>
      </c>
      <c r="D37" s="217">
        <f ca="1">D19</f>
        <v>2389.2399999999998</v>
      </c>
      <c r="E37" s="249">
        <f>'数据-取费表'!B35</f>
        <v>200</v>
      </c>
      <c r="F37" s="259"/>
      <c r="G37" s="261" t="s">
        <v>1530</v>
      </c>
    </row>
    <row r="38" spans="1:7" ht="13.5" customHeight="1">
      <c r="A38" s="779" t="s">
        <v>354</v>
      </c>
      <c r="B38" s="215" t="s">
        <v>1531</v>
      </c>
      <c r="C38" s="220">
        <f ca="1">ROUND(C34*F38,0)</f>
        <v>22</v>
      </c>
      <c r="D38" s="220"/>
      <c r="E38" s="220"/>
      <c r="F38" s="259">
        <f>'数据-取费表'!B36</f>
        <v>0.02</v>
      </c>
      <c r="G38" s="219" t="s">
        <v>1526</v>
      </c>
    </row>
    <row r="39" spans="1:7" s="214" customFormat="1" ht="13.5" customHeight="1">
      <c r="A39" s="255" t="s">
        <v>1532</v>
      </c>
      <c r="B39" s="210" t="s">
        <v>1533</v>
      </c>
      <c r="C39" s="232">
        <f ca="1">ROUND(C33*F20,0)</f>
        <v>24</v>
      </c>
      <c r="D39" s="232"/>
      <c r="E39" s="232"/>
      <c r="F39" s="233">
        <f>F20</f>
        <v>0.02</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f ca="1">ROUND(SUM(C42:C43),0)</f>
        <v>42</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41</v>
      </c>
      <c r="D42" s="238"/>
      <c r="E42" s="238"/>
      <c r="F42" s="239"/>
      <c r="G42" s="3678" t="s">
        <v>1542</v>
      </c>
    </row>
    <row r="43" spans="1:7" ht="13.5" customHeight="1">
      <c r="A43" s="779" t="s">
        <v>347</v>
      </c>
      <c r="B43" s="215" t="s">
        <v>1543</v>
      </c>
      <c r="C43" s="238">
        <f ca="1">ROUND(IF('数据-取费表'!B22&lt;=1,C39*F22*'数据-取费表'!B21/2,C39*(POWER((1+F22),'数据-取费表'!B21/2)-1)),0)</f>
        <v>1</v>
      </c>
      <c r="D43" s="238"/>
      <c r="E43" s="238"/>
      <c r="F43" s="239"/>
      <c r="G43" s="3679"/>
    </row>
    <row r="44" spans="1:7" ht="13.5" customHeight="1">
      <c r="A44" s="779" t="s">
        <v>348</v>
      </c>
      <c r="B44" s="215" t="s">
        <v>1544</v>
      </c>
      <c r="C44" s="238">
        <f ca="1">ROUND(IF('数据-取费表'!B22&lt;=1,C40*F22*'数据-取费表'!B21/2,C40*(POWER((1+F22),'数据-取费表'!B21/2)-1)),4)</f>
        <v>6.9999999999999999E-4</v>
      </c>
      <c r="D44" s="238"/>
      <c r="E44" s="238"/>
      <c r="F44" s="239"/>
      <c r="G44" s="3680"/>
    </row>
    <row r="45" spans="1:7" s="214" customFormat="1" ht="13.5" customHeight="1">
      <c r="A45" s="255" t="s">
        <v>1545</v>
      </c>
      <c r="B45" s="244" t="s">
        <v>1511</v>
      </c>
      <c r="C45" s="245">
        <f ca="1">C46</f>
        <v>120</v>
      </c>
      <c r="D45" s="235">
        <f ca="1">C47</f>
        <v>2E-3</v>
      </c>
      <c r="E45" s="236" t="s">
        <v>1537</v>
      </c>
      <c r="F45" s="246">
        <f ca="1">F27</f>
        <v>0.1</v>
      </c>
      <c r="G45" s="247" t="s">
        <v>1546</v>
      </c>
    </row>
    <row r="46" spans="1:7" s="214" customFormat="1" ht="13.5" customHeight="1">
      <c r="A46" s="779" t="s">
        <v>346</v>
      </c>
      <c r="B46" s="248" t="s">
        <v>1547</v>
      </c>
      <c r="C46" s="249">
        <f ca="1">ROUND((C33+C39)*F27,0)</f>
        <v>120</v>
      </c>
      <c r="D46" s="263"/>
      <c r="E46" s="236"/>
      <c r="F46" s="246"/>
      <c r="G46" s="247"/>
    </row>
    <row r="47" spans="1:7" s="214" customFormat="1" ht="13.5" customHeight="1">
      <c r="A47" s="779" t="s">
        <v>347</v>
      </c>
      <c r="B47" s="248" t="s">
        <v>1548</v>
      </c>
      <c r="C47" s="238">
        <f ca="1">ROUND(C40*F27,4)</f>
        <v>2E-3</v>
      </c>
      <c r="D47" s="263"/>
      <c r="E47" s="236"/>
      <c r="F47" s="246"/>
      <c r="G47" s="247"/>
    </row>
    <row r="48" spans="1:7" s="214" customFormat="1" ht="13.5" customHeight="1">
      <c r="A48" s="255" t="s">
        <v>1510</v>
      </c>
      <c r="B48" s="210" t="s">
        <v>1549</v>
      </c>
      <c r="C48" s="1326">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1475</v>
      </c>
      <c r="D49" s="232"/>
      <c r="E49" s="232"/>
      <c r="F49" s="264"/>
      <c r="G49" s="234" t="s">
        <v>1552</v>
      </c>
    </row>
    <row r="50" spans="1:7" s="258" customFormat="1" ht="24">
      <c r="A50" s="255" t="s">
        <v>1553</v>
      </c>
      <c r="B50" s="210" t="s">
        <v>1554</v>
      </c>
      <c r="C50" s="232"/>
      <c r="D50" s="232"/>
      <c r="E50" s="232"/>
      <c r="F50" s="264">
        <f>IF('数据-取费表'!B24=0,'数据-取费表'!N16,1)</f>
        <v>0.82</v>
      </c>
      <c r="G50" s="247" t="s">
        <v>1555</v>
      </c>
    </row>
    <row r="51" spans="1:7" ht="16.5" customHeight="1">
      <c r="A51" s="255" t="s">
        <v>1556</v>
      </c>
      <c r="B51" s="210" t="s">
        <v>1557</v>
      </c>
      <c r="C51" s="232">
        <f ca="1">ROUND(C49*F50,0)</f>
        <v>1210</v>
      </c>
      <c r="D51" s="232"/>
      <c r="E51" s="232"/>
      <c r="F51" s="264"/>
      <c r="G51" s="234" t="s">
        <v>1558</v>
      </c>
    </row>
    <row r="52" spans="1:7" s="208" customFormat="1" ht="16.5" thickBot="1">
      <c r="A52" s="265" t="s">
        <v>1559</v>
      </c>
      <c r="B52" s="266"/>
      <c r="C52" s="267">
        <f ca="1">C31+C51</f>
        <v>1754</v>
      </c>
      <c r="D52" s="266"/>
      <c r="E52" s="266"/>
      <c r="F52" s="266"/>
      <c r="G52" s="268"/>
    </row>
    <row r="55" spans="1:7" ht="15">
      <c r="B55" s="270" t="s">
        <v>1560</v>
      </c>
      <c r="C55" s="271"/>
    </row>
    <row r="56" spans="1:7">
      <c r="B56" s="273" t="s">
        <v>802</v>
      </c>
      <c r="C56" s="275">
        <f ca="1">1-C57</f>
        <v>0.31000000000000005</v>
      </c>
    </row>
    <row r="57" spans="1:7">
      <c r="B57" s="273" t="s">
        <v>803</v>
      </c>
      <c r="C57" s="274">
        <f ca="1">ROUND(C51/C52,3)</f>
        <v>0.69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95" t="str">
        <f>项目基本情况!B1</f>
        <v>北京市房地产抵押价值预评估</v>
      </c>
      <c r="C37" s="3495"/>
      <c r="D37" s="3495"/>
      <c r="E37" s="3495"/>
      <c r="F37" s="3495"/>
      <c r="G37" s="3495"/>
      <c r="H37" s="3495"/>
      <c r="I37" s="3495"/>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90"/>
      <c r="C1" s="1191"/>
      <c r="D1" s="1189"/>
      <c r="E1" s="2805"/>
      <c r="F1" s="2805"/>
      <c r="G1" s="2670"/>
      <c r="H1" s="2805"/>
      <c r="I1" s="2805"/>
      <c r="J1" s="2805"/>
      <c r="K1" s="2806">
        <f>MATCH(C1,'数据-取费表'!A6:A16,0)+5</f>
        <v>7</v>
      </c>
    </row>
    <row r="2" spans="1:33" ht="18" customHeight="1">
      <c r="A2" s="201" t="s">
        <v>1460</v>
      </c>
      <c r="B2" s="204">
        <f ca="1">C32</f>
        <v>520983</v>
      </c>
      <c r="C2" s="276" t="s">
        <v>1593</v>
      </c>
      <c r="D2" s="276"/>
      <c r="E2" s="2805"/>
      <c r="F2" s="2805"/>
      <c r="G2" s="2805"/>
      <c r="H2" s="2805"/>
      <c r="I2" s="2805"/>
      <c r="J2" s="2805"/>
      <c r="K2" s="2805"/>
    </row>
    <row r="3" spans="1:33" ht="18" customHeight="1" thickBot="1">
      <c r="A3" s="203" t="s">
        <v>1462</v>
      </c>
      <c r="B3" s="204">
        <f ca="1">ROUND(B2*10000/IF(C1="",'数据-汇总表'!E3,INDIRECT("'数据-取费表'!K"&amp;$K$1)),0)</f>
        <v>2180539</v>
      </c>
      <c r="C3" s="276" t="s">
        <v>1594</v>
      </c>
      <c r="D3" s="276"/>
      <c r="E3" s="2805"/>
      <c r="F3" s="2805"/>
      <c r="G3" s="2805"/>
      <c r="H3" s="2805"/>
      <c r="I3" s="2805"/>
      <c r="J3" s="2805"/>
      <c r="K3" s="2805"/>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0.03</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2389.2399999999998</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0.02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2389.2399999999998</v>
      </c>
      <c r="E17" s="21">
        <f>'数据-取费表'!B32</f>
        <v>0</v>
      </c>
      <c r="F17" s="805"/>
      <c r="G17" s="131" t="s">
        <v>1621</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-477800</v>
      </c>
      <c r="D18" s="845"/>
      <c r="E18" s="21"/>
      <c r="F18" s="803"/>
      <c r="G18" s="1861"/>
      <c r="H18" s="1186"/>
      <c r="I18" s="1862"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1625</v>
      </c>
      <c r="C20" s="21">
        <f ca="1">ROUND(D20*E20/10000,0)</f>
        <v>48</v>
      </c>
      <c r="D20" s="845">
        <f ca="1">IF(C1="",'数据-汇总表'!E6,IF(INDIRECT("'数据-取费表'!c"&amp;$K$1)="住宅",INDIRECT("'数据-取费表'!s"&amp;$K$1),INDIRECT("'数据-取费表'!k"&amp;$K$1)+INDIRECT("'数据-取费表'!s"&amp;$K$1)))</f>
        <v>2389.2399999999998</v>
      </c>
      <c r="E20" s="21">
        <f>'数据-取费表'!B28</f>
        <v>200</v>
      </c>
      <c r="F20" s="803"/>
      <c r="G20" s="12"/>
      <c r="H20" s="808"/>
      <c r="I20" s="808"/>
      <c r="J20" s="808"/>
      <c r="K20" s="809"/>
    </row>
    <row r="21" spans="1:33" s="802" customFormat="1" ht="13.5" customHeight="1">
      <c r="A21" s="789" t="s">
        <v>357</v>
      </c>
      <c r="B21" s="812" t="s">
        <v>1626</v>
      </c>
      <c r="C21" s="813">
        <f ca="1">C16+C17+C18</f>
        <v>-477800</v>
      </c>
      <c r="D21" s="814"/>
      <c r="E21" s="281"/>
      <c r="F21" s="281"/>
      <c r="G21" s="131" t="s">
        <v>1627</v>
      </c>
      <c r="H21" s="806"/>
      <c r="I21" s="806"/>
      <c r="J21" s="806"/>
      <c r="K21" s="807"/>
    </row>
    <row r="22" spans="1:33" s="802" customFormat="1" ht="13.5" customHeight="1">
      <c r="A22" s="789" t="s">
        <v>1599</v>
      </c>
      <c r="B22" s="812" t="s">
        <v>1628</v>
      </c>
      <c r="C22" s="813">
        <f ca="1">ROUND(C21*F22,0)</f>
        <v>-9556</v>
      </c>
      <c r="D22" s="281"/>
      <c r="E22" s="281"/>
      <c r="F22" s="815">
        <f>'数据-取费表'!B37</f>
        <v>0.02</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1639</v>
      </c>
      <c r="B28" s="1864" t="s">
        <v>1640</v>
      </c>
      <c r="C28" s="287">
        <f ca="1">C30</f>
        <v>-48736</v>
      </c>
      <c r="D28" s="280">
        <f ca="1">C29</f>
        <v>0</v>
      </c>
      <c r="E28" s="282" t="s">
        <v>12</v>
      </c>
      <c r="F28" s="288">
        <f ca="1">IF(C1="",'数据-取费表'!Q16,INDIRECT("'数据-取费表'!q"&amp;$K$1))</f>
        <v>0.1</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-48736</v>
      </c>
      <c r="D30" s="284"/>
      <c r="E30" s="285"/>
      <c r="F30" s="290"/>
      <c r="G30" s="131"/>
      <c r="H30" s="806"/>
      <c r="I30" s="806"/>
      <c r="J30" s="806"/>
      <c r="K30" s="807"/>
    </row>
    <row r="31" spans="1:33" s="802" customFormat="1" ht="13.5" customHeight="1" thickBot="1">
      <c r="A31" s="1865" t="s">
        <v>1644</v>
      </c>
      <c r="B31" s="832" t="s">
        <v>1645</v>
      </c>
      <c r="C31" s="833">
        <f>ROUND(C4*F31/(1+'数据-取费表'!C42),0)</f>
        <v>0</v>
      </c>
      <c r="D31" s="834"/>
      <c r="E31" s="835"/>
      <c r="F31" s="836">
        <f>'数据-取费表'!B41</f>
        <v>5.6000000000000001E-2</v>
      </c>
      <c r="G31" s="837" t="s">
        <v>1646</v>
      </c>
      <c r="H31" s="838"/>
      <c r="I31" s="838"/>
      <c r="J31" s="838"/>
      <c r="K31" s="839"/>
    </row>
    <row r="32" spans="1:33" s="798" customFormat="1" ht="13.5" customHeight="1" thickBot="1">
      <c r="A32" s="827" t="s">
        <v>1647</v>
      </c>
      <c r="B32" s="828"/>
      <c r="C32" s="829">
        <f ca="1">ROUND((C4-C21-C22-C23-C25-C28-C31)/(1+C24+D25+D28),0)</f>
        <v>520983</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3452</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#N/A</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t="e">
        <f ca="1">C6+C10+C12</f>
        <v>#N/A</v>
      </c>
      <c r="D5" s="1363" t="s">
        <v>693</v>
      </c>
      <c r="E5" s="1070"/>
      <c r="F5" s="1071"/>
      <c r="G5" s="1383"/>
      <c r="H5" s="299">
        <v>1</v>
      </c>
      <c r="I5" s="300" t="s">
        <v>692</v>
      </c>
      <c r="J5" s="1069" t="e">
        <f ca="1">J6+J10+J12</f>
        <v>#N/A</v>
      </c>
      <c r="K5" s="1363" t="s">
        <v>693</v>
      </c>
      <c r="L5" s="1070"/>
      <c r="M5" s="1071"/>
    </row>
    <row r="6" spans="1:37" ht="18" customHeight="1">
      <c r="A6" s="1068" t="s">
        <v>398</v>
      </c>
      <c r="B6" s="3683" t="s">
        <v>694</v>
      </c>
      <c r="C6" s="1073" t="e">
        <f ca="1">ROUND(F6*F8*F7*(1-F9)/10000,0)</f>
        <v>#N/A</v>
      </c>
      <c r="D6" s="155" t="s">
        <v>2106</v>
      </c>
      <c r="E6" s="302" t="s">
        <v>696</v>
      </c>
      <c r="F6" s="303" t="e">
        <f ca="1">INDIRECT("'数据-取费表'!u"&amp;$G$1)</f>
        <v>#N/A</v>
      </c>
      <c r="G6" s="1383"/>
      <c r="H6" s="1068" t="s">
        <v>398</v>
      </c>
      <c r="I6" s="3683" t="s">
        <v>694</v>
      </c>
      <c r="J6" s="301" t="e">
        <f ca="1">ROUND(M6*M8*M7*(1-M9)/10000,0)</f>
        <v>#N/A</v>
      </c>
      <c r="K6" s="155" t="s">
        <v>2105</v>
      </c>
      <c r="L6" s="302" t="s">
        <v>696</v>
      </c>
      <c r="M6" s="303" t="e">
        <f ca="1">INDIRECT("'数据-取费表'!z"&amp;$G$1)</f>
        <v>#N/A</v>
      </c>
    </row>
    <row r="7" spans="1:37" ht="18" customHeight="1">
      <c r="A7" s="1072"/>
      <c r="B7" s="3684"/>
      <c r="C7" s="1074"/>
      <c r="D7" s="307"/>
      <c r="E7" s="1075" t="s">
        <v>697</v>
      </c>
      <c r="F7" s="303" t="e">
        <f ca="1">IF(INDIRECT("'数据-取费表'!ah"&amp;$G$1)="",INDIRECT("'数据-取费表'!k"&amp;$G$1),INDIRECT("'数据-取费表'!ah"&amp;$G$1))</f>
        <v>#N/A</v>
      </c>
      <c r="G7" s="1383"/>
      <c r="H7" s="304"/>
      <c r="I7" s="3684"/>
      <c r="J7" s="306"/>
      <c r="K7" s="307"/>
      <c r="L7" s="302" t="s">
        <v>697</v>
      </c>
      <c r="M7" s="303" t="e">
        <f ca="1">F7</f>
        <v>#N/A</v>
      </c>
    </row>
    <row r="8" spans="1:37" ht="18" customHeight="1">
      <c r="A8" s="304"/>
      <c r="B8" s="3684"/>
      <c r="C8" s="306"/>
      <c r="D8" s="307"/>
      <c r="E8" s="302" t="s">
        <v>698</v>
      </c>
      <c r="F8" s="303" t="e">
        <f ca="1">INDIRECT("'数据-取费表'!ai"&amp;$G$1)</f>
        <v>#N/A</v>
      </c>
      <c r="G8" s="1383"/>
      <c r="H8" s="304"/>
      <c r="I8" s="3684"/>
      <c r="J8" s="306"/>
      <c r="K8" s="307"/>
      <c r="L8" s="302" t="s">
        <v>698</v>
      </c>
      <c r="M8" s="303" t="e">
        <f ca="1">INDIRECT("'数据-取费表'!ai"&amp;$G$1)</f>
        <v>#N/A</v>
      </c>
    </row>
    <row r="9" spans="1:37" ht="18" customHeight="1">
      <c r="A9" s="304"/>
      <c r="B9" s="3685"/>
      <c r="C9" s="306"/>
      <c r="D9" s="307"/>
      <c r="E9" s="302" t="s">
        <v>699</v>
      </c>
      <c r="F9" s="312" t="e">
        <f ca="1">INDIRECT("'数据-取费表'!w"&amp;$G$1)</f>
        <v>#N/A</v>
      </c>
      <c r="G9" s="1383"/>
      <c r="H9" s="304"/>
      <c r="I9" s="3685"/>
      <c r="J9" s="306"/>
      <c r="K9" s="307"/>
      <c r="L9" s="313" t="s">
        <v>699</v>
      </c>
      <c r="M9" s="314" t="e">
        <f ca="1">INDIRECT("'数据-取费表'!ab"&amp;$G$1)</f>
        <v>#N/A</v>
      </c>
    </row>
    <row r="10" spans="1:37" ht="18" customHeight="1">
      <c r="A10" s="1068" t="s">
        <v>402</v>
      </c>
      <c r="B10" s="1364" t="s">
        <v>700</v>
      </c>
      <c r="C10" s="316" t="e">
        <f ca="1">ROUND(IF(F10="押一",C6/12*F11,IF(F10="押二",C6/12*2*F11,IF(F10="押三",C6/12*3*F11,C11*F11))),0)</f>
        <v>#N/A</v>
      </c>
      <c r="D10" s="1365" t="s">
        <v>2114</v>
      </c>
      <c r="E10" s="313" t="s">
        <v>701</v>
      </c>
      <c r="F10" s="1115" t="s">
        <v>3431</v>
      </c>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2" t="s">
        <v>707</v>
      </c>
      <c r="C14" s="318" t="e">
        <f ca="1">INDIRECT("'数据-取费表'!m"&amp;$G$1)+INDIRECT("'数据-取费表'!t"&amp;$G$1)</f>
        <v>#N/A</v>
      </c>
      <c r="D14" s="1344" t="s">
        <v>708</v>
      </c>
      <c r="E14" s="1341"/>
      <c r="F14" s="319"/>
      <c r="G14" s="1383"/>
      <c r="H14" s="981" t="s">
        <v>398</v>
      </c>
      <c r="I14" s="302" t="s">
        <v>709</v>
      </c>
      <c r="J14" s="21" t="e">
        <f ca="1">C29</f>
        <v>#N/A</v>
      </c>
      <c r="K14" s="12"/>
      <c r="L14" s="806"/>
      <c r="M14" s="807"/>
    </row>
    <row r="15" spans="1:37" s="1396" customFormat="1" ht="18" customHeight="1" thickBot="1">
      <c r="A15" s="981" t="s">
        <v>399</v>
      </c>
      <c r="B15" s="302" t="s">
        <v>710</v>
      </c>
      <c r="C15" s="21" t="e">
        <f ca="1">ROUND(C14*F15,0)</f>
        <v>#N/A</v>
      </c>
      <c r="D15" s="320" t="s">
        <v>711</v>
      </c>
      <c r="E15" s="320" t="s">
        <v>712</v>
      </c>
      <c r="F15" s="321">
        <f>'数据-取费表'!B33</f>
        <v>0.03</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3"/>
      <c r="H16" s="1078" t="s">
        <v>393</v>
      </c>
      <c r="I16" s="1079" t="s">
        <v>714</v>
      </c>
      <c r="J16" s="310" t="e">
        <f ca="1">ROUND(J17+J22+J23+J24,0)</f>
        <v>#N/A</v>
      </c>
      <c r="K16" s="1086" t="s">
        <v>715</v>
      </c>
      <c r="L16" s="1087"/>
      <c r="M16" s="1071"/>
    </row>
    <row r="17" spans="1:37" s="1396" customFormat="1" ht="18" customHeight="1">
      <c r="A17" s="981" t="s">
        <v>681</v>
      </c>
      <c r="B17" s="302" t="s">
        <v>716</v>
      </c>
      <c r="C17" s="21" t="e">
        <f ca="1">ROUND(F17*(F43+INDIRECT("'数据-取费表'!S"&amp;$G$1))/10000,0)</f>
        <v>#N/A</v>
      </c>
      <c r="D17" s="302" t="s">
        <v>717</v>
      </c>
      <c r="E17" s="302" t="s">
        <v>718</v>
      </c>
      <c r="F17" s="23">
        <f>'数据-取费表'!B35</f>
        <v>200</v>
      </c>
      <c r="G17" s="1395"/>
      <c r="H17" s="981" t="s">
        <v>398</v>
      </c>
      <c r="I17" s="302" t="s">
        <v>719</v>
      </c>
      <c r="J17" s="2315" t="e">
        <f ca="1">ROUND(IF(AND(项目基本情况!B11="自然人",项目基本情况!B10="北京市"),J6*M17/(1+'数据-取费表'!C42),J18+J19+J20),2)</f>
        <v>#N/A</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t="e">
        <f ca="1">ROUND(C14*F18,0)</f>
        <v>#N/A</v>
      </c>
      <c r="D18" s="302" t="s">
        <v>711</v>
      </c>
      <c r="E18" s="302" t="s">
        <v>712</v>
      </c>
      <c r="F18" s="322">
        <f>'数据-取费表'!B36</f>
        <v>0.02</v>
      </c>
      <c r="G18" s="1395"/>
      <c r="H18" s="981" t="s">
        <v>397</v>
      </c>
      <c r="I18" s="302" t="s">
        <v>723</v>
      </c>
      <c r="J18" s="21" t="e">
        <f ca="1">ROUND(J6*M18/(1+'数据-取费表'!C42),2)</f>
        <v>#N/A</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t="e">
        <f ca="1">SUM(C14:C18)</f>
        <v>#N/A</v>
      </c>
      <c r="D19" s="131" t="s">
        <v>726</v>
      </c>
      <c r="E19" s="1359"/>
      <c r="F19" s="23"/>
      <c r="G19" s="1383"/>
      <c r="H19" s="981" t="s">
        <v>399</v>
      </c>
      <c r="I19" s="302" t="s">
        <v>727</v>
      </c>
      <c r="J19" s="21" t="e">
        <f ca="1">IF(K19="按租金收入计税",ROUND(J6*M19/(1+'数据-取费表'!C42),2),ROUND(C29*M19*0.7,2))</f>
        <v>#N/A</v>
      </c>
      <c r="K19" s="1369" t="s">
        <v>3335</v>
      </c>
      <c r="L19" s="302" t="s">
        <v>712</v>
      </c>
      <c r="M19" s="322">
        <f>IF(K19="按租金收入计税",'数据-取费表'!B51,'数据-取费表'!B50)</f>
        <v>0.12</v>
      </c>
    </row>
    <row r="20" spans="1:37" s="1396" customFormat="1" ht="18" customHeight="1">
      <c r="A20" s="981" t="s">
        <v>402</v>
      </c>
      <c r="B20" s="302" t="s">
        <v>728</v>
      </c>
      <c r="C20" s="21" t="e">
        <f ca="1">ROUND(C19*F20,0)</f>
        <v>#N/A</v>
      </c>
      <c r="D20" s="323" t="s">
        <v>729</v>
      </c>
      <c r="E20" s="302" t="s">
        <v>712</v>
      </c>
      <c r="F20" s="322">
        <f>'数据-取费表'!B37</f>
        <v>0.02</v>
      </c>
      <c r="G20" s="1395"/>
      <c r="H20" s="981" t="s">
        <v>680</v>
      </c>
      <c r="I20" s="155" t="s">
        <v>730</v>
      </c>
      <c r="J20" s="22" t="e">
        <f ca="1">ROUND(M20*M21/10000,2)</f>
        <v>#N/A</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t="e">
        <f ca="1">ROUND(J14*M22,2)</f>
        <v>#N/A</v>
      </c>
      <c r="K22" s="1343" t="s">
        <v>739</v>
      </c>
      <c r="L22" s="302" t="s">
        <v>712</v>
      </c>
      <c r="M22" s="328" t="e">
        <f ca="1">INDIRECT("'数据-取费表'!Ak"&amp;$G$1)</f>
        <v>#N/A</v>
      </c>
    </row>
    <row r="23" spans="1:37" s="1396"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t="e">
        <f ca="1">ROUND(J13*M23,2)</f>
        <v>#N/A</v>
      </c>
      <c r="K23" s="1343"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t="e">
        <f ca="1">ROUND(J5*M24,2)</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t="e">
        <f ca="1">J5-J16</f>
        <v>#N/A</v>
      </c>
      <c r="K25" s="1094" t="s">
        <v>753</v>
      </c>
      <c r="L25" s="1095"/>
      <c r="M25" s="1096"/>
    </row>
    <row r="26" spans="1:37">
      <c r="A26" s="981" t="s">
        <v>397</v>
      </c>
      <c r="B26" s="302" t="s">
        <v>754</v>
      </c>
      <c r="C26" s="21" t="e">
        <f ca="1">ROUND((C19+C20)*F26,0)</f>
        <v>#N/A</v>
      </c>
      <c r="D26" s="323"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323" t="s">
        <v>761</v>
      </c>
      <c r="E27" s="320"/>
      <c r="F27" s="321"/>
      <c r="G27" s="1383"/>
      <c r="H27" s="304"/>
      <c r="I27" s="305"/>
      <c r="J27" s="306"/>
      <c r="K27" s="332" t="s">
        <v>762</v>
      </c>
      <c r="L27" s="302" t="s">
        <v>763</v>
      </c>
      <c r="M27" s="333" t="e">
        <f ca="1">INDIRECT("'数据-取费表'!ag"&amp;$G$1)</f>
        <v>#N/A</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#N/A</v>
      </c>
      <c r="D30" s="1086" t="s">
        <v>715</v>
      </c>
      <c r="E30" s="1087"/>
      <c r="F30" s="1071"/>
      <c r="G30" s="1383"/>
      <c r="H30" s="2696"/>
      <c r="I30" s="1397"/>
      <c r="J30" s="1398"/>
      <c r="K30" s="2474"/>
      <c r="L30" s="2697"/>
      <c r="M30" s="2698"/>
    </row>
    <row r="31" spans="1:37" ht="18" customHeight="1">
      <c r="A31" s="981" t="s">
        <v>398</v>
      </c>
      <c r="B31" s="302" t="s">
        <v>719</v>
      </c>
      <c r="C31" s="2315" t="e">
        <f ca="1">ROUND(IF(AND(项目基本情况!B11="自然人",项目基本情况!B10="北京市"),C6*F31/(1+'数据-取费表'!C42),C32+C33+C34),2)</f>
        <v>#N/A</v>
      </c>
      <c r="D31" s="1344" t="s">
        <v>720</v>
      </c>
      <c r="E31" s="1343"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t="e">
        <f ca="1">IF(项目基本情况!B11="自然人","——",ROUND(C6*F32/(1+'数据-取费表'!C42),2))</f>
        <v>#N/A</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e">
        <f ca="1">IF(项目基本情况!B11="自然人","——",IF(D33="按租金收入计税",ROUND(C6*F33/(1+'数据-取费表'!C42),2),IF(D33="按房产原值计税",ROUND(C29*F33*0.7,2),INDIRECT("'数据-取费表'!Aj"&amp;$G$1))))</f>
        <v>#N/A</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e">
        <f ca="1">IF(项目基本情况!B11="自然人","——",ROUND(F34*F35/10000,2))</f>
        <v>#N/A</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t="e">
        <f ca="1">INDIRECT("'数据-取费表'!r"&amp;$G$1)</f>
        <v>#N/A</v>
      </c>
      <c r="G35" s="1383"/>
      <c r="H35" s="2696"/>
      <c r="I35" s="1397"/>
      <c r="J35" s="1398"/>
      <c r="K35" s="2700"/>
      <c r="L35" s="2699"/>
      <c r="M35" s="2699"/>
    </row>
    <row r="36" spans="1:18" ht="18" customHeight="1">
      <c r="A36" s="1101" t="s">
        <v>402</v>
      </c>
      <c r="B36" s="302" t="s">
        <v>738</v>
      </c>
      <c r="C36" s="21" t="e">
        <f ca="1">ROUND(C29*F36,2)</f>
        <v>#N/A</v>
      </c>
      <c r="D36" s="1343" t="s">
        <v>771</v>
      </c>
      <c r="E36" s="302" t="s">
        <v>712</v>
      </c>
      <c r="F36" s="328" t="e">
        <f ca="1">INDIRECT("'数据-取费表'!Ak"&amp;$G$1)</f>
        <v>#N/A</v>
      </c>
      <c r="G36" s="1383"/>
      <c r="H36" s="2699"/>
      <c r="I36" s="1397"/>
      <c r="J36" s="1398"/>
      <c r="K36" s="2543"/>
      <c r="L36" s="2699"/>
      <c r="M36" s="2699"/>
    </row>
    <row r="37" spans="1:18" ht="18" customHeight="1">
      <c r="A37" s="981" t="s">
        <v>437</v>
      </c>
      <c r="B37" s="302" t="s">
        <v>742</v>
      </c>
      <c r="C37" s="21" t="e">
        <f ca="1">ROUND(C13*F37,2)</f>
        <v>#N/A</v>
      </c>
      <c r="D37" s="1343" t="s">
        <v>743</v>
      </c>
      <c r="E37" s="302" t="s">
        <v>744</v>
      </c>
      <c r="F37" s="330" t="e">
        <f ca="1">INDIRECT("'数据-取费表'!Al"&amp;$G$1)</f>
        <v>#N/A</v>
      </c>
      <c r="G37" s="1383"/>
      <c r="H37" s="2699"/>
      <c r="I37" s="1397"/>
      <c r="J37" s="1398"/>
      <c r="K37" s="2543"/>
      <c r="L37" s="2699"/>
      <c r="M37" s="2699"/>
    </row>
    <row r="38" spans="1:18" ht="18" customHeight="1" thickBot="1">
      <c r="A38" s="1088" t="s">
        <v>684</v>
      </c>
      <c r="B38" s="1089" t="s">
        <v>728</v>
      </c>
      <c r="C38" s="1090" t="e">
        <f ca="1">ROUND(C5*F38,2)</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10" t="e">
        <f ca="1">C5-C30</f>
        <v>#N/A</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3"/>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3"/>
      <c r="L41" s="1190"/>
      <c r="M41" s="1190"/>
    </row>
    <row r="42" spans="1:18" ht="18" customHeight="1">
      <c r="A42" s="308"/>
      <c r="B42" s="309"/>
      <c r="C42" s="310"/>
      <c r="D42" s="327"/>
      <c r="E42" s="302" t="s">
        <v>766</v>
      </c>
      <c r="F42" s="312" t="e">
        <f ca="1">INDIRECT("'数据-取费表'!v"&amp;$G$1)</f>
        <v>#N/A</v>
      </c>
      <c r="G42" s="1383"/>
      <c r="H42" s="1190"/>
      <c r="I42" s="1397"/>
      <c r="J42" s="1398"/>
      <c r="K42" s="2543"/>
      <c r="L42" s="1190"/>
      <c r="M42" s="1190"/>
    </row>
    <row r="43" spans="1:18" ht="18" customHeight="1" thickBot="1">
      <c r="A43" s="334" t="s">
        <v>396</v>
      </c>
      <c r="B43" s="335" t="s">
        <v>776</v>
      </c>
      <c r="C43" s="336" t="e">
        <f ca="1">ROUND(C40*10000/F43,0)</f>
        <v>#N/A</v>
      </c>
      <c r="D43" s="337" t="s">
        <v>777</v>
      </c>
      <c r="E43" s="338" t="s">
        <v>778</v>
      </c>
      <c r="F43" s="339"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3407</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1358" t="e">
        <f ca="1">C49+C53+C55</f>
        <v>#N/A</v>
      </c>
      <c r="D48" s="1111"/>
      <c r="E48" s="1112"/>
      <c r="F48" s="961"/>
      <c r="G48" s="721"/>
      <c r="H48" s="722"/>
      <c r="I48" s="1420" t="s">
        <v>819</v>
      </c>
      <c r="J48" s="1421" t="s">
        <v>3432</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ROUND(F49*F51*F50*(1-F52)/10000,0)</f>
        <v>#N/A</v>
      </c>
      <c r="D49" s="1054" t="s">
        <v>2107</v>
      </c>
      <c r="E49" s="1371" t="s">
        <v>780</v>
      </c>
      <c r="F49" s="1059"/>
      <c r="G49" s="1424"/>
      <c r="H49" s="722"/>
      <c r="I49" s="1420" t="s">
        <v>823</v>
      </c>
      <c r="J49" s="1425">
        <f>'数据-取费表'!N17</f>
        <v>2013</v>
      </c>
      <c r="K49" s="1422" t="s">
        <v>824</v>
      </c>
      <c r="L49" s="1426"/>
      <c r="O49" s="1427" t="s">
        <v>405</v>
      </c>
      <c r="P49" s="1418" t="s">
        <v>825</v>
      </c>
      <c r="Q49" s="1419" t="e">
        <f ca="1">C29</f>
        <v>#N/A</v>
      </c>
      <c r="R49" s="1419" t="s">
        <v>818</v>
      </c>
    </row>
    <row r="50" spans="1:18" s="1383" customFormat="1" ht="13.5" thickBot="1">
      <c r="A50" s="975"/>
      <c r="B50" s="978"/>
      <c r="C50" s="1117"/>
      <c r="D50" s="952"/>
      <c r="E50" s="1055" t="s">
        <v>697</v>
      </c>
      <c r="F50" s="1056" t="e">
        <f ca="1">F7</f>
        <v>#N/A</v>
      </c>
      <c r="H50" s="722"/>
      <c r="I50" s="1420" t="s">
        <v>826</v>
      </c>
      <c r="J50" s="1428">
        <f>SUMPRODUCT((I63:I65=J47)*(J62:L62=J48)*(J63:L65))</f>
        <v>60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3" t="e">
        <f ca="1">F8</f>
        <v>#N/A</v>
      </c>
      <c r="I51" s="1431" t="s">
        <v>829</v>
      </c>
      <c r="J51" s="1432">
        <f>IF(J49="",J50,J49+J50-YEAR('数据-取费表'!B2))</f>
        <v>49</v>
      </c>
      <c r="K51" s="1433" t="s">
        <v>830</v>
      </c>
      <c r="L51" s="1434" t="e">
        <f ca="1">ROUND(-PV(INDIRECT("'数据-取费表'!h"&amp;$G$1),J51,(C39-C13*C76),0),0)</f>
        <v>#N/A</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t="e">
        <f ca="1">J53</f>
        <v>#N/A</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7" t="e">
        <f ca="1">IF(M47="住宅",IF(D1="——",MAX(J51,L48),MAX(J51,L48-'数据-取费表'!B24)),IF(D1="——",MIN(J51,L48),MIN(J51,L48-'数据-取费表'!B24)))</f>
        <v>#N/A</v>
      </c>
      <c r="K53" s="3681" t="s">
        <v>837</v>
      </c>
      <c r="L53" s="3682"/>
      <c r="O53" s="1417" t="s">
        <v>409</v>
      </c>
      <c r="P53" s="1418" t="s">
        <v>838</v>
      </c>
      <c r="Q53" s="1419" t="e">
        <f ca="1">Q47+Q48</f>
        <v>#N/A</v>
      </c>
      <c r="R53" s="1419" t="s">
        <v>410</v>
      </c>
    </row>
    <row r="54" spans="1:18" s="1383" customFormat="1" ht="13.5" thickBot="1">
      <c r="A54" s="1152"/>
      <c r="B54" s="1366" t="s">
        <v>679</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6">
        <v>2</v>
      </c>
      <c r="B56" s="957" t="s">
        <v>704</v>
      </c>
      <c r="C56" s="232" t="e">
        <f ca="1">C13</f>
        <v>#N/A</v>
      </c>
      <c r="D56" s="1446"/>
      <c r="E56" s="1447"/>
      <c r="F56" s="1439"/>
      <c r="I56" s="1448" t="s">
        <v>842</v>
      </c>
      <c r="J56" s="1449" t="s">
        <v>3382</v>
      </c>
      <c r="K56" s="1420" t="s">
        <v>843</v>
      </c>
      <c r="L56" s="1423" t="e">
        <f ca="1">IF(L48&lt;J51,"——",L48-J53)</f>
        <v>#N/A</v>
      </c>
      <c r="O56" s="1417" t="s">
        <v>403</v>
      </c>
      <c r="P56" s="1418" t="s">
        <v>817</v>
      </c>
      <c r="Q56" s="1419" t="e">
        <f ca="1">C40+J29</f>
        <v>#N/A</v>
      </c>
      <c r="R56" s="1419" t="s">
        <v>818</v>
      </c>
    </row>
    <row r="57" spans="1:18" s="1383" customFormat="1" ht="24.75" thickBot="1">
      <c r="A57" s="1450"/>
      <c r="B57" s="949" t="s">
        <v>767</v>
      </c>
      <c r="C57" s="238"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5" t="s">
        <v>393</v>
      </c>
      <c r="B58" s="957" t="s">
        <v>714</v>
      </c>
      <c r="C58" s="316" t="e">
        <f ca="1">ROUND(C59+C64+C65+C66,0)</f>
        <v>#N/A</v>
      </c>
      <c r="D58" s="959" t="s">
        <v>715</v>
      </c>
      <c r="E58" s="960"/>
      <c r="F58" s="961"/>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e">
        <f ca="1">IF(项目基本情况!B11="自然人","——",ROUND(C48*F60/(1+'数据-取费表'!C42),2))</f>
        <v>#N/A</v>
      </c>
      <c r="D60" s="963" t="s">
        <v>724</v>
      </c>
      <c r="E60" s="949" t="s">
        <v>712</v>
      </c>
      <c r="F60" s="331">
        <f t="shared" ref="F60:F66" si="0">F32</f>
        <v>5.6000000000000001E-2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e">
        <f ca="1">IF(项目基本情况!B11="自然人","——",IF(D61="按租金收入计税",ROUND(C49*F61/(1+'数据-取费表'!C42),2),IF(D61="按房产原值计税",ROUND(C57*F61*0.7,2),INDIRECT("'数据-取费表'!Aj"&amp;$G$1))))</f>
        <v>#N/A</v>
      </c>
      <c r="D61" s="1369" t="s">
        <v>3335</v>
      </c>
      <c r="E61" s="949" t="s">
        <v>783</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e">
        <f ca="1">IF(项目基本情况!B11="自然人","——",ROUND(F62*F63/10000,2))</f>
        <v>#N/A</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ROUND(C57*F64,2)</f>
        <v>#N/A</v>
      </c>
      <c r="D64" s="963" t="s">
        <v>791</v>
      </c>
      <c r="E64" s="949" t="s">
        <v>783</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#N/A</v>
      </c>
      <c r="D65" s="963" t="s">
        <v>743</v>
      </c>
      <c r="E65" s="949"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ROUND(C48*F66,2)</f>
        <v>#N/A</v>
      </c>
      <c r="D66" s="963" t="s">
        <v>794</v>
      </c>
      <c r="E66" s="949" t="s">
        <v>712</v>
      </c>
      <c r="F66" s="312" t="e">
        <f t="shared" ca="1" si="0"/>
        <v>#N/A</v>
      </c>
      <c r="O66" s="1417" t="s">
        <v>404</v>
      </c>
      <c r="P66" s="1418" t="s">
        <v>846</v>
      </c>
      <c r="Q66" s="1419" t="e">
        <f ca="1">L60</f>
        <v>#N/A</v>
      </c>
      <c r="R66" s="1419" t="s">
        <v>869</v>
      </c>
    </row>
    <row r="67" spans="1:18" s="1383" customFormat="1" ht="16.5" thickBot="1">
      <c r="A67" s="956" t="s">
        <v>394</v>
      </c>
      <c r="B67" s="966" t="s">
        <v>752</v>
      </c>
      <c r="C67" s="316"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1" t="e">
        <f ca="1">ROUND(C67*(1-((1+F70)/(1+F68))^F69)/(F68-F70),0)</f>
        <v>#N/A</v>
      </c>
      <c r="D68" s="964" t="s">
        <v>758</v>
      </c>
      <c r="E68" s="949" t="s">
        <v>759</v>
      </c>
      <c r="F68" s="312" t="e">
        <f ca="1">F40</f>
        <v>#N/A</v>
      </c>
      <c r="O68" s="1427" t="s">
        <v>406</v>
      </c>
      <c r="P68" s="1466" t="s">
        <v>871</v>
      </c>
      <c r="Q68" s="1419" t="e">
        <f ca="1">ROUND(Q69-Q70*Q71,0)</f>
        <v>#N/A</v>
      </c>
      <c r="R68" s="1419" t="s">
        <v>414</v>
      </c>
    </row>
    <row r="69" spans="1:18" s="1383" customFormat="1" ht="13.5" thickBot="1">
      <c r="A69" s="950"/>
      <c r="B69" s="951"/>
      <c r="C69" s="306"/>
      <c r="D69" s="969" t="s">
        <v>762</v>
      </c>
      <c r="E69" s="949" t="s">
        <v>763</v>
      </c>
      <c r="F69" s="333" t="e">
        <f ca="1">F41</f>
        <v>#N/A</v>
      </c>
      <c r="O69" s="1427" t="s">
        <v>411</v>
      </c>
      <c r="P69" s="1466" t="s">
        <v>872</v>
      </c>
      <c r="Q69" s="1419" t="e">
        <f ca="1">C39</f>
        <v>#N/A</v>
      </c>
      <c r="R69" s="1419" t="s">
        <v>818</v>
      </c>
    </row>
    <row r="70" spans="1:18" s="1383" customFormat="1" ht="13.5" thickBot="1">
      <c r="A70" s="953"/>
      <c r="B70" s="954"/>
      <c r="C70" s="310"/>
      <c r="D70" s="965"/>
      <c r="E70" s="949" t="s">
        <v>766</v>
      </c>
      <c r="F70" s="1053"/>
      <c r="O70" s="1427" t="s">
        <v>412</v>
      </c>
      <c r="P70" s="1466" t="s">
        <v>873</v>
      </c>
      <c r="Q70" s="1419" t="e">
        <f ca="1">C13</f>
        <v>#N/A</v>
      </c>
      <c r="R70" s="1419" t="s">
        <v>818</v>
      </c>
    </row>
    <row r="71" spans="1:18" s="1383" customFormat="1" ht="13.5" thickBot="1">
      <c r="A71" s="970" t="s">
        <v>396</v>
      </c>
      <c r="B71" s="971" t="s">
        <v>776</v>
      </c>
      <c r="C71" s="336" t="e">
        <f ca="1">ROUND(C68*10000/F71,0)</f>
        <v>#N/A</v>
      </c>
      <c r="D71" s="972" t="s">
        <v>777</v>
      </c>
      <c r="E71" s="973" t="s">
        <v>778</v>
      </c>
      <c r="F71" s="339"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7" priority="56">
      <formula>$L$48&gt;$J$51</formula>
    </cfRule>
  </conditionalFormatting>
  <conditionalFormatting sqref="I55 I60">
    <cfRule type="expression" dxfId="186" priority="57">
      <formula>$J$51&gt;$L$48</formula>
    </cfRule>
  </conditionalFormatting>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D37" sqref="D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1764</v>
      </c>
      <c r="C1" s="1237" t="s">
        <v>1660</v>
      </c>
      <c r="D1" s="1224" t="s">
        <v>21</v>
      </c>
      <c r="E1" s="3425" t="s">
        <v>3392</v>
      </c>
      <c r="F1" s="1878" t="s">
        <v>3393</v>
      </c>
      <c r="G1" s="1234" t="s">
        <v>1765</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1460</v>
      </c>
      <c r="B2" s="1163" t="e">
        <f>IF(E1="项目模式",IF(C2="——",ROUND(C49*D3/10000,0),ROUND(C49*D3/10000,0)-D2),IF(E1="单套模式",IF(C2="——",ROUND(C49*D3/10000,4),ROUND(C49*D3/10000,4)-D2)))</f>
        <v>#DIV/0!</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1462</v>
      </c>
      <c r="B3" s="558" t="e">
        <f>IF(C2="——",C49,ROUND(B2*10000/D3,0))</f>
        <v>#DIV/0!</v>
      </c>
      <c r="C3" s="354" t="s">
        <v>1766</v>
      </c>
      <c r="D3" s="353">
        <f>IF(D1="",'数据-汇总表'!E3,SUMIF('数据-汇总表'!$C19:$C33,D1,'数据-汇总表'!$E19:$E33))</f>
        <v>2389.2399999999998</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1767</v>
      </c>
      <c r="B4" s="356"/>
      <c r="C4" s="3705" t="s">
        <v>1768</v>
      </c>
      <c r="D4" s="3706"/>
      <c r="E4" s="3707" t="s">
        <v>1769</v>
      </c>
      <c r="F4" s="3708"/>
      <c r="G4" s="3705" t="s">
        <v>1770</v>
      </c>
      <c r="H4" s="3706"/>
      <c r="I4" s="3705" t="s">
        <v>1771</v>
      </c>
      <c r="J4" s="3706"/>
      <c r="K4" s="559" t="s">
        <v>1772</v>
      </c>
      <c r="L4" s="2714"/>
      <c r="M4" s="2715"/>
      <c r="N4" s="2715"/>
      <c r="O4" s="2715"/>
      <c r="P4" s="3709" t="s">
        <v>1773</v>
      </c>
      <c r="Q4" s="3710"/>
      <c r="R4" s="3715" t="s">
        <v>1769</v>
      </c>
      <c r="S4" s="3716"/>
      <c r="T4" s="3715" t="s">
        <v>1770</v>
      </c>
      <c r="U4" s="3716"/>
      <c r="V4" s="3700" t="s">
        <v>1771</v>
      </c>
      <c r="W4" s="3700"/>
      <c r="X4" s="1354"/>
      <c r="Y4" s="3715" t="s">
        <v>1773</v>
      </c>
      <c r="Z4" s="3716"/>
      <c r="AA4" s="3702" t="s">
        <v>1769</v>
      </c>
      <c r="AB4" s="3700" t="s">
        <v>1770</v>
      </c>
      <c r="AC4" s="3702" t="s">
        <v>1771</v>
      </c>
    </row>
    <row r="5" spans="1:29" ht="15">
      <c r="A5" s="358"/>
      <c r="B5" s="359"/>
      <c r="C5" s="3723" t="s">
        <v>1671</v>
      </c>
      <c r="D5" s="3724"/>
      <c r="E5" s="3730" t="s">
        <v>1672</v>
      </c>
      <c r="F5" s="3731"/>
      <c r="G5" s="3723" t="s">
        <v>1673</v>
      </c>
      <c r="H5" s="3724"/>
      <c r="I5" s="3723" t="s">
        <v>1674</v>
      </c>
      <c r="J5" s="3724"/>
      <c r="K5" s="559"/>
      <c r="L5" s="2714"/>
      <c r="M5" s="2715"/>
      <c r="N5" s="2715"/>
      <c r="O5" s="2715"/>
      <c r="P5" s="3711"/>
      <c r="Q5" s="3712"/>
      <c r="R5" s="3717"/>
      <c r="S5" s="3718"/>
      <c r="T5" s="3717"/>
      <c r="U5" s="3718"/>
      <c r="V5" s="3700"/>
      <c r="W5" s="3700"/>
      <c r="X5" s="1354"/>
      <c r="Y5" s="3717"/>
      <c r="Z5" s="3718"/>
      <c r="AA5" s="3703"/>
      <c r="AB5" s="3700"/>
      <c r="AC5" s="3703"/>
    </row>
    <row r="6" spans="1:29" ht="15.75" thickBot="1">
      <c r="A6" s="360"/>
      <c r="B6" s="361"/>
      <c r="C6" s="3721" t="s">
        <v>1675</v>
      </c>
      <c r="D6" s="3722"/>
      <c r="E6" s="3728" t="s">
        <v>1675</v>
      </c>
      <c r="F6" s="3729"/>
      <c r="G6" s="3721" t="s">
        <v>1675</v>
      </c>
      <c r="H6" s="3722"/>
      <c r="I6" s="3721" t="s">
        <v>1675</v>
      </c>
      <c r="J6" s="3722"/>
      <c r="K6" s="559" t="s">
        <v>1676</v>
      </c>
      <c r="L6" s="2714"/>
      <c r="M6" s="2715"/>
      <c r="N6" s="2715"/>
      <c r="O6" s="2715"/>
      <c r="P6" s="3713"/>
      <c r="Q6" s="3714"/>
      <c r="R6" s="3717"/>
      <c r="S6" s="3718"/>
      <c r="T6" s="3719"/>
      <c r="U6" s="3720"/>
      <c r="V6" s="3700"/>
      <c r="W6" s="3700"/>
      <c r="X6" s="1354"/>
      <c r="Y6" s="3719"/>
      <c r="Z6" s="3720"/>
      <c r="AA6" s="3704"/>
      <c r="AB6" s="3700"/>
      <c r="AC6" s="3704"/>
    </row>
    <row r="7" spans="1:29" s="108" customFormat="1" ht="15.75" thickBot="1">
      <c r="A7" s="362" t="s">
        <v>1677</v>
      </c>
      <c r="B7" s="363"/>
      <c r="C7" s="364">
        <f>'数据-取费表'!B2</f>
        <v>45449</v>
      </c>
      <c r="D7" s="365">
        <v>100</v>
      </c>
      <c r="E7" s="366">
        <v>45413</v>
      </c>
      <c r="F7" s="367">
        <f>SUMIF(58:58,YEAR(E7)&amp;"-"&amp;MONTH(E7),59:59)</f>
        <v>0</v>
      </c>
      <c r="G7" s="366">
        <v>45413</v>
      </c>
      <c r="H7" s="365">
        <f>SUMIF(58:58,YEAR(G7)&amp;"-"&amp;MONTH(G7),59:59)</f>
        <v>0</v>
      </c>
      <c r="I7" s="366">
        <v>45413</v>
      </c>
      <c r="J7" s="365">
        <f>SUMIF(58:58,YEAR(I7)&amp;"-"&amp;MONTH(I7),59:59)</f>
        <v>0</v>
      </c>
      <c r="K7" s="560"/>
      <c r="L7" s="2716"/>
      <c r="M7" s="2717"/>
      <c r="N7" s="2717"/>
      <c r="O7" s="2717"/>
      <c r="P7" s="3725" t="s">
        <v>1678</v>
      </c>
      <c r="Q7" s="3727"/>
      <c r="R7" s="700" t="s">
        <v>14</v>
      </c>
      <c r="S7" s="701">
        <f t="shared" ref="S7:S15" si="0">F7</f>
        <v>0</v>
      </c>
      <c r="T7" s="700" t="s">
        <v>14</v>
      </c>
      <c r="U7" s="701">
        <f t="shared" ref="U7:U15" si="1">H7</f>
        <v>0</v>
      </c>
      <c r="V7" s="700" t="s">
        <v>14</v>
      </c>
      <c r="W7" s="701">
        <f t="shared" ref="W7:W15" si="2">J7</f>
        <v>0</v>
      </c>
      <c r="X7" s="702"/>
      <c r="Y7" s="3725" t="s">
        <v>1678</v>
      </c>
      <c r="Z7" s="3726"/>
      <c r="AA7" s="703" t="e">
        <f>D7/F7</f>
        <v>#DIV/0!</v>
      </c>
      <c r="AB7" s="703" t="e">
        <f>D7/H7</f>
        <v>#DIV/0!</v>
      </c>
      <c r="AC7" s="703" t="e">
        <f>D7/J7</f>
        <v>#DIV/0!</v>
      </c>
    </row>
    <row r="8" spans="1:29" s="108" customFormat="1" ht="15.75" thickBot="1">
      <c r="A8" s="362" t="s">
        <v>1679</v>
      </c>
      <c r="B8" s="363"/>
      <c r="C8" s="368" t="s">
        <v>3394</v>
      </c>
      <c r="D8" s="365">
        <v>100</v>
      </c>
      <c r="E8" s="368" t="s">
        <v>3394</v>
      </c>
      <c r="F8" s="367">
        <f>SUMIF(61:61,E8,62:62)-SUMIF(61:61,C8,62:62)+100</f>
        <v>100</v>
      </c>
      <c r="G8" s="368" t="s">
        <v>3394</v>
      </c>
      <c r="H8" s="365">
        <f>SUMIF(61:61,G8,62:62)-SUMIF(61:61,C8,62:62)+100</f>
        <v>100</v>
      </c>
      <c r="I8" s="368" t="s">
        <v>3394</v>
      </c>
      <c r="J8" s="365">
        <f>SUMIF(61:61,I8,62:62)-SUMIF(61:61,C8,62:62)+100</f>
        <v>100</v>
      </c>
      <c r="K8" s="560"/>
      <c r="L8" s="2716"/>
      <c r="M8" s="2717"/>
      <c r="N8" s="2717"/>
      <c r="O8" s="2717"/>
      <c r="P8" s="3725" t="s">
        <v>1681</v>
      </c>
      <c r="Q8" s="3726"/>
      <c r="R8" s="700" t="s">
        <v>14</v>
      </c>
      <c r="S8" s="701">
        <f t="shared" si="0"/>
        <v>100</v>
      </c>
      <c r="T8" s="700" t="s">
        <v>14</v>
      </c>
      <c r="U8" s="701">
        <f t="shared" si="1"/>
        <v>100</v>
      </c>
      <c r="V8" s="700" t="s">
        <v>14</v>
      </c>
      <c r="W8" s="701">
        <f t="shared" si="2"/>
        <v>100</v>
      </c>
      <c r="X8" s="702"/>
      <c r="Y8" s="3725" t="s">
        <v>1681</v>
      </c>
      <c r="Z8" s="3726"/>
      <c r="AA8" s="703">
        <f t="shared" ref="AA8:AA46" si="3">D8/F8</f>
        <v>1</v>
      </c>
      <c r="AB8" s="703">
        <f t="shared" ref="AB8:AB46" si="4">D8/H8</f>
        <v>1</v>
      </c>
      <c r="AC8" s="703">
        <f t="shared" ref="AC8:AC46" si="5">D8/J8</f>
        <v>1</v>
      </c>
    </row>
    <row r="9" spans="1:29" s="108" customFormat="1">
      <c r="A9" s="369" t="s">
        <v>1682</v>
      </c>
      <c r="B9" s="63" t="s">
        <v>1683</v>
      </c>
      <c r="C9" s="3448" t="s">
        <v>3395</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701" t="s">
        <v>1684</v>
      </c>
      <c r="Q9" s="1342" t="str">
        <f t="shared" ref="Q9:Q15" si="6">B9</f>
        <v>用途</v>
      </c>
      <c r="R9" s="700" t="s">
        <v>14</v>
      </c>
      <c r="S9" s="701">
        <f t="shared" si="0"/>
        <v>100</v>
      </c>
      <c r="T9" s="700" t="s">
        <v>14</v>
      </c>
      <c r="U9" s="701">
        <f t="shared" si="1"/>
        <v>100</v>
      </c>
      <c r="V9" s="700" t="s">
        <v>14</v>
      </c>
      <c r="W9" s="701">
        <f t="shared" si="2"/>
        <v>100</v>
      </c>
      <c r="X9" s="702"/>
      <c r="Y9" s="3585" t="s">
        <v>1685</v>
      </c>
      <c r="Z9" s="52" t="str">
        <f t="shared" ref="Z9:Z15" si="7">Q9</f>
        <v>用途</v>
      </c>
      <c r="AA9" s="703">
        <f t="shared" si="3"/>
        <v>1</v>
      </c>
      <c r="AB9" s="703">
        <f t="shared" si="4"/>
        <v>1</v>
      </c>
      <c r="AC9" s="703">
        <f t="shared" si="5"/>
        <v>1</v>
      </c>
    </row>
    <row r="10" spans="1:29" s="378" customFormat="1" ht="27">
      <c r="A10" s="374"/>
      <c r="B10" s="375" t="s">
        <v>1686</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1"/>
      <c r="Q10" s="1342" t="str">
        <f t="shared" si="6"/>
        <v>土地使用年限（年）</v>
      </c>
      <c r="R10" s="700" t="s">
        <v>14</v>
      </c>
      <c r="S10" s="701">
        <f t="shared" si="0"/>
        <v>100</v>
      </c>
      <c r="T10" s="700" t="s">
        <v>14</v>
      </c>
      <c r="U10" s="701">
        <f t="shared" si="1"/>
        <v>100</v>
      </c>
      <c r="V10" s="700" t="s">
        <v>14</v>
      </c>
      <c r="W10" s="701">
        <f t="shared" si="2"/>
        <v>100</v>
      </c>
      <c r="X10" s="702"/>
      <c r="Y10" s="3585"/>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701"/>
      <c r="Q11" s="1342" t="str">
        <f t="shared" si="6"/>
        <v>容积率</v>
      </c>
      <c r="R11" s="700" t="s">
        <v>14</v>
      </c>
      <c r="S11" s="701">
        <f t="shared" si="0"/>
        <v>100</v>
      </c>
      <c r="T11" s="700" t="s">
        <v>14</v>
      </c>
      <c r="U11" s="701">
        <f t="shared" si="1"/>
        <v>100</v>
      </c>
      <c r="V11" s="700" t="s">
        <v>14</v>
      </c>
      <c r="W11" s="701">
        <f t="shared" si="2"/>
        <v>100</v>
      </c>
      <c r="X11" s="702"/>
      <c r="Y11" s="3585"/>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1"/>
      <c r="Q12" s="1342">
        <f t="shared" si="6"/>
        <v>111</v>
      </c>
      <c r="R12" s="700" t="s">
        <v>14</v>
      </c>
      <c r="S12" s="701">
        <f t="shared" si="0"/>
        <v>100</v>
      </c>
      <c r="T12" s="700" t="s">
        <v>14</v>
      </c>
      <c r="U12" s="701">
        <f t="shared" si="1"/>
        <v>100</v>
      </c>
      <c r="V12" s="700" t="s">
        <v>14</v>
      </c>
      <c r="W12" s="701">
        <f t="shared" si="2"/>
        <v>100</v>
      </c>
      <c r="X12" s="702"/>
      <c r="Y12" s="3585"/>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1"/>
      <c r="Q13" s="1342">
        <f t="shared" si="6"/>
        <v>111</v>
      </c>
      <c r="R13" s="700" t="s">
        <v>14</v>
      </c>
      <c r="S13" s="701">
        <f t="shared" si="0"/>
        <v>100</v>
      </c>
      <c r="T13" s="700" t="s">
        <v>14</v>
      </c>
      <c r="U13" s="701">
        <f t="shared" si="1"/>
        <v>100</v>
      </c>
      <c r="V13" s="700" t="s">
        <v>14</v>
      </c>
      <c r="W13" s="701">
        <f t="shared" si="2"/>
        <v>100</v>
      </c>
      <c r="X13" s="702"/>
      <c r="Y13" s="3585"/>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1"/>
      <c r="Q14" s="1342">
        <f t="shared" si="6"/>
        <v>111</v>
      </c>
      <c r="R14" s="700" t="s">
        <v>14</v>
      </c>
      <c r="S14" s="701">
        <f t="shared" si="0"/>
        <v>100</v>
      </c>
      <c r="T14" s="700" t="s">
        <v>14</v>
      </c>
      <c r="U14" s="701">
        <f t="shared" si="1"/>
        <v>100</v>
      </c>
      <c r="V14" s="700" t="s">
        <v>14</v>
      </c>
      <c r="W14" s="701">
        <f t="shared" si="2"/>
        <v>100</v>
      </c>
      <c r="X14" s="702"/>
      <c r="Y14" s="3585"/>
      <c r="Z14" s="52">
        <f t="shared" si="7"/>
        <v>111</v>
      </c>
      <c r="AA14" s="703">
        <f t="shared" si="3"/>
        <v>1</v>
      </c>
      <c r="AB14" s="703">
        <f t="shared" si="4"/>
        <v>1</v>
      </c>
      <c r="AC14" s="703">
        <f t="shared" si="5"/>
        <v>1</v>
      </c>
    </row>
    <row r="15" spans="1:29" ht="71.25">
      <c r="A15" s="391" t="s">
        <v>1688</v>
      </c>
      <c r="B15" s="61" t="s">
        <v>1775</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91" t="s">
        <v>1689</v>
      </c>
      <c r="Q15" s="1351" t="str">
        <f t="shared" si="6"/>
        <v>商业繁华度</v>
      </c>
      <c r="R15" s="704" t="s">
        <v>14</v>
      </c>
      <c r="S15" s="705">
        <f t="shared" si="0"/>
        <v>100</v>
      </c>
      <c r="T15" s="704" t="s">
        <v>14</v>
      </c>
      <c r="U15" s="705">
        <f t="shared" si="1"/>
        <v>100</v>
      </c>
      <c r="V15" s="704" t="s">
        <v>14</v>
      </c>
      <c r="W15" s="705">
        <f t="shared" si="2"/>
        <v>100</v>
      </c>
      <c r="X15" s="1354"/>
      <c r="Y15" s="3693" t="s">
        <v>1689</v>
      </c>
      <c r="Z15" s="1355" t="str">
        <f t="shared" si="7"/>
        <v>商业繁华度</v>
      </c>
      <c r="AA15" s="1352">
        <f t="shared" si="3"/>
        <v>1</v>
      </c>
      <c r="AB15" s="1352">
        <f t="shared" si="4"/>
        <v>1</v>
      </c>
      <c r="AC15" s="1352">
        <f t="shared" si="5"/>
        <v>1</v>
      </c>
    </row>
    <row r="16" spans="1:29" ht="15">
      <c r="A16" s="379"/>
      <c r="B16" s="397"/>
      <c r="C16" s="398" t="s">
        <v>3401</v>
      </c>
      <c r="D16" s="399"/>
      <c r="E16" s="398" t="s">
        <v>3401</v>
      </c>
      <c r="F16" s="400"/>
      <c r="G16" s="398" t="s">
        <v>3401</v>
      </c>
      <c r="H16" s="401"/>
      <c r="I16" s="398" t="s">
        <v>3401</v>
      </c>
      <c r="J16" s="399"/>
      <c r="K16" s="564"/>
      <c r="L16" s="2721"/>
      <c r="M16" s="2715"/>
      <c r="N16" s="2715"/>
      <c r="O16" s="2715"/>
      <c r="P16" s="3692"/>
      <c r="Q16" s="1351"/>
      <c r="R16" s="704"/>
      <c r="S16" s="705"/>
      <c r="T16" s="704"/>
      <c r="U16" s="705"/>
      <c r="V16" s="704"/>
      <c r="W16" s="705"/>
      <c r="X16" s="1354"/>
      <c r="Y16" s="3694"/>
      <c r="Z16" s="1355"/>
      <c r="AA16" s="1352">
        <v>1</v>
      </c>
      <c r="AB16" s="1352">
        <v>1</v>
      </c>
      <c r="AC16" s="1352">
        <v>1</v>
      </c>
    </row>
    <row r="17" spans="1:29" ht="85.5">
      <c r="A17" s="379"/>
      <c r="B17" s="402" t="s">
        <v>1257</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92"/>
      <c r="Q17" s="1351" t="str">
        <f>B17</f>
        <v>交通便捷度</v>
      </c>
      <c r="R17" s="704" t="s">
        <v>14</v>
      </c>
      <c r="S17" s="705">
        <f>F17</f>
        <v>100</v>
      </c>
      <c r="T17" s="704" t="s">
        <v>14</v>
      </c>
      <c r="U17" s="705">
        <f>H17</f>
        <v>100</v>
      </c>
      <c r="V17" s="704" t="s">
        <v>14</v>
      </c>
      <c r="W17" s="705">
        <f>J17</f>
        <v>100</v>
      </c>
      <c r="X17" s="1354"/>
      <c r="Y17" s="3694"/>
      <c r="Z17" s="1355" t="str">
        <f>Q17</f>
        <v>交通便捷度</v>
      </c>
      <c r="AA17" s="1352">
        <f t="shared" si="3"/>
        <v>1</v>
      </c>
      <c r="AB17" s="1352">
        <f t="shared" si="4"/>
        <v>1</v>
      </c>
      <c r="AC17" s="1352">
        <f t="shared" si="5"/>
        <v>1</v>
      </c>
    </row>
    <row r="18" spans="1:29" ht="15">
      <c r="A18" s="379"/>
      <c r="B18" s="407"/>
      <c r="C18" s="398" t="s">
        <v>3401</v>
      </c>
      <c r="D18" s="401"/>
      <c r="E18" s="398" t="s">
        <v>3401</v>
      </c>
      <c r="F18" s="404"/>
      <c r="G18" s="398" t="s">
        <v>3401</v>
      </c>
      <c r="H18" s="399"/>
      <c r="I18" s="398" t="s">
        <v>3401</v>
      </c>
      <c r="J18" s="399"/>
      <c r="K18" s="564"/>
      <c r="L18" s="2721"/>
      <c r="M18" s="2715"/>
      <c r="N18" s="2715"/>
      <c r="O18" s="2715"/>
      <c r="P18" s="3692"/>
      <c r="Q18" s="1351"/>
      <c r="R18" s="704"/>
      <c r="S18" s="705"/>
      <c r="T18" s="704"/>
      <c r="U18" s="705"/>
      <c r="V18" s="704"/>
      <c r="W18" s="705"/>
      <c r="X18" s="1354"/>
      <c r="Y18" s="3694"/>
      <c r="Z18" s="1355"/>
      <c r="AA18" s="1352">
        <v>1</v>
      </c>
      <c r="AB18" s="1352">
        <v>1</v>
      </c>
      <c r="AC18" s="1352">
        <v>1</v>
      </c>
    </row>
    <row r="19" spans="1:29" ht="42.75">
      <c r="A19" s="379"/>
      <c r="B19" s="402" t="s">
        <v>1776</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92"/>
      <c r="Q19" s="1351" t="str">
        <f>B19</f>
        <v>公共配套设施</v>
      </c>
      <c r="R19" s="704" t="s">
        <v>14</v>
      </c>
      <c r="S19" s="705">
        <f>F19</f>
        <v>100</v>
      </c>
      <c r="T19" s="704" t="s">
        <v>14</v>
      </c>
      <c r="U19" s="705">
        <f>H19</f>
        <v>100</v>
      </c>
      <c r="V19" s="704" t="s">
        <v>14</v>
      </c>
      <c r="W19" s="705">
        <f>J19</f>
        <v>100</v>
      </c>
      <c r="X19" s="1354"/>
      <c r="Y19" s="3694"/>
      <c r="Z19" s="1355" t="str">
        <f>Q19</f>
        <v>公共配套设施</v>
      </c>
      <c r="AA19" s="1352">
        <f t="shared" si="3"/>
        <v>1</v>
      </c>
      <c r="AB19" s="1352">
        <f t="shared" si="4"/>
        <v>1</v>
      </c>
      <c r="AC19" s="1352">
        <f t="shared" si="5"/>
        <v>1</v>
      </c>
    </row>
    <row r="20" spans="1:29" ht="15">
      <c r="A20" s="379"/>
      <c r="B20" s="407"/>
      <c r="C20" s="398" t="s">
        <v>3401</v>
      </c>
      <c r="D20" s="399"/>
      <c r="E20" s="398" t="s">
        <v>3401</v>
      </c>
      <c r="F20" s="400"/>
      <c r="G20" s="398" t="s">
        <v>3401</v>
      </c>
      <c r="H20" s="399"/>
      <c r="I20" s="398" t="s">
        <v>3401</v>
      </c>
      <c r="J20" s="399"/>
      <c r="K20" s="564"/>
      <c r="L20" s="2721"/>
      <c r="M20" s="2715"/>
      <c r="N20" s="2715"/>
      <c r="O20" s="2715"/>
      <c r="P20" s="3692"/>
      <c r="Q20" s="1351"/>
      <c r="R20" s="704"/>
      <c r="S20" s="705"/>
      <c r="T20" s="704"/>
      <c r="U20" s="705"/>
      <c r="V20" s="704"/>
      <c r="W20" s="705"/>
      <c r="X20" s="1354"/>
      <c r="Y20" s="3694"/>
      <c r="Z20" s="1355"/>
      <c r="AA20" s="1352">
        <v>1</v>
      </c>
      <c r="AB20" s="1352">
        <v>1</v>
      </c>
      <c r="AC20" s="1352">
        <v>1</v>
      </c>
    </row>
    <row r="21" spans="1:29" ht="28.5">
      <c r="A21" s="379"/>
      <c r="B21" s="1130" t="s">
        <v>1777</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92"/>
      <c r="Q21" s="1351" t="str">
        <f>B21</f>
        <v>基础设施水平</v>
      </c>
      <c r="R21" s="704" t="s">
        <v>14</v>
      </c>
      <c r="S21" s="705">
        <f>F21</f>
        <v>100</v>
      </c>
      <c r="T21" s="704" t="s">
        <v>14</v>
      </c>
      <c r="U21" s="705">
        <f>H21</f>
        <v>100</v>
      </c>
      <c r="V21" s="704" t="s">
        <v>14</v>
      </c>
      <c r="W21" s="705">
        <f>J21</f>
        <v>100</v>
      </c>
      <c r="X21" s="1354"/>
      <c r="Y21" s="3694"/>
      <c r="Z21" s="1355" t="str">
        <f>Q21</f>
        <v>基础设施水平</v>
      </c>
      <c r="AA21" s="1352">
        <f t="shared" ref="AA21" si="8">D21/F21</f>
        <v>1</v>
      </c>
      <c r="AB21" s="1352">
        <f t="shared" ref="AB21" si="9">D21/H21</f>
        <v>1</v>
      </c>
      <c r="AC21" s="1352">
        <f t="shared" ref="AC21" si="10">D21/J21</f>
        <v>1</v>
      </c>
    </row>
    <row r="22" spans="1:29" ht="15">
      <c r="A22" s="379"/>
      <c r="B22" s="1130"/>
      <c r="C22" s="1900" t="s">
        <v>3409</v>
      </c>
      <c r="D22" s="399"/>
      <c r="E22" s="1900" t="s">
        <v>3409</v>
      </c>
      <c r="F22" s="400"/>
      <c r="G22" s="1900" t="s">
        <v>3409</v>
      </c>
      <c r="H22" s="399"/>
      <c r="I22" s="1900" t="s">
        <v>3409</v>
      </c>
      <c r="J22" s="399"/>
      <c r="K22" s="1129"/>
      <c r="L22" s="2721"/>
      <c r="M22" s="2715"/>
      <c r="N22" s="2715"/>
      <c r="O22" s="2715"/>
      <c r="P22" s="3692"/>
      <c r="Q22" s="1351"/>
      <c r="R22" s="704"/>
      <c r="S22" s="705"/>
      <c r="T22" s="704"/>
      <c r="U22" s="705"/>
      <c r="V22" s="704"/>
      <c r="W22" s="705"/>
      <c r="X22" s="1354"/>
      <c r="Y22" s="3694"/>
      <c r="Z22" s="1355"/>
      <c r="AA22" s="1352">
        <v>1</v>
      </c>
      <c r="AB22" s="1352">
        <v>1</v>
      </c>
      <c r="AC22" s="1352">
        <v>1</v>
      </c>
    </row>
    <row r="23" spans="1:29" ht="57">
      <c r="A23" s="379"/>
      <c r="B23" s="402" t="s">
        <v>1259</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92"/>
      <c r="Q23" s="1351" t="str">
        <f>B23</f>
        <v>自然及人文环境</v>
      </c>
      <c r="R23" s="704" t="s">
        <v>14</v>
      </c>
      <c r="S23" s="705">
        <f>F23</f>
        <v>100</v>
      </c>
      <c r="T23" s="704" t="s">
        <v>14</v>
      </c>
      <c r="U23" s="705">
        <f>H23</f>
        <v>100</v>
      </c>
      <c r="V23" s="704" t="s">
        <v>14</v>
      </c>
      <c r="W23" s="705">
        <f>J23</f>
        <v>100</v>
      </c>
      <c r="X23" s="1354"/>
      <c r="Y23" s="3694"/>
      <c r="Z23" s="1355" t="str">
        <f>Q23</f>
        <v>自然及人文环境</v>
      </c>
      <c r="AA23" s="1352">
        <f t="shared" si="3"/>
        <v>1</v>
      </c>
      <c r="AB23" s="1352">
        <f t="shared" si="4"/>
        <v>1</v>
      </c>
      <c r="AC23" s="1352">
        <f t="shared" si="5"/>
        <v>1</v>
      </c>
    </row>
    <row r="24" spans="1:29" ht="15">
      <c r="A24" s="379"/>
      <c r="B24" s="407"/>
      <c r="C24" s="398" t="s">
        <v>3401</v>
      </c>
      <c r="D24" s="399"/>
      <c r="E24" s="398" t="s">
        <v>3401</v>
      </c>
      <c r="F24" s="400"/>
      <c r="G24" s="398" t="s">
        <v>3401</v>
      </c>
      <c r="H24" s="399"/>
      <c r="I24" s="398" t="s">
        <v>3401</v>
      </c>
      <c r="J24" s="399"/>
      <c r="K24" s="564"/>
      <c r="L24" s="2721"/>
      <c r="M24" s="2715"/>
      <c r="N24" s="2715"/>
      <c r="O24" s="2715"/>
      <c r="P24" s="3692"/>
      <c r="Q24" s="1351"/>
      <c r="R24" s="704"/>
      <c r="S24" s="705"/>
      <c r="T24" s="704"/>
      <c r="U24" s="705"/>
      <c r="V24" s="704"/>
      <c r="W24" s="705"/>
      <c r="X24" s="1354"/>
      <c r="Y24" s="3694"/>
      <c r="Z24" s="1355"/>
      <c r="AA24" s="1352">
        <v>1</v>
      </c>
      <c r="AB24" s="1352">
        <v>1</v>
      </c>
      <c r="AC24" s="1352">
        <v>1</v>
      </c>
    </row>
    <row r="25" spans="1:29" ht="15">
      <c r="A25" s="379"/>
      <c r="B25" s="375" t="s">
        <v>1778</v>
      </c>
      <c r="C25" s="565" t="s">
        <v>3438</v>
      </c>
      <c r="D25" s="386">
        <v>100</v>
      </c>
      <c r="E25" s="565" t="s">
        <v>3397</v>
      </c>
      <c r="F25" s="412">
        <f>SUMIF(86:86,E25,87:87)-SUMIF(86:86,C25,87:87)+100</f>
        <v>100</v>
      </c>
      <c r="G25" s="565" t="s">
        <v>3397</v>
      </c>
      <c r="H25" s="386">
        <f>SUMIF(86:86,G25,87:87)-SUMIF(86:86,C25,87:87)+100</f>
        <v>100</v>
      </c>
      <c r="I25" s="565" t="s">
        <v>3397</v>
      </c>
      <c r="J25" s="386">
        <f>SUMIF(86:86,I25,87:87)-SUMIF(86:86,C25,87:87)+100</f>
        <v>100</v>
      </c>
      <c r="K25" s="3453">
        <v>0</v>
      </c>
      <c r="L25" s="2721"/>
      <c r="M25" s="2715"/>
      <c r="N25" s="2715"/>
      <c r="O25" s="2715"/>
      <c r="P25" s="3692"/>
      <c r="Q25" s="1351" t="str">
        <f t="shared" ref="Q25:Q46" si="11">B25</f>
        <v>临街状况</v>
      </c>
      <c r="R25" s="704" t="s">
        <v>14</v>
      </c>
      <c r="S25" s="705">
        <f>F25</f>
        <v>100</v>
      </c>
      <c r="T25" s="704" t="s">
        <v>14</v>
      </c>
      <c r="U25" s="705">
        <f>H25</f>
        <v>100</v>
      </c>
      <c r="V25" s="704" t="s">
        <v>14</v>
      </c>
      <c r="W25" s="705">
        <f>J25</f>
        <v>100</v>
      </c>
      <c r="X25" s="1354"/>
      <c r="Y25" s="3694"/>
      <c r="Z25" s="1355" t="str">
        <f>Q25</f>
        <v>临街状况</v>
      </c>
      <c r="AA25" s="1352">
        <f t="shared" si="3"/>
        <v>1</v>
      </c>
      <c r="AB25" s="1352">
        <f t="shared" si="4"/>
        <v>1</v>
      </c>
      <c r="AC25" s="1352">
        <f t="shared" si="5"/>
        <v>1</v>
      </c>
    </row>
    <row r="26" spans="1:29" ht="15">
      <c r="A26" s="379"/>
      <c r="B26" s="1132" t="s">
        <v>1779</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2"/>
      <c r="Q26" s="1351" t="str">
        <f t="shared" si="11"/>
        <v>平面位置/可视性</v>
      </c>
      <c r="R26" s="704" t="s">
        <v>14</v>
      </c>
      <c r="S26" s="705">
        <f>F26</f>
        <v>100</v>
      </c>
      <c r="T26" s="704" t="s">
        <v>14</v>
      </c>
      <c r="U26" s="705">
        <f>H26</f>
        <v>100</v>
      </c>
      <c r="V26" s="704" t="s">
        <v>14</v>
      </c>
      <c r="W26" s="705">
        <f>J26</f>
        <v>100</v>
      </c>
      <c r="X26" s="1354"/>
      <c r="Y26" s="3694"/>
      <c r="Z26" s="1355" t="str">
        <f>Q26</f>
        <v>平面位置/可视性</v>
      </c>
      <c r="AA26" s="1352">
        <f t="shared" si="3"/>
        <v>1</v>
      </c>
      <c r="AB26" s="1352">
        <f t="shared" si="4"/>
        <v>1</v>
      </c>
      <c r="AC26" s="1352">
        <f t="shared" si="5"/>
        <v>1</v>
      </c>
    </row>
    <row r="27" spans="1:29" s="108" customFormat="1" ht="15">
      <c r="A27" s="382"/>
      <c r="B27" s="402" t="s">
        <v>1780</v>
      </c>
      <c r="C27" s="1955" t="s">
        <v>3401</v>
      </c>
      <c r="D27" s="413">
        <v>100</v>
      </c>
      <c r="E27" s="1955" t="s">
        <v>3401</v>
      </c>
      <c r="F27" s="415">
        <f>SUMIF(90:90,E27,91:91)-SUMIF(90:90,C27,91:91)+100</f>
        <v>100</v>
      </c>
      <c r="G27" s="1955" t="s">
        <v>3401</v>
      </c>
      <c r="H27" s="413">
        <f>SUMIF(90:90,G27,91:91)-SUMIF(90:90,C27,91:91)+100</f>
        <v>100</v>
      </c>
      <c r="I27" s="1955" t="s">
        <v>3401</v>
      </c>
      <c r="J27" s="413">
        <f>SUMIF(90:90,I27,91:91)-SUMIF(90:90,C27,91:91)+100</f>
        <v>100</v>
      </c>
      <c r="K27" s="3453">
        <v>0</v>
      </c>
      <c r="L27" s="2716"/>
      <c r="M27" s="2717"/>
      <c r="N27" s="2717"/>
      <c r="O27" s="2717"/>
      <c r="P27" s="3692"/>
      <c r="Q27" s="1342" t="str">
        <f t="shared" si="11"/>
        <v>人流量</v>
      </c>
      <c r="R27" s="700" t="s">
        <v>14</v>
      </c>
      <c r="S27" s="701">
        <f>F27</f>
        <v>100</v>
      </c>
      <c r="T27" s="700" t="s">
        <v>14</v>
      </c>
      <c r="U27" s="701">
        <f>H27</f>
        <v>100</v>
      </c>
      <c r="V27" s="700" t="s">
        <v>14</v>
      </c>
      <c r="W27" s="701">
        <f>J27</f>
        <v>100</v>
      </c>
      <c r="X27" s="702"/>
      <c r="Y27" s="3694"/>
      <c r="Z27" s="52" t="str">
        <f>Q27</f>
        <v>人流量</v>
      </c>
      <c r="AA27" s="1352">
        <f>D27/F27</f>
        <v>1</v>
      </c>
      <c r="AB27" s="1352">
        <f>D27/H27</f>
        <v>1</v>
      </c>
      <c r="AC27" s="1352">
        <f>D27/J27</f>
        <v>1</v>
      </c>
    </row>
    <row r="28" spans="1:29" ht="15">
      <c r="A28" s="379"/>
      <c r="B28" s="375" t="s">
        <v>1781</v>
      </c>
      <c r="C28" s="565" t="s">
        <v>3430</v>
      </c>
      <c r="D28" s="386">
        <v>100</v>
      </c>
      <c r="E28" s="565" t="s">
        <v>3430</v>
      </c>
      <c r="F28" s="412">
        <f>SUMIF(92:92,E28,93:93)-SUMIF(92:92,C28,93:93)+100</f>
        <v>100</v>
      </c>
      <c r="G28" s="565" t="s">
        <v>3430</v>
      </c>
      <c r="H28" s="386">
        <f>SUMIF(92:92,G28,93:93)-SUMIF(92:92,C28,93:93)+100</f>
        <v>100</v>
      </c>
      <c r="I28" s="565" t="s">
        <v>3430</v>
      </c>
      <c r="J28" s="386">
        <f>SUMIF(92:92,I28,93:93)-SUMIF(92:92,C28,93:93)+100</f>
        <v>100</v>
      </c>
      <c r="K28" s="562"/>
      <c r="L28" s="2721"/>
      <c r="M28" s="2715"/>
      <c r="N28" s="2715"/>
      <c r="O28" s="2715"/>
      <c r="P28" s="3692"/>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4"/>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2"/>
      <c r="Q29" s="1351">
        <f t="shared" si="11"/>
        <v>111</v>
      </c>
      <c r="R29" s="704" t="s">
        <v>14</v>
      </c>
      <c r="S29" s="705">
        <f t="shared" si="12"/>
        <v>100</v>
      </c>
      <c r="T29" s="704" t="s">
        <v>14</v>
      </c>
      <c r="U29" s="705">
        <f t="shared" si="13"/>
        <v>100</v>
      </c>
      <c r="V29" s="704" t="s">
        <v>14</v>
      </c>
      <c r="W29" s="705">
        <f t="shared" si="14"/>
        <v>100</v>
      </c>
      <c r="X29" s="1354"/>
      <c r="Y29" s="3694"/>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2"/>
      <c r="Q30" s="1351">
        <f t="shared" si="11"/>
        <v>111</v>
      </c>
      <c r="R30" s="704" t="s">
        <v>14</v>
      </c>
      <c r="S30" s="705">
        <f t="shared" si="12"/>
        <v>100</v>
      </c>
      <c r="T30" s="704" t="s">
        <v>14</v>
      </c>
      <c r="U30" s="705">
        <f t="shared" si="13"/>
        <v>100</v>
      </c>
      <c r="V30" s="704" t="s">
        <v>14</v>
      </c>
      <c r="W30" s="705">
        <f t="shared" si="14"/>
        <v>100</v>
      </c>
      <c r="X30" s="1354"/>
      <c r="Y30" s="3694"/>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2"/>
      <c r="Q31" s="1351">
        <f t="shared" si="11"/>
        <v>111</v>
      </c>
      <c r="R31" s="704" t="s">
        <v>14</v>
      </c>
      <c r="S31" s="705">
        <f t="shared" si="12"/>
        <v>100</v>
      </c>
      <c r="T31" s="704" t="s">
        <v>14</v>
      </c>
      <c r="U31" s="705">
        <f t="shared" si="13"/>
        <v>100</v>
      </c>
      <c r="V31" s="704" t="s">
        <v>14</v>
      </c>
      <c r="W31" s="705">
        <f t="shared" si="14"/>
        <v>100</v>
      </c>
      <c r="X31" s="1354"/>
      <c r="Y31" s="3694"/>
      <c r="Z31" s="1355">
        <f t="shared" si="15"/>
        <v>111</v>
      </c>
      <c r="AA31" s="1352">
        <f t="shared" si="3"/>
        <v>1</v>
      </c>
      <c r="AB31" s="1352">
        <f t="shared" si="4"/>
        <v>1</v>
      </c>
      <c r="AC31" s="1352">
        <f t="shared" si="5"/>
        <v>1</v>
      </c>
    </row>
    <row r="32" spans="1:29" ht="15">
      <c r="A32" s="391" t="s">
        <v>1692</v>
      </c>
      <c r="B32" s="63" t="s">
        <v>1782</v>
      </c>
      <c r="C32" s="1909" t="s">
        <v>3418</v>
      </c>
      <c r="D32" s="418">
        <v>100</v>
      </c>
      <c r="E32" s="1909" t="s">
        <v>3433</v>
      </c>
      <c r="F32" s="412">
        <f>SUMIF(100:100,E32,101:101)-SUMIF(100:100,C32,101:101)+100</f>
        <v>100</v>
      </c>
      <c r="G32" s="1909" t="s">
        <v>3433</v>
      </c>
      <c r="H32" s="386">
        <f>SUMIF(100:100,G32,101:101)-SUMIF(100:100,C32,101:101)+100</f>
        <v>100</v>
      </c>
      <c r="I32" s="1909" t="s">
        <v>3418</v>
      </c>
      <c r="J32" s="418">
        <f>SUMIF(100:100,I32,101:101)-SUMIF(100:100,C32,101:101)+100</f>
        <v>100</v>
      </c>
      <c r="K32" s="561">
        <v>0</v>
      </c>
      <c r="L32" s="2721"/>
      <c r="M32" s="2715"/>
      <c r="N32" s="2715"/>
      <c r="O32" s="2715"/>
      <c r="P32" s="3695" t="s">
        <v>1694</v>
      </c>
      <c r="Q32" s="1351" t="str">
        <f t="shared" si="11"/>
        <v>商业类型</v>
      </c>
      <c r="R32" s="704" t="s">
        <v>14</v>
      </c>
      <c r="S32" s="705">
        <f t="shared" si="12"/>
        <v>100</v>
      </c>
      <c r="T32" s="704" t="s">
        <v>14</v>
      </c>
      <c r="U32" s="705">
        <f t="shared" si="13"/>
        <v>100</v>
      </c>
      <c r="V32" s="704" t="s">
        <v>14</v>
      </c>
      <c r="W32" s="705">
        <f t="shared" si="14"/>
        <v>100</v>
      </c>
      <c r="X32" s="1354"/>
      <c r="Y32" s="3698" t="s">
        <v>1694</v>
      </c>
      <c r="Z32" s="1355" t="str">
        <f t="shared" si="15"/>
        <v>商业类型</v>
      </c>
      <c r="AA32" s="1352">
        <f t="shared" si="3"/>
        <v>1</v>
      </c>
      <c r="AB32" s="1352">
        <f t="shared" si="4"/>
        <v>1</v>
      </c>
      <c r="AC32" s="1352">
        <f t="shared" si="5"/>
        <v>1</v>
      </c>
    </row>
    <row r="33" spans="1:29" s="422" customFormat="1" ht="15">
      <c r="A33" s="419"/>
      <c r="B33" s="375" t="s">
        <v>1695</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20"/>
      <c r="M33" s="2722"/>
      <c r="N33" s="2722"/>
      <c r="O33" s="2722"/>
      <c r="P33" s="3696"/>
      <c r="Q33" s="706" t="str">
        <f t="shared" si="11"/>
        <v>项目建筑规模</v>
      </c>
      <c r="R33" s="707" t="s">
        <v>14</v>
      </c>
      <c r="S33" s="708">
        <f t="shared" si="12"/>
        <v>100</v>
      </c>
      <c r="T33" s="707" t="s">
        <v>14</v>
      </c>
      <c r="U33" s="708">
        <f t="shared" si="13"/>
        <v>100</v>
      </c>
      <c r="V33" s="707" t="s">
        <v>14</v>
      </c>
      <c r="W33" s="708">
        <f t="shared" si="14"/>
        <v>100</v>
      </c>
      <c r="X33" s="709"/>
      <c r="Y33" s="3698"/>
      <c r="Z33" s="710" t="str">
        <f t="shared" si="15"/>
        <v>项目建筑规模</v>
      </c>
      <c r="AA33" s="1352">
        <f t="shared" si="3"/>
        <v>1</v>
      </c>
      <c r="AB33" s="1352">
        <f t="shared" si="4"/>
        <v>1</v>
      </c>
      <c r="AC33" s="1352">
        <f t="shared" si="5"/>
        <v>1</v>
      </c>
    </row>
    <row r="34" spans="1:29" ht="15">
      <c r="A34" s="423"/>
      <c r="B34" s="375" t="s">
        <v>1696</v>
      </c>
      <c r="C34" s="1911" t="s">
        <v>3407</v>
      </c>
      <c r="D34" s="386">
        <v>100</v>
      </c>
      <c r="E34" s="1911" t="s">
        <v>3407</v>
      </c>
      <c r="F34" s="412">
        <f>SUMIF(105:105,E34,106:106)-SUMIF(105:105,C34,106:106)+100</f>
        <v>100</v>
      </c>
      <c r="G34" s="1911" t="s">
        <v>3407</v>
      </c>
      <c r="H34" s="386">
        <f>SUMIF(105:105,G34,106:106)-SUMIF(105:105,C34,106:106)+100</f>
        <v>100</v>
      </c>
      <c r="I34" s="1911" t="s">
        <v>3407</v>
      </c>
      <c r="J34" s="386">
        <f>SUMIF(105:105,I34,106:106)-SUMIF(105:105,C34,106:106)+100</f>
        <v>100</v>
      </c>
      <c r="K34" s="561">
        <v>0</v>
      </c>
      <c r="L34" s="2721"/>
      <c r="M34" s="2715"/>
      <c r="N34" s="2715"/>
      <c r="O34" s="2715"/>
      <c r="P34" s="3696"/>
      <c r="Q34" s="1351" t="str">
        <f t="shared" si="11"/>
        <v>建筑结构</v>
      </c>
      <c r="R34" s="704" t="s">
        <v>14</v>
      </c>
      <c r="S34" s="705">
        <f t="shared" si="12"/>
        <v>100</v>
      </c>
      <c r="T34" s="704" t="s">
        <v>14</v>
      </c>
      <c r="U34" s="705">
        <f t="shared" si="13"/>
        <v>100</v>
      </c>
      <c r="V34" s="704" t="s">
        <v>14</v>
      </c>
      <c r="W34" s="705">
        <f t="shared" si="14"/>
        <v>100</v>
      </c>
      <c r="X34" s="1354"/>
      <c r="Y34" s="3698"/>
      <c r="Z34" s="1355" t="str">
        <f t="shared" si="15"/>
        <v>建筑结构</v>
      </c>
      <c r="AA34" s="1352">
        <f t="shared" si="3"/>
        <v>1</v>
      </c>
      <c r="AB34" s="1352">
        <f t="shared" si="4"/>
        <v>1</v>
      </c>
      <c r="AC34" s="1352">
        <f t="shared" si="5"/>
        <v>1</v>
      </c>
    </row>
    <row r="35" spans="1:29" ht="15">
      <c r="A35" s="423"/>
      <c r="B35" s="375" t="s">
        <v>1783</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96"/>
      <c r="Q35" s="1351" t="str">
        <f t="shared" si="11"/>
        <v>公共部分装修</v>
      </c>
      <c r="R35" s="704" t="s">
        <v>14</v>
      </c>
      <c r="S35" s="705">
        <f t="shared" si="12"/>
        <v>100</v>
      </c>
      <c r="T35" s="704" t="s">
        <v>14</v>
      </c>
      <c r="U35" s="705">
        <f t="shared" si="13"/>
        <v>100</v>
      </c>
      <c r="V35" s="704" t="s">
        <v>14</v>
      </c>
      <c r="W35" s="705">
        <f t="shared" si="14"/>
        <v>100</v>
      </c>
      <c r="X35" s="1354"/>
      <c r="Y35" s="3698"/>
      <c r="Z35" s="1355" t="str">
        <f t="shared" si="15"/>
        <v>公共部分装修</v>
      </c>
      <c r="AA35" s="1352">
        <f t="shared" si="3"/>
        <v>1</v>
      </c>
      <c r="AB35" s="1352">
        <f t="shared" si="4"/>
        <v>1</v>
      </c>
      <c r="AC35" s="1352">
        <f t="shared" si="5"/>
        <v>1</v>
      </c>
    </row>
    <row r="36" spans="1:29" ht="15">
      <c r="A36" s="423"/>
      <c r="B36" s="375" t="s">
        <v>1784</v>
      </c>
      <c r="C36" s="425">
        <f>'数据-取费表'!N6</f>
        <v>0.82</v>
      </c>
      <c r="D36" s="386">
        <v>100</v>
      </c>
      <c r="E36" s="425">
        <f>C36</f>
        <v>0.82</v>
      </c>
      <c r="F36" s="412">
        <f>LOOKUP(E36,110:110,111:111)-LOOKUP(C36,110:110,111:111)+100</f>
        <v>100</v>
      </c>
      <c r="G36" s="425">
        <f>E36</f>
        <v>0.82</v>
      </c>
      <c r="H36" s="412">
        <f>LOOKUP(G36,110:110,111:111)-LOOKUP(C36,110:110,111:111)+100</f>
        <v>100</v>
      </c>
      <c r="I36" s="425">
        <f>G36</f>
        <v>0.82</v>
      </c>
      <c r="J36" s="386">
        <f>LOOKUP(I36,110:110,111:111)-LOOKUP(C36,110:110,111:111)+100</f>
        <v>100</v>
      </c>
      <c r="K36" s="561">
        <v>1</v>
      </c>
      <c r="L36" s="2721"/>
      <c r="M36" s="2715"/>
      <c r="N36" s="2715"/>
      <c r="O36" s="2715"/>
      <c r="P36" s="3696"/>
      <c r="Q36" s="1351" t="str">
        <f t="shared" si="11"/>
        <v>成新度</v>
      </c>
      <c r="R36" s="704" t="s">
        <v>14</v>
      </c>
      <c r="S36" s="705">
        <f t="shared" si="12"/>
        <v>100</v>
      </c>
      <c r="T36" s="704" t="s">
        <v>14</v>
      </c>
      <c r="U36" s="705">
        <f t="shared" si="13"/>
        <v>100</v>
      </c>
      <c r="V36" s="704" t="s">
        <v>14</v>
      </c>
      <c r="W36" s="705">
        <f t="shared" si="14"/>
        <v>100</v>
      </c>
      <c r="X36" s="1354"/>
      <c r="Y36" s="3698"/>
      <c r="Z36" s="1355" t="str">
        <f t="shared" si="15"/>
        <v>成新度</v>
      </c>
      <c r="AA36" s="1352">
        <f t="shared" si="3"/>
        <v>1</v>
      </c>
      <c r="AB36" s="1352">
        <f t="shared" si="4"/>
        <v>1</v>
      </c>
      <c r="AC36" s="1352">
        <f t="shared" si="5"/>
        <v>1</v>
      </c>
    </row>
    <row r="37" spans="1:29" s="108" customFormat="1" ht="15">
      <c r="A37" s="424"/>
      <c r="B37" s="375" t="s">
        <v>1785</v>
      </c>
      <c r="C37" s="1905" t="s">
        <v>3410</v>
      </c>
      <c r="D37" s="127">
        <v>100</v>
      </c>
      <c r="E37" s="1905" t="s">
        <v>3409</v>
      </c>
      <c r="F37" s="412">
        <f>SUMIF(112:112,E37,113:113)-SUMIF(112:112,C37,113:113)+100</f>
        <v>100</v>
      </c>
      <c r="G37" s="1905" t="s">
        <v>3410</v>
      </c>
      <c r="H37" s="386">
        <f>SUMIF(112:112,G37,113:113)-SUMIF(112:112,C37,113:113)+100</f>
        <v>100</v>
      </c>
      <c r="I37" s="1905" t="s">
        <v>3409</v>
      </c>
      <c r="J37" s="386">
        <f>SUMIF(112:112,I37,113:113)-SUMIF(112:112,C37,113:113)+100</f>
        <v>100</v>
      </c>
      <c r="K37" s="561">
        <v>0</v>
      </c>
      <c r="L37" s="2716"/>
      <c r="M37" s="2717"/>
      <c r="N37" s="2717"/>
      <c r="O37" s="2717"/>
      <c r="P37" s="3696"/>
      <c r="Q37" s="1342" t="str">
        <f t="shared" si="11"/>
        <v>市政基础设施</v>
      </c>
      <c r="R37" s="700" t="s">
        <v>14</v>
      </c>
      <c r="S37" s="701">
        <f t="shared" si="12"/>
        <v>100</v>
      </c>
      <c r="T37" s="700" t="s">
        <v>14</v>
      </c>
      <c r="U37" s="701">
        <f t="shared" si="13"/>
        <v>100</v>
      </c>
      <c r="V37" s="700" t="s">
        <v>14</v>
      </c>
      <c r="W37" s="701">
        <f t="shared" si="14"/>
        <v>100</v>
      </c>
      <c r="X37" s="702"/>
      <c r="Y37" s="3698"/>
      <c r="Z37" s="52" t="str">
        <f t="shared" si="15"/>
        <v>市政基础设施</v>
      </c>
      <c r="AA37" s="703">
        <f t="shared" si="3"/>
        <v>1</v>
      </c>
      <c r="AB37" s="703">
        <f t="shared" si="4"/>
        <v>1</v>
      </c>
      <c r="AC37" s="703">
        <f t="shared" si="5"/>
        <v>1</v>
      </c>
    </row>
    <row r="38" spans="1:29" ht="15">
      <c r="A38" s="423"/>
      <c r="B38" s="375" t="s">
        <v>1786</v>
      </c>
      <c r="C38" s="1905" t="s">
        <v>3416</v>
      </c>
      <c r="D38" s="386">
        <v>100</v>
      </c>
      <c r="E38" s="1905" t="s">
        <v>3414</v>
      </c>
      <c r="F38" s="412">
        <f>SUMIF(114:114,E38,115:115)-SUMIF(114:114,C38,115:115)+100</f>
        <v>100</v>
      </c>
      <c r="G38" s="1905" t="s">
        <v>3416</v>
      </c>
      <c r="H38" s="386">
        <f>SUMIF(114:114,G38,115:115)-SUMIF(114:114,C38,115:115)+100</f>
        <v>100</v>
      </c>
      <c r="I38" s="1905" t="s">
        <v>3414</v>
      </c>
      <c r="J38" s="386">
        <f>SUMIF(114:114,I38,115:115)-SUMIF(114:114,C38,115:115)+100</f>
        <v>100</v>
      </c>
      <c r="K38" s="561">
        <v>0</v>
      </c>
      <c r="L38" s="2721"/>
      <c r="M38" s="2715"/>
      <c r="N38" s="2715"/>
      <c r="O38" s="2715"/>
      <c r="P38" s="3696" t="s">
        <v>1694</v>
      </c>
      <c r="Q38" s="1351" t="str">
        <f t="shared" si="11"/>
        <v>业态</v>
      </c>
      <c r="R38" s="704" t="s">
        <v>14</v>
      </c>
      <c r="S38" s="705">
        <f t="shared" si="12"/>
        <v>100</v>
      </c>
      <c r="T38" s="704" t="s">
        <v>14</v>
      </c>
      <c r="U38" s="705">
        <f t="shared" si="13"/>
        <v>100</v>
      </c>
      <c r="V38" s="704" t="s">
        <v>14</v>
      </c>
      <c r="W38" s="705">
        <f t="shared" si="14"/>
        <v>100</v>
      </c>
      <c r="X38" s="1354"/>
      <c r="Y38" s="3698" t="s">
        <v>1694</v>
      </c>
      <c r="Z38" s="1355" t="str">
        <f t="shared" si="15"/>
        <v>业态</v>
      </c>
      <c r="AA38" s="1352">
        <f t="shared" si="3"/>
        <v>1</v>
      </c>
      <c r="AB38" s="1352">
        <f t="shared" si="4"/>
        <v>1</v>
      </c>
      <c r="AC38" s="1352">
        <f t="shared" si="5"/>
        <v>1</v>
      </c>
    </row>
    <row r="39" spans="1:29" ht="15">
      <c r="A39" s="423"/>
      <c r="B39" s="375" t="s">
        <v>1787</v>
      </c>
      <c r="C39" s="1905" t="s">
        <v>3421</v>
      </c>
      <c r="D39" s="386">
        <v>100</v>
      </c>
      <c r="E39" s="1905" t="s">
        <v>3421</v>
      </c>
      <c r="F39" s="412">
        <f>SUMIF(116:116,E39,117:117)-SUMIF(116:116,C39,117:117)+100</f>
        <v>100</v>
      </c>
      <c r="G39" s="1905" t="s">
        <v>3421</v>
      </c>
      <c r="H39" s="386">
        <f>SUMIF(116:116,G39,117:117)-SUMIF(116:116,C39,117:117)+100</f>
        <v>100</v>
      </c>
      <c r="I39" s="1905" t="s">
        <v>3421</v>
      </c>
      <c r="J39" s="386">
        <f>SUMIF(116:116,I39,117:117)-SUMIF(116:116,C39,117:117)+100</f>
        <v>100</v>
      </c>
      <c r="K39" s="561">
        <v>2</v>
      </c>
      <c r="L39" s="2721"/>
      <c r="M39" s="2715"/>
      <c r="N39" s="2715"/>
      <c r="O39" s="2715"/>
      <c r="P39" s="3696"/>
      <c r="Q39" s="1351" t="str">
        <f t="shared" si="11"/>
        <v>层高</v>
      </c>
      <c r="R39" s="704" t="s">
        <v>14</v>
      </c>
      <c r="S39" s="705">
        <f t="shared" si="12"/>
        <v>100</v>
      </c>
      <c r="T39" s="704" t="s">
        <v>14</v>
      </c>
      <c r="U39" s="705">
        <f t="shared" si="13"/>
        <v>100</v>
      </c>
      <c r="V39" s="704" t="s">
        <v>14</v>
      </c>
      <c r="W39" s="705">
        <f t="shared" si="14"/>
        <v>100</v>
      </c>
      <c r="X39" s="1354"/>
      <c r="Y39" s="3698"/>
      <c r="Z39" s="1355" t="str">
        <f t="shared" si="15"/>
        <v>层高</v>
      </c>
      <c r="AA39" s="1352">
        <f t="shared" si="3"/>
        <v>1</v>
      </c>
      <c r="AB39" s="1352">
        <f t="shared" si="4"/>
        <v>1</v>
      </c>
      <c r="AC39" s="1352">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96"/>
      <c r="Q40" s="1351" t="str">
        <f t="shared" si="11"/>
        <v>单套建筑面积</v>
      </c>
      <c r="R40" s="704" t="s">
        <v>14</v>
      </c>
      <c r="S40" s="705">
        <f t="shared" si="12"/>
        <v>100</v>
      </c>
      <c r="T40" s="704" t="s">
        <v>14</v>
      </c>
      <c r="U40" s="705">
        <f t="shared" si="13"/>
        <v>100</v>
      </c>
      <c r="V40" s="704" t="s">
        <v>14</v>
      </c>
      <c r="W40" s="705">
        <f t="shared" si="14"/>
        <v>100</v>
      </c>
      <c r="X40" s="1354"/>
      <c r="Y40" s="3698"/>
      <c r="Z40" s="1355" t="str">
        <f t="shared" si="15"/>
        <v>单套建筑面积</v>
      </c>
      <c r="AA40" s="1352">
        <f t="shared" si="3"/>
        <v>1</v>
      </c>
      <c r="AB40" s="1352">
        <f t="shared" si="4"/>
        <v>1</v>
      </c>
      <c r="AC40" s="1352">
        <f t="shared" si="5"/>
        <v>1</v>
      </c>
    </row>
    <row r="41" spans="1:29" s="422" customFormat="1" ht="15">
      <c r="A41" s="419"/>
      <c r="B41" s="1353"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6"/>
      <c r="Q41" s="706" t="str">
        <f t="shared" si="11"/>
        <v>进深比</v>
      </c>
      <c r="R41" s="707" t="s">
        <v>14</v>
      </c>
      <c r="S41" s="708">
        <f t="shared" si="12"/>
        <v>100</v>
      </c>
      <c r="T41" s="707" t="s">
        <v>14</v>
      </c>
      <c r="U41" s="708">
        <f t="shared" si="13"/>
        <v>100</v>
      </c>
      <c r="V41" s="707" t="s">
        <v>14</v>
      </c>
      <c r="W41" s="708">
        <f t="shared" si="14"/>
        <v>100</v>
      </c>
      <c r="X41" s="709"/>
      <c r="Y41" s="3698"/>
      <c r="Z41" s="710" t="str">
        <f t="shared" si="15"/>
        <v>进深比</v>
      </c>
      <c r="AA41" s="1352">
        <f t="shared" si="3"/>
        <v>1</v>
      </c>
      <c r="AB41" s="1352">
        <f t="shared" si="4"/>
        <v>1</v>
      </c>
      <c r="AC41" s="1352">
        <f t="shared" si="5"/>
        <v>1</v>
      </c>
    </row>
    <row r="42" spans="1:29" ht="15">
      <c r="A42" s="423"/>
      <c r="B42" s="375" t="s">
        <v>1790</v>
      </c>
      <c r="C42" s="1905" t="s">
        <v>3423</v>
      </c>
      <c r="D42" s="386">
        <v>100</v>
      </c>
      <c r="E42" s="1905" t="s">
        <v>3423</v>
      </c>
      <c r="F42" s="412">
        <f>SUMIF(122:122,E42,123:123)-SUMIF(122:122,C42,123:123)+100</f>
        <v>100</v>
      </c>
      <c r="G42" s="1905" t="s">
        <v>3423</v>
      </c>
      <c r="H42" s="386">
        <f>SUMIF(122:122,G42,123:123)-SUMIF(122:122,C42,123:123)+100</f>
        <v>100</v>
      </c>
      <c r="I42" s="1905" t="s">
        <v>3423</v>
      </c>
      <c r="J42" s="386">
        <f>SUMIF(122:122,I42,123:123)-SUMIF(122:122,C42,123:123)+100</f>
        <v>100</v>
      </c>
      <c r="K42" s="561">
        <v>2</v>
      </c>
      <c r="L42" s="2721"/>
      <c r="M42" s="2715"/>
      <c r="N42" s="2715"/>
      <c r="O42" s="2715"/>
      <c r="P42" s="3696"/>
      <c r="Q42" s="1351" t="str">
        <f t="shared" si="11"/>
        <v>内部装修</v>
      </c>
      <c r="R42" s="704" t="s">
        <v>14</v>
      </c>
      <c r="S42" s="705">
        <f t="shared" si="12"/>
        <v>100</v>
      </c>
      <c r="T42" s="704" t="s">
        <v>14</v>
      </c>
      <c r="U42" s="705">
        <f t="shared" si="13"/>
        <v>100</v>
      </c>
      <c r="V42" s="704" t="s">
        <v>14</v>
      </c>
      <c r="W42" s="705">
        <f t="shared" si="14"/>
        <v>100</v>
      </c>
      <c r="X42" s="1354"/>
      <c r="Y42" s="3698"/>
      <c r="Z42" s="1355" t="str">
        <f t="shared" si="15"/>
        <v>内部装修</v>
      </c>
      <c r="AA42" s="1352">
        <f t="shared" si="3"/>
        <v>1</v>
      </c>
      <c r="AB42" s="1352">
        <f t="shared" si="4"/>
        <v>1</v>
      </c>
      <c r="AC42" s="1352">
        <f t="shared" si="5"/>
        <v>1</v>
      </c>
    </row>
    <row r="43" spans="1:29" ht="15">
      <c r="A43" s="423"/>
      <c r="B43" s="375" t="s">
        <v>1705</v>
      </c>
      <c r="C43" s="1905" t="s">
        <v>3401</v>
      </c>
      <c r="D43" s="386">
        <v>100</v>
      </c>
      <c r="E43" s="1905" t="s">
        <v>3401</v>
      </c>
      <c r="F43" s="412">
        <f>SUMIF(124:124,E43,125:125)-SUMIF(124:124,C43,125:125)+100</f>
        <v>100</v>
      </c>
      <c r="G43" s="1905" t="s">
        <v>3401</v>
      </c>
      <c r="H43" s="386">
        <f>SUMIF(124:124,G43,125:125)-SUMIF(124:124,C43,125:125)+100</f>
        <v>100</v>
      </c>
      <c r="I43" s="1905" t="s">
        <v>3401</v>
      </c>
      <c r="J43" s="386">
        <f>SUMIF(124:124,I43,125:125)-SUMIF(124:124,C43,125:125)+100</f>
        <v>100</v>
      </c>
      <c r="K43" s="561">
        <v>2</v>
      </c>
      <c r="L43" s="2721"/>
      <c r="M43" s="2715"/>
      <c r="N43" s="2715"/>
      <c r="O43" s="2715"/>
      <c r="P43" s="3696"/>
      <c r="Q43" s="1351" t="str">
        <f t="shared" si="11"/>
        <v>内部装修维护情况</v>
      </c>
      <c r="R43" s="704" t="s">
        <v>14</v>
      </c>
      <c r="S43" s="705">
        <f t="shared" si="12"/>
        <v>100</v>
      </c>
      <c r="T43" s="704" t="s">
        <v>14</v>
      </c>
      <c r="U43" s="705">
        <f t="shared" si="13"/>
        <v>100</v>
      </c>
      <c r="V43" s="704" t="s">
        <v>14</v>
      </c>
      <c r="W43" s="705">
        <f t="shared" si="14"/>
        <v>100</v>
      </c>
      <c r="X43" s="1354"/>
      <c r="Y43" s="3698"/>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6"/>
      <c r="Q44" s="1342">
        <f t="shared" si="11"/>
        <v>111</v>
      </c>
      <c r="R44" s="700" t="s">
        <v>14</v>
      </c>
      <c r="S44" s="701">
        <f t="shared" si="12"/>
        <v>100</v>
      </c>
      <c r="T44" s="700" t="s">
        <v>14</v>
      </c>
      <c r="U44" s="701">
        <f t="shared" si="13"/>
        <v>100</v>
      </c>
      <c r="V44" s="700" t="s">
        <v>14</v>
      </c>
      <c r="W44" s="701">
        <f t="shared" si="14"/>
        <v>100</v>
      </c>
      <c r="X44" s="702"/>
      <c r="Y44" s="3698"/>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6"/>
      <c r="Q45" s="1351">
        <f t="shared" si="11"/>
        <v>111</v>
      </c>
      <c r="R45" s="704" t="s">
        <v>14</v>
      </c>
      <c r="S45" s="705">
        <f t="shared" si="12"/>
        <v>100</v>
      </c>
      <c r="T45" s="704" t="s">
        <v>14</v>
      </c>
      <c r="U45" s="705">
        <f t="shared" si="13"/>
        <v>100</v>
      </c>
      <c r="V45" s="704" t="s">
        <v>14</v>
      </c>
      <c r="W45" s="705">
        <f t="shared" si="14"/>
        <v>100</v>
      </c>
      <c r="X45" s="1354"/>
      <c r="Y45" s="3698"/>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7"/>
      <c r="Q46" s="1351">
        <f t="shared" si="11"/>
        <v>111</v>
      </c>
      <c r="R46" s="704" t="s">
        <v>14</v>
      </c>
      <c r="S46" s="705">
        <f t="shared" si="12"/>
        <v>100</v>
      </c>
      <c r="T46" s="704" t="s">
        <v>14</v>
      </c>
      <c r="U46" s="705">
        <f t="shared" si="13"/>
        <v>100</v>
      </c>
      <c r="V46" s="704" t="s">
        <v>14</v>
      </c>
      <c r="W46" s="705">
        <f t="shared" si="14"/>
        <v>100</v>
      </c>
      <c r="X46" s="1354"/>
      <c r="Y46" s="3699"/>
      <c r="Z46" s="1355">
        <f t="shared" si="15"/>
        <v>111</v>
      </c>
      <c r="AA46" s="1352">
        <f t="shared" si="3"/>
        <v>1</v>
      </c>
      <c r="AB46" s="1352">
        <f t="shared" si="4"/>
        <v>1</v>
      </c>
      <c r="AC46" s="1352">
        <f t="shared" si="5"/>
        <v>1</v>
      </c>
    </row>
    <row r="47" spans="1:29" ht="15">
      <c r="A47" s="430" t="s">
        <v>1706</v>
      </c>
      <c r="B47" s="431"/>
      <c r="C47" s="1153" t="s">
        <v>0</v>
      </c>
      <c r="D47" s="1154"/>
      <c r="E47" s="1155">
        <v>30000</v>
      </c>
      <c r="F47" s="1156"/>
      <c r="G47" s="1157">
        <v>30000</v>
      </c>
      <c r="H47" s="1158"/>
      <c r="I47" s="1155">
        <v>30000</v>
      </c>
      <c r="J47" s="1158"/>
      <c r="K47" s="713"/>
      <c r="L47" s="2723"/>
      <c r="M47" s="2724"/>
      <c r="N47" s="2715"/>
      <c r="O47" s="2724"/>
      <c r="P47" s="3686" t="str">
        <f>A47</f>
        <v>成交单价（元/平方米）</v>
      </c>
      <c r="Q47" s="3686"/>
      <c r="R47" s="3700">
        <f>E47</f>
        <v>30000</v>
      </c>
      <c r="S47" s="3700"/>
      <c r="T47" s="3700">
        <f>G47</f>
        <v>30000</v>
      </c>
      <c r="U47" s="3700"/>
      <c r="V47" s="3700">
        <f>I47</f>
        <v>30000</v>
      </c>
      <c r="W47" s="3700"/>
      <c r="X47" s="689"/>
      <c r="Y47" s="711"/>
      <c r="Z47" s="689"/>
      <c r="AA47" s="689"/>
      <c r="AB47" s="689"/>
      <c r="AC47" s="689"/>
    </row>
    <row r="48" spans="1:29" ht="15.75" thickBot="1">
      <c r="A48" s="437" t="s">
        <v>1791</v>
      </c>
      <c r="B48" s="438"/>
      <c r="C48" s="1159" t="e">
        <f>R49</f>
        <v>#DIV/0!</v>
      </c>
      <c r="D48" s="2316" t="s">
        <v>2135</v>
      </c>
      <c r="E48" s="1160" t="e">
        <f>R48</f>
        <v>#DIV/0!</v>
      </c>
      <c r="F48" s="2317"/>
      <c r="G48" s="1159" t="e">
        <f>T48</f>
        <v>#DIV/0!</v>
      </c>
      <c r="H48" s="2317"/>
      <c r="I48" s="1160" t="e">
        <f>V48</f>
        <v>#DIV/0!</v>
      </c>
      <c r="J48" s="2317"/>
      <c r="K48" s="2319">
        <f>F48+H48+J48</f>
        <v>0</v>
      </c>
      <c r="L48" s="2723"/>
      <c r="M48" s="2724"/>
      <c r="N48" s="2715"/>
      <c r="O48" s="2724"/>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689"/>
      <c r="Y48" s="689"/>
      <c r="Z48" s="689"/>
      <c r="AA48" s="689"/>
      <c r="AB48" s="689"/>
      <c r="AC48" s="689"/>
    </row>
    <row r="49" spans="1:29" ht="15.75" thickBot="1">
      <c r="A49" s="441" t="s">
        <v>1792</v>
      </c>
      <c r="B49" s="442"/>
      <c r="C49" s="1162" t="e">
        <f>R49</f>
        <v>#DIV/0!</v>
      </c>
      <c r="D49" s="1162"/>
      <c r="E49" s="1162"/>
      <c r="F49" s="1162"/>
      <c r="G49" s="1162"/>
      <c r="H49" s="1162"/>
      <c r="I49" s="1162"/>
      <c r="J49" s="1162"/>
      <c r="K49" s="714"/>
      <c r="L49" s="2723"/>
      <c r="M49" s="2724"/>
      <c r="N49" s="2715"/>
      <c r="O49" s="2724"/>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1795</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1796</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1677</v>
      </c>
      <c r="B58" s="455"/>
      <c r="C58" s="1183" t="str">
        <f>YEAR(C7)&amp;"-"&amp;MONTH(C7)</f>
        <v>2024-6</v>
      </c>
      <c r="D58" s="1184">
        <f>EDATE(C58,-1)</f>
        <v>45413</v>
      </c>
      <c r="E58" s="1184">
        <f t="shared" ref="E58:N58" si="16">EDATE(D58,-1)</f>
        <v>45383</v>
      </c>
      <c r="F58" s="1184">
        <f t="shared" si="16"/>
        <v>45352</v>
      </c>
      <c r="G58" s="1184">
        <f t="shared" si="16"/>
        <v>45323</v>
      </c>
      <c r="H58" s="1184">
        <f t="shared" si="16"/>
        <v>45292</v>
      </c>
      <c r="I58" s="1184">
        <f t="shared" si="16"/>
        <v>45261</v>
      </c>
      <c r="J58" s="1184">
        <f t="shared" si="16"/>
        <v>45231</v>
      </c>
      <c r="K58" s="1184">
        <f t="shared" si="16"/>
        <v>45200</v>
      </c>
      <c r="L58" s="1184">
        <f t="shared" si="16"/>
        <v>45170</v>
      </c>
      <c r="M58" s="1184">
        <f t="shared" si="16"/>
        <v>45139</v>
      </c>
      <c r="N58" s="1184">
        <f t="shared" si="16"/>
        <v>45108</v>
      </c>
      <c r="O58" s="1184">
        <f>EDATE(N58,-1)</f>
        <v>45078</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1714</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1679</v>
      </c>
      <c r="B61" s="459"/>
      <c r="C61" s="471" t="s">
        <v>1774</v>
      </c>
      <c r="D61" s="3451"/>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1717</v>
      </c>
      <c r="B63" s="477" t="s">
        <v>1683</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1686</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1687</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1688</v>
      </c>
      <c r="B76" s="477" t="s">
        <v>1718</v>
      </c>
      <c r="C76" s="522" t="s">
        <v>1719</v>
      </c>
      <c r="D76" s="522" t="s">
        <v>1720</v>
      </c>
      <c r="E76" s="522" t="s">
        <v>1721</v>
      </c>
      <c r="F76" s="522" t="s">
        <v>1722</v>
      </c>
      <c r="G76" s="522" t="s">
        <v>1723</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1724</v>
      </c>
      <c r="C78" s="527" t="s">
        <v>1719</v>
      </c>
      <c r="D78" s="527" t="s">
        <v>1720</v>
      </c>
      <c r="E78" s="527" t="s">
        <v>1721</v>
      </c>
      <c r="F78" s="527" t="s">
        <v>1722</v>
      </c>
      <c r="G78" s="527" t="s">
        <v>1723</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1725</v>
      </c>
      <c r="C80" s="527" t="s">
        <v>1719</v>
      </c>
      <c r="D80" s="527" t="s">
        <v>1720</v>
      </c>
      <c r="E80" s="527" t="s">
        <v>1721</v>
      </c>
      <c r="F80" s="527" t="s">
        <v>1722</v>
      </c>
      <c r="G80" s="527" t="s">
        <v>1723</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1777</v>
      </c>
      <c r="C82" s="607" t="s">
        <v>1797</v>
      </c>
      <c r="D82" s="607" t="s">
        <v>1798</v>
      </c>
      <c r="E82" s="607" t="s">
        <v>1799</v>
      </c>
      <c r="F82" s="607" t="s">
        <v>1800</v>
      </c>
      <c r="G82" s="607" t="s">
        <v>1801</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1731</v>
      </c>
      <c r="C84" s="527" t="s">
        <v>1719</v>
      </c>
      <c r="D84" s="527" t="s">
        <v>1720</v>
      </c>
      <c r="E84" s="527" t="s">
        <v>1721</v>
      </c>
      <c r="F84" s="527" t="s">
        <v>1722</v>
      </c>
      <c r="G84" s="527" t="s">
        <v>1723</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1802</v>
      </c>
      <c r="C86" s="3449" t="s">
        <v>3396</v>
      </c>
      <c r="D86" s="3449" t="s">
        <v>3398</v>
      </c>
      <c r="E86" s="3449" t="s">
        <v>3399</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3400</v>
      </c>
      <c r="D88" s="503" t="s">
        <v>3401</v>
      </c>
      <c r="E88" s="503" t="s">
        <v>3402</v>
      </c>
      <c r="F88" s="1926" t="s">
        <v>3403</v>
      </c>
      <c r="G88" s="503" t="s">
        <v>3404</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3400</v>
      </c>
      <c r="D90" s="503" t="s">
        <v>3401</v>
      </c>
      <c r="E90" s="503" t="s">
        <v>3402</v>
      </c>
      <c r="F90" s="503" t="s">
        <v>3403</v>
      </c>
      <c r="G90" s="503" t="s">
        <v>3404</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3427</v>
      </c>
      <c r="D92" s="503" t="s">
        <v>3428</v>
      </c>
      <c r="E92" s="503" t="s">
        <v>3429</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75</v>
      </c>
      <c r="E93" s="485">
        <v>85</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1692</v>
      </c>
      <c r="B100" s="477" t="s">
        <v>1803</v>
      </c>
      <c r="C100" s="3450" t="s">
        <v>3405</v>
      </c>
      <c r="D100" s="3450" t="s">
        <v>3406</v>
      </c>
      <c r="E100" s="3450" t="s">
        <v>3419</v>
      </c>
      <c r="F100" s="3450" t="s">
        <v>3434</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1735</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1736</v>
      </c>
      <c r="C105" s="3449" t="s">
        <v>3408</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1738</v>
      </c>
      <c r="C107" s="503" t="s">
        <v>3409</v>
      </c>
      <c r="D107" s="503" t="s">
        <v>3410</v>
      </c>
      <c r="E107" s="503" t="s">
        <v>3411</v>
      </c>
      <c r="F107" s="532" t="s">
        <v>3412</v>
      </c>
      <c r="G107" s="532" t="s">
        <v>3413</v>
      </c>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1740</v>
      </c>
      <c r="C112" s="503" t="s">
        <v>3409</v>
      </c>
      <c r="D112" s="503" t="s">
        <v>3410</v>
      </c>
      <c r="E112" s="503" t="s">
        <v>3411</v>
      </c>
      <c r="F112" s="503" t="s">
        <v>3412</v>
      </c>
      <c r="G112" s="503" t="s">
        <v>3413</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1804</v>
      </c>
      <c r="C114" s="3449" t="s">
        <v>3415</v>
      </c>
      <c r="D114" s="3449" t="s">
        <v>3417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1805</v>
      </c>
      <c r="C116" s="3449" t="s">
        <v>3420</v>
      </c>
      <c r="D116" s="3449" t="s">
        <v>3422</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1806</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1807</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1742</v>
      </c>
      <c r="C122" s="3449" t="s">
        <v>3424</v>
      </c>
      <c r="D122" s="3449" t="s">
        <v>3425</v>
      </c>
      <c r="E122" s="3449" t="s">
        <v>3426</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82" priority="21" stopIfTrue="1" operator="containsText" text="超过">
      <formula>NOT(ISERROR(SEARCH("超过",F52)))</formula>
    </cfRule>
  </conditionalFormatting>
  <conditionalFormatting sqref="H54">
    <cfRule type="containsText" dxfId="181" priority="19" stopIfTrue="1" operator="containsText" text="超过">
      <formula>NOT(ISERROR(SEARCH("超过",H54)))</formula>
    </cfRule>
  </conditionalFormatting>
  <conditionalFormatting sqref="F54">
    <cfRule type="containsText" dxfId="180" priority="18" stopIfTrue="1" operator="containsText" text="超过">
      <formula>NOT(ISERROR(SEARCH("超过",F54)))</formula>
    </cfRule>
  </conditionalFormatting>
  <conditionalFormatting sqref="F53 H53">
    <cfRule type="containsText" dxfId="179" priority="17" stopIfTrue="1" operator="containsText" text="超过">
      <formula>NOT(ISERROR(SEARCH("超过",F53)))</formula>
    </cfRule>
  </conditionalFormatting>
  <conditionalFormatting sqref="E52">
    <cfRule type="expression" dxfId="178" priority="16" stopIfTrue="1">
      <formula>$F$52="超过30%"</formula>
    </cfRule>
  </conditionalFormatting>
  <conditionalFormatting sqref="E53">
    <cfRule type="expression" dxfId="177" priority="15" stopIfTrue="1">
      <formula>$F$53="超过20%"</formula>
    </cfRule>
  </conditionalFormatting>
  <conditionalFormatting sqref="E54">
    <cfRule type="expression" dxfId="176" priority="14" stopIfTrue="1">
      <formula>$F$54="超过30%"</formula>
    </cfRule>
  </conditionalFormatting>
  <conditionalFormatting sqref="G54">
    <cfRule type="expression" dxfId="175" priority="13" stopIfTrue="1">
      <formula>$H$54="超过30%"</formula>
    </cfRule>
  </conditionalFormatting>
  <conditionalFormatting sqref="G52">
    <cfRule type="expression" dxfId="174" priority="12" stopIfTrue="1">
      <formula>$H$52="超过30%"</formula>
    </cfRule>
  </conditionalFormatting>
  <conditionalFormatting sqref="G53">
    <cfRule type="expression" dxfId="173" priority="11" stopIfTrue="1">
      <formula>$H$53="超过20%"</formula>
    </cfRule>
  </conditionalFormatting>
  <conditionalFormatting sqref="J52">
    <cfRule type="containsText" dxfId="172" priority="10" stopIfTrue="1" operator="containsText" text="超过">
      <formula>NOT(ISERROR(SEARCH("超过",J52)))</formula>
    </cfRule>
  </conditionalFormatting>
  <conditionalFormatting sqref="J54">
    <cfRule type="containsText" dxfId="171" priority="9" stopIfTrue="1" operator="containsText" text="超过">
      <formula>NOT(ISERROR(SEARCH("超过",J54)))</formula>
    </cfRule>
  </conditionalFormatting>
  <conditionalFormatting sqref="J53">
    <cfRule type="containsText" dxfId="170" priority="8" stopIfTrue="1" operator="containsText" text="超过">
      <formula>NOT(ISERROR(SEARCH("超过",J53)))</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E8" zoomScale="70" zoomScaleNormal="70" zoomScaleSheetLayoutView="70" workbookViewId="0">
      <selection activeCell="O52" sqref="O5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9"/>
      <c r="C1" s="1858" t="s">
        <v>1561</v>
      </c>
      <c r="D1" s="198"/>
      <c r="E1" s="198"/>
      <c r="F1" s="198"/>
      <c r="G1" s="1125">
        <f>MATCH(B1,'数据-取费表'!A6:A16,0)+5</f>
        <v>7</v>
      </c>
      <c r="H1" s="1060" t="str">
        <f>IF(ISERROR(FIND("住宅",B1)),"非住宅","住宅")</f>
        <v>非住宅</v>
      </c>
    </row>
    <row r="2" spans="1:8" s="200" customFormat="1" ht="18" customHeight="1">
      <c r="A2" s="201" t="s">
        <v>1460</v>
      </c>
      <c r="B2" s="3423">
        <f ca="1">ROUND(IF(D2="——",C52/10000,C52/10000-E2),4)</f>
        <v>2056.0934000000002</v>
      </c>
      <c r="C2" s="199" t="s">
        <v>1461</v>
      </c>
      <c r="D2" s="1852" t="s">
        <v>43</v>
      </c>
      <c r="E2" s="1168" t="e">
        <f ca="1">SUMIF(INDIRECT("'"&amp;G2&amp;"'"&amp;"!A:A"),"承租人权益价值",INDIRECT("'"&amp;G2&amp;"'"&amp;"!c:c"))</f>
        <v>#REF!</v>
      </c>
      <c r="F2" s="1853" t="s">
        <v>1461</v>
      </c>
      <c r="G2" s="1854"/>
    </row>
    <row r="3" spans="1:8" s="200" customFormat="1" ht="18" customHeight="1" thickBot="1">
      <c r="A3" s="203" t="s">
        <v>1462</v>
      </c>
      <c r="B3" s="204">
        <f ca="1">ROUND(B2*10000/(IF(B1="",'数据-汇总表'!E3,INDIRECT("'数据-取费表'!k"&amp;$G$1))),0)</f>
        <v>8606</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6566158</v>
      </c>
      <c r="D5" s="211" t="s">
        <v>1467</v>
      </c>
      <c r="E5" s="212" t="s">
        <v>1468</v>
      </c>
      <c r="F5" s="212" t="s">
        <v>1469</v>
      </c>
      <c r="G5" s="213"/>
    </row>
    <row r="6" spans="1:8" s="214" customFormat="1" ht="13.5" customHeight="1">
      <c r="A6" s="777" t="s">
        <v>1470</v>
      </c>
      <c r="B6" s="215" t="s">
        <v>1471</v>
      </c>
      <c r="C6" s="216">
        <f>ROUND(基准地价修正!T2*基准地价修正!U2+基准地价修正!T3*基准地价修正!U3,0)</f>
        <v>5908113</v>
      </c>
      <c r="D6" s="217"/>
      <c r="E6" s="218"/>
      <c r="F6" s="218"/>
      <c r="G6" s="219"/>
    </row>
    <row r="7" spans="1:8" s="214" customFormat="1" ht="13.5" customHeight="1">
      <c r="A7" s="777" t="s">
        <v>1472</v>
      </c>
      <c r="B7" s="215" t="s">
        <v>1473</v>
      </c>
      <c r="C7" s="220">
        <f>ROUND(C6*F7,0)</f>
        <v>180197</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477848</v>
      </c>
      <c r="D8" s="222"/>
      <c r="E8" s="220"/>
      <c r="F8" s="221"/>
      <c r="G8" s="1855" t="s">
        <v>3436</v>
      </c>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1478</v>
      </c>
      <c r="C10" s="225">
        <f ca="1">ROUND(D10*E10,0)</f>
        <v>477848</v>
      </c>
      <c r="D10" s="844">
        <f ca="1">IF(B1="",'数据-汇总表'!E6,IF(INDIRECT("'数据-取费表'!c"&amp;$G$1)="住宅",INDIRECT("'数据-取费表'!s"&amp;$G$1),INDIRECT("'数据-取费表'!k"&amp;$G$1)+INDIRECT("'数据-取费表'!s"&amp;$G$1)))</f>
        <v>2389.2399999999998</v>
      </c>
      <c r="E10" s="225">
        <f>'数据-取费表'!B28</f>
        <v>200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2389.2399999999998</v>
      </c>
      <c r="E19" s="211">
        <f>'数据-取费表'!B31</f>
        <v>200</v>
      </c>
      <c r="F19" s="231"/>
      <c r="G19" s="1855" t="s">
        <v>3437</v>
      </c>
    </row>
    <row r="20" spans="1:7" s="214" customFormat="1" ht="13.5" customHeight="1">
      <c r="A20" s="255" t="s">
        <v>1572</v>
      </c>
      <c r="B20" s="210" t="s">
        <v>1573</v>
      </c>
      <c r="C20" s="232">
        <f ca="1">ROUND((C5+C19)*F20,0)</f>
        <v>131323</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6">
        <f ca="1">ROUND(SUM(C23:C25),0)</f>
        <v>465411</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9" t="s">
        <v>1470</v>
      </c>
      <c r="B23" s="215" t="s">
        <v>1581</v>
      </c>
      <c r="C23" s="1127">
        <f ca="1">ROUND(IF('数据-取费表'!B22&lt;=1,C5*F22*'数据-取费表'!B22,C5*(POWER((1+F22),'数据-取费表'!B22)-1)),0)</f>
        <v>460880</v>
      </c>
      <c r="D23" s="238"/>
      <c r="E23" s="238"/>
      <c r="F23" s="239"/>
      <c r="G23" s="240" t="s">
        <v>1582</v>
      </c>
    </row>
    <row r="24" spans="1:7" s="214" customFormat="1" ht="13.5" customHeight="1">
      <c r="A24" s="779" t="s">
        <v>1472</v>
      </c>
      <c r="B24" s="215" t="s">
        <v>1583</v>
      </c>
      <c r="C24" s="1127">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7">
        <f ca="1">ROUND(IF('数据-取费表'!B22&lt;=1,C20*F22*'数据-取费表'!B22/2,C20*(POWER((1+F22),'数据-取费表'!B22/2)-1)),0)</f>
        <v>4531</v>
      </c>
      <c r="D25" s="238"/>
      <c r="E25" s="241"/>
      <c r="F25" s="239"/>
      <c r="G25" s="242" t="s">
        <v>1586</v>
      </c>
    </row>
    <row r="26" spans="1:7" s="214" customFormat="1">
      <c r="A26" s="779"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669748</v>
      </c>
      <c r="D27" s="235">
        <f ca="1">C29</f>
        <v>2E-3</v>
      </c>
      <c r="E27" s="236" t="s">
        <v>1512</v>
      </c>
      <c r="F27" s="246">
        <f ca="1">IF(B1="",'数据-取费表'!Q16,INDIRECT("'数据-取费表'!q"&amp;$G$1))</f>
        <v>0.1</v>
      </c>
      <c r="G27" s="247" t="s">
        <v>1513</v>
      </c>
    </row>
    <row r="28" spans="1:7" s="214" customFormat="1" ht="13.5" customHeight="1">
      <c r="A28" s="779" t="s">
        <v>346</v>
      </c>
      <c r="B28" s="248" t="s">
        <v>1514</v>
      </c>
      <c r="C28" s="249">
        <f ca="1">ROUND((C5+C19+C20)*F27,0)</f>
        <v>669748</v>
      </c>
      <c r="D28" s="235"/>
      <c r="E28" s="236"/>
      <c r="F28" s="246"/>
      <c r="G28" s="247"/>
    </row>
    <row r="29" spans="1:7" s="214" customFormat="1" ht="13.5" customHeight="1">
      <c r="A29" s="779" t="s">
        <v>347</v>
      </c>
      <c r="B29" s="248" t="s">
        <v>1515</v>
      </c>
      <c r="C29" s="238">
        <f ca="1">ROUND(C21*F27,4)</f>
        <v>2E-3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8476883</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11767007</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10751580</v>
      </c>
      <c r="D34" s="217"/>
      <c r="E34" s="220"/>
      <c r="F34" s="257"/>
      <c r="G34" s="219"/>
    </row>
    <row r="35" spans="1:7" ht="13.5" customHeight="1">
      <c r="A35" s="779" t="s">
        <v>351</v>
      </c>
      <c r="B35" s="215" t="s">
        <v>1525</v>
      </c>
      <c r="C35" s="220">
        <f ca="1">ROUND(C34*F35,0)</f>
        <v>322547</v>
      </c>
      <c r="D35" s="220"/>
      <c r="E35" s="220"/>
      <c r="F35" s="259">
        <f>'数据-取费表'!B33</f>
        <v>0.03</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477848</v>
      </c>
      <c r="D37" s="217">
        <f ca="1">D19</f>
        <v>2389.2399999999998</v>
      </c>
      <c r="E37" s="249">
        <f>'数据-取费表'!B35</f>
        <v>200</v>
      </c>
      <c r="F37" s="259"/>
      <c r="G37" s="261"/>
    </row>
    <row r="38" spans="1:7" ht="13.5" customHeight="1">
      <c r="A38" s="779" t="s">
        <v>354</v>
      </c>
      <c r="B38" s="215" t="s">
        <v>1531</v>
      </c>
      <c r="C38" s="220">
        <f ca="1">ROUND(C34*F38,0)</f>
        <v>215032</v>
      </c>
      <c r="D38" s="220"/>
      <c r="E38" s="220"/>
      <c r="F38" s="259">
        <f>'数据-取费表'!B36</f>
        <v>0.02</v>
      </c>
      <c r="G38" s="219" t="s">
        <v>1526</v>
      </c>
    </row>
    <row r="39" spans="1:7" s="214" customFormat="1" ht="13.5" customHeight="1">
      <c r="A39" s="255" t="s">
        <v>1532</v>
      </c>
      <c r="B39" s="210" t="s">
        <v>1533</v>
      </c>
      <c r="C39" s="232">
        <f ca="1">ROUND(C33*F20,0)</f>
        <v>235340</v>
      </c>
      <c r="D39" s="232"/>
      <c r="E39" s="232"/>
      <c r="F39" s="233">
        <f>F20</f>
        <v>0.02</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f ca="1">ROUND(SUM(C42:C43),0)</f>
        <v>414081</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405962</v>
      </c>
      <c r="D42" s="238"/>
      <c r="E42" s="238"/>
      <c r="F42" s="239"/>
      <c r="G42" s="3678" t="s">
        <v>1589</v>
      </c>
    </row>
    <row r="43" spans="1:7" ht="13.5" customHeight="1">
      <c r="A43" s="779" t="s">
        <v>347</v>
      </c>
      <c r="B43" s="215" t="s">
        <v>1543</v>
      </c>
      <c r="C43" s="238">
        <f ca="1">ROUND(IF('数据-取费表'!B22&lt;=1,C39*F22*'数据-取费表'!B20/2,C39*(POWER((1+F22),'数据-取费表'!B20/2)-1)),0)</f>
        <v>8119</v>
      </c>
      <c r="D43" s="238"/>
      <c r="E43" s="238"/>
      <c r="F43" s="239"/>
      <c r="G43" s="3679"/>
    </row>
    <row r="44" spans="1:7" ht="13.5" customHeight="1">
      <c r="A44" s="779" t="s">
        <v>348</v>
      </c>
      <c r="B44" s="215" t="s">
        <v>1544</v>
      </c>
      <c r="C44" s="238">
        <f ca="1">ROUND(IF('数据-取费表'!B22&lt;=1,C40*F22*'数据-取费表'!B20/2,C40*(POWER((1+F22),'数据-取费表'!B20/2)-1)),4)</f>
        <v>6.9999999999999999E-4</v>
      </c>
      <c r="D44" s="238"/>
      <c r="E44" s="238"/>
      <c r="F44" s="239"/>
      <c r="G44" s="3680"/>
    </row>
    <row r="45" spans="1:7" s="214" customFormat="1" ht="13.5" customHeight="1">
      <c r="A45" s="255" t="s">
        <v>1545</v>
      </c>
      <c r="B45" s="244" t="s">
        <v>1511</v>
      </c>
      <c r="C45" s="245">
        <f ca="1">C46</f>
        <v>1200235</v>
      </c>
      <c r="D45" s="235">
        <f ca="1">C47</f>
        <v>2E-3</v>
      </c>
      <c r="E45" s="236" t="s">
        <v>1537</v>
      </c>
      <c r="F45" s="246">
        <f ca="1">F27</f>
        <v>0.1</v>
      </c>
      <c r="G45" s="247" t="s">
        <v>1546</v>
      </c>
    </row>
    <row r="46" spans="1:7" s="214" customFormat="1" ht="13.5" customHeight="1">
      <c r="A46" s="779" t="s">
        <v>346</v>
      </c>
      <c r="B46" s="248" t="s">
        <v>1547</v>
      </c>
      <c r="C46" s="249">
        <f ca="1">ROUND((C33+C39)*F27,0)</f>
        <v>1200235</v>
      </c>
      <c r="D46" s="263"/>
      <c r="E46" s="236"/>
      <c r="F46" s="246"/>
      <c r="G46" s="247"/>
    </row>
    <row r="47" spans="1:7" s="214" customFormat="1" ht="13.5" customHeight="1">
      <c r="A47" s="779" t="s">
        <v>347</v>
      </c>
      <c r="B47" s="248" t="s">
        <v>1548</v>
      </c>
      <c r="C47" s="238">
        <f ca="1">ROUND(C40*F27,4)</f>
        <v>2E-3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14736648</v>
      </c>
      <c r="D49" s="232"/>
      <c r="E49" s="232"/>
      <c r="F49" s="264"/>
      <c r="G49" s="234" t="s">
        <v>1552</v>
      </c>
    </row>
    <row r="50" spans="1:7" s="258" customFormat="1">
      <c r="A50" s="255" t="s">
        <v>1553</v>
      </c>
      <c r="B50" s="210" t="s">
        <v>1554</v>
      </c>
      <c r="C50" s="232"/>
      <c r="D50" s="232"/>
      <c r="E50" s="232"/>
      <c r="F50" s="264">
        <f>IF('数据-取费表'!B24=0,'数据-取费表'!N16,1)</f>
        <v>0.82</v>
      </c>
      <c r="G50" s="247"/>
    </row>
    <row r="51" spans="1:7" ht="16.5" customHeight="1">
      <c r="A51" s="255" t="s">
        <v>1556</v>
      </c>
      <c r="B51" s="210" t="s">
        <v>1591</v>
      </c>
      <c r="C51" s="232">
        <f ca="1">ROUND(C49*F50,0)</f>
        <v>12084051</v>
      </c>
      <c r="D51" s="232"/>
      <c r="E51" s="232"/>
      <c r="F51" s="264"/>
      <c r="G51" s="234" t="s">
        <v>1558</v>
      </c>
    </row>
    <row r="52" spans="1:7" s="208" customFormat="1" ht="16.5" thickBot="1">
      <c r="A52" s="265" t="s">
        <v>1559</v>
      </c>
      <c r="B52" s="266"/>
      <c r="C52" s="267">
        <f ca="1">C31+C51</f>
        <v>20560934</v>
      </c>
      <c r="D52" s="266"/>
      <c r="E52" s="266"/>
      <c r="F52" s="266"/>
      <c r="G52" s="268"/>
    </row>
    <row r="55" spans="1:7" ht="15">
      <c r="B55" s="270" t="s">
        <v>1560</v>
      </c>
      <c r="C55" s="271"/>
    </row>
    <row r="56" spans="1:7">
      <c r="B56" s="273" t="s">
        <v>802</v>
      </c>
      <c r="C56" s="275">
        <f ca="1">1-C57</f>
        <v>0.41200000000000003</v>
      </c>
    </row>
    <row r="57" spans="1:7">
      <c r="B57" s="273" t="s">
        <v>803</v>
      </c>
      <c r="C57" s="274">
        <f ca="1">ROUND(C51/C52,3)</f>
        <v>0.58799999999999997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3" zoomScale="85" zoomScaleNormal="70" zoomScaleSheetLayoutView="85" workbookViewId="0">
      <selection activeCell="D129" sqref="D12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1808</v>
      </c>
      <c r="C1" s="1223" t="s">
        <v>1660</v>
      </c>
      <c r="D1" s="1224" t="s">
        <v>21</v>
      </c>
      <c r="E1" s="3432" t="s">
        <v>3392</v>
      </c>
      <c r="F1" s="1878" t="s">
        <v>3393</v>
      </c>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f>IF(E1="项目模式",IF(C2="——",ROUND(C50*D3/10000,0),ROUND(C50*D3/10000,0)-D2),IF(E1="单套模式",IF(C2="——",ROUND(C50*D3/10000,4),ROUND(C50*D3/10000,4)-D2)))</f>
        <v>2620.9962999999998</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10970</v>
      </c>
      <c r="C3" s="354" t="s">
        <v>1766</v>
      </c>
      <c r="D3" s="353">
        <f>IF(D1="",'数据-汇总表'!E3,SUMIF('数据-汇总表'!$C19:$C33,D1,'数据-汇总表'!$E19:$E33))</f>
        <v>2389.2399999999998</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1767</v>
      </c>
      <c r="B4" s="356"/>
      <c r="C4" s="3705" t="s">
        <v>1768</v>
      </c>
      <c r="D4" s="3706"/>
      <c r="E4" s="3707" t="s">
        <v>1769</v>
      </c>
      <c r="F4" s="3708"/>
      <c r="G4" s="3705" t="s">
        <v>1770</v>
      </c>
      <c r="H4" s="3706"/>
      <c r="I4" s="3705" t="s">
        <v>1771</v>
      </c>
      <c r="J4" s="3706"/>
      <c r="K4" s="559" t="s">
        <v>1772</v>
      </c>
      <c r="L4" s="2714"/>
      <c r="M4" s="2715"/>
      <c r="N4" s="2715"/>
      <c r="O4" s="2715"/>
      <c r="P4" s="3738" t="s">
        <v>1773</v>
      </c>
      <c r="Q4" s="3739"/>
      <c r="R4" s="3742" t="s">
        <v>1769</v>
      </c>
      <c r="S4" s="3743"/>
      <c r="T4" s="3742" t="s">
        <v>1770</v>
      </c>
      <c r="U4" s="3743"/>
      <c r="V4" s="3744" t="s">
        <v>1771</v>
      </c>
      <c r="W4" s="3744"/>
      <c r="X4" s="1957"/>
      <c r="Y4" s="3742" t="s">
        <v>1773</v>
      </c>
      <c r="Z4" s="3743"/>
      <c r="AA4" s="3746" t="s">
        <v>1769</v>
      </c>
      <c r="AB4" s="3746" t="s">
        <v>1770</v>
      </c>
      <c r="AC4" s="3735" t="s">
        <v>1771</v>
      </c>
    </row>
    <row r="5" spans="1:29" ht="15">
      <c r="A5" s="358"/>
      <c r="B5" s="359"/>
      <c r="C5" s="3723" t="s">
        <v>1671</v>
      </c>
      <c r="D5" s="3724"/>
      <c r="E5" s="3730" t="s">
        <v>1672</v>
      </c>
      <c r="F5" s="3731"/>
      <c r="G5" s="3723" t="s">
        <v>1673</v>
      </c>
      <c r="H5" s="3724"/>
      <c r="I5" s="3723" t="s">
        <v>1674</v>
      </c>
      <c r="J5" s="3724"/>
      <c r="K5" s="559"/>
      <c r="L5" s="2714"/>
      <c r="M5" s="2715"/>
      <c r="N5" s="2715"/>
      <c r="O5" s="2715"/>
      <c r="P5" s="3740"/>
      <c r="Q5" s="3712"/>
      <c r="R5" s="3717"/>
      <c r="S5" s="3718"/>
      <c r="T5" s="3717"/>
      <c r="U5" s="3718"/>
      <c r="V5" s="3700"/>
      <c r="W5" s="3700"/>
      <c r="X5" s="1354"/>
      <c r="Y5" s="3717"/>
      <c r="Z5" s="3718"/>
      <c r="AA5" s="3703"/>
      <c r="AB5" s="3703"/>
      <c r="AC5" s="3736"/>
    </row>
    <row r="6" spans="1:29" ht="15.75" thickBot="1">
      <c r="A6" s="360"/>
      <c r="B6" s="361"/>
      <c r="C6" s="3721" t="s">
        <v>1675</v>
      </c>
      <c r="D6" s="3722"/>
      <c r="E6" s="3728" t="s">
        <v>1675</v>
      </c>
      <c r="F6" s="3729"/>
      <c r="G6" s="3721" t="s">
        <v>1675</v>
      </c>
      <c r="H6" s="3722"/>
      <c r="I6" s="3721" t="s">
        <v>1675</v>
      </c>
      <c r="J6" s="3722"/>
      <c r="K6" s="559" t="s">
        <v>1676</v>
      </c>
      <c r="L6" s="2714"/>
      <c r="M6" s="2715"/>
      <c r="N6" s="2715"/>
      <c r="O6" s="2715"/>
      <c r="P6" s="3741"/>
      <c r="Q6" s="3714"/>
      <c r="R6" s="3717"/>
      <c r="S6" s="3718"/>
      <c r="T6" s="3719"/>
      <c r="U6" s="3720"/>
      <c r="V6" s="3700"/>
      <c r="W6" s="3700"/>
      <c r="X6" s="1354"/>
      <c r="Y6" s="3719"/>
      <c r="Z6" s="3720"/>
      <c r="AA6" s="3704"/>
      <c r="AB6" s="3704"/>
      <c r="AC6" s="3737"/>
    </row>
    <row r="7" spans="1:29" s="108" customFormat="1" ht="15.75" thickBot="1">
      <c r="A7" s="362" t="s">
        <v>1677</v>
      </c>
      <c r="B7" s="363"/>
      <c r="C7" s="364">
        <f>'数据-取费表'!B2</f>
        <v>45449</v>
      </c>
      <c r="D7" s="365">
        <v>100</v>
      </c>
      <c r="E7" s="366">
        <f>C7</f>
        <v>45449</v>
      </c>
      <c r="F7" s="367">
        <f>SUMIF(59:59,YEAR(E7)&amp;"-"&amp;MONTH(E7),60:60)</f>
        <v>100</v>
      </c>
      <c r="G7" s="366">
        <f>E7</f>
        <v>45449</v>
      </c>
      <c r="H7" s="365">
        <f>SUMIF(59:59,YEAR(G7)&amp;"-"&amp;MONTH(G7),60:60)</f>
        <v>100</v>
      </c>
      <c r="I7" s="366">
        <f>G7</f>
        <v>45449</v>
      </c>
      <c r="J7" s="365">
        <f>SUMIF(59:59,YEAR(I7)&amp;"-"&amp;MONTH(I7),60:60)</f>
        <v>100</v>
      </c>
      <c r="K7" s="560"/>
      <c r="L7" s="2716"/>
      <c r="M7" s="2717"/>
      <c r="N7" s="2717"/>
      <c r="O7" s="2717"/>
      <c r="P7" s="3745" t="s">
        <v>1678</v>
      </c>
      <c r="Q7" s="3727"/>
      <c r="R7" s="700" t="s">
        <v>14</v>
      </c>
      <c r="S7" s="701">
        <f t="shared" ref="S7:S15" si="0">F7</f>
        <v>100</v>
      </c>
      <c r="T7" s="700" t="s">
        <v>14</v>
      </c>
      <c r="U7" s="701">
        <f t="shared" ref="U7:U15" si="1">H7</f>
        <v>100</v>
      </c>
      <c r="V7" s="700" t="s">
        <v>14</v>
      </c>
      <c r="W7" s="701">
        <f t="shared" ref="W7:W15" si="2">J7</f>
        <v>100</v>
      </c>
      <c r="X7" s="702"/>
      <c r="Y7" s="3725" t="s">
        <v>1678</v>
      </c>
      <c r="Z7" s="3726"/>
      <c r="AA7" s="703">
        <f>D7/F7</f>
        <v>1</v>
      </c>
      <c r="AB7" s="703">
        <f>D7/H7</f>
        <v>1</v>
      </c>
      <c r="AC7" s="1958">
        <f>D7/J7</f>
        <v>1</v>
      </c>
    </row>
    <row r="8" spans="1:29" s="108" customFormat="1" ht="15.75" thickBot="1">
      <c r="A8" s="362" t="s">
        <v>1679</v>
      </c>
      <c r="B8" s="363"/>
      <c r="C8" s="368" t="s">
        <v>3394</v>
      </c>
      <c r="D8" s="365">
        <v>100</v>
      </c>
      <c r="E8" s="368" t="s">
        <v>3470</v>
      </c>
      <c r="F8" s="367">
        <f>SUMIF(62:62,E8,63:63)-SUMIF(62:62,C8,63:63)+100</f>
        <v>108</v>
      </c>
      <c r="G8" s="368" t="s">
        <v>3470</v>
      </c>
      <c r="H8" s="365">
        <f>SUMIF(62:62,G8,63:63)-SUMIF(62:62,C8,63:63)+100</f>
        <v>108</v>
      </c>
      <c r="I8" s="368" t="s">
        <v>3470</v>
      </c>
      <c r="J8" s="365">
        <f>SUMIF(62:62,I8,63:63)-SUMIF(62:62,C8,63:63)+100</f>
        <v>108</v>
      </c>
      <c r="K8" s="560"/>
      <c r="L8" s="2716"/>
      <c r="M8" s="2717"/>
      <c r="N8" s="2717"/>
      <c r="O8" s="2717"/>
      <c r="P8" s="3745" t="s">
        <v>1681</v>
      </c>
      <c r="Q8" s="3726"/>
      <c r="R8" s="700" t="s">
        <v>14</v>
      </c>
      <c r="S8" s="701">
        <f t="shared" si="0"/>
        <v>108</v>
      </c>
      <c r="T8" s="700" t="s">
        <v>14</v>
      </c>
      <c r="U8" s="701">
        <f t="shared" si="1"/>
        <v>108</v>
      </c>
      <c r="V8" s="700" t="s">
        <v>14</v>
      </c>
      <c r="W8" s="701">
        <f t="shared" si="2"/>
        <v>108</v>
      </c>
      <c r="X8" s="702"/>
      <c r="Y8" s="3725" t="s">
        <v>1681</v>
      </c>
      <c r="Z8" s="3726"/>
      <c r="AA8" s="703">
        <f t="shared" ref="AA8:AA47" si="3">D8/F8</f>
        <v>0.92592592592592593</v>
      </c>
      <c r="AB8" s="703">
        <f t="shared" ref="AB8:AB47" si="4">D8/H8</f>
        <v>0.92592592592592593</v>
      </c>
      <c r="AC8" s="1958">
        <f t="shared" ref="AC8:AC47" si="5">D8/J8</f>
        <v>0.92592592592592593</v>
      </c>
    </row>
    <row r="9" spans="1:29" s="108" customFormat="1">
      <c r="A9" s="369" t="s">
        <v>1682</v>
      </c>
      <c r="B9" s="63" t="s">
        <v>1683</v>
      </c>
      <c r="C9" s="3448" t="s">
        <v>3472</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701" t="s">
        <v>1684</v>
      </c>
      <c r="Q9" s="1342" t="str">
        <f t="shared" ref="Q9:Q15" si="6">B9</f>
        <v>用途</v>
      </c>
      <c r="R9" s="700" t="s">
        <v>14</v>
      </c>
      <c r="S9" s="701">
        <f t="shared" si="0"/>
        <v>100</v>
      </c>
      <c r="T9" s="700" t="s">
        <v>14</v>
      </c>
      <c r="U9" s="701">
        <f t="shared" si="1"/>
        <v>100</v>
      </c>
      <c r="V9" s="700" t="s">
        <v>14</v>
      </c>
      <c r="W9" s="701">
        <f t="shared" si="2"/>
        <v>100</v>
      </c>
      <c r="X9" s="702"/>
      <c r="Y9" s="3585" t="s">
        <v>1685</v>
      </c>
      <c r="Z9" s="52" t="str">
        <f t="shared" ref="Z9:Z15" si="7">Q9</f>
        <v>用途</v>
      </c>
      <c r="AA9" s="703">
        <f t="shared" si="3"/>
        <v>1</v>
      </c>
      <c r="AB9" s="703">
        <f t="shared" si="4"/>
        <v>1</v>
      </c>
      <c r="AC9" s="1958">
        <f t="shared" si="5"/>
        <v>1</v>
      </c>
    </row>
    <row r="10" spans="1:29" s="378" customFormat="1" ht="27">
      <c r="A10" s="374"/>
      <c r="B10" s="375" t="s">
        <v>1686</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01"/>
      <c r="Q10" s="1342" t="str">
        <f t="shared" si="6"/>
        <v>土地使用年限（年）</v>
      </c>
      <c r="R10" s="700" t="s">
        <v>14</v>
      </c>
      <c r="S10" s="701">
        <f t="shared" si="0"/>
        <v>100</v>
      </c>
      <c r="T10" s="700" t="s">
        <v>14</v>
      </c>
      <c r="U10" s="701">
        <f t="shared" si="1"/>
        <v>100</v>
      </c>
      <c r="V10" s="700" t="s">
        <v>14</v>
      </c>
      <c r="W10" s="701">
        <f t="shared" si="2"/>
        <v>100</v>
      </c>
      <c r="X10" s="702"/>
      <c r="Y10" s="3585"/>
      <c r="Z10" s="52" t="str">
        <f t="shared" si="7"/>
        <v>土地使用年限（年）</v>
      </c>
      <c r="AA10" s="703">
        <f t="shared" si="3"/>
        <v>1</v>
      </c>
      <c r="AB10" s="703">
        <f t="shared" si="4"/>
        <v>1</v>
      </c>
      <c r="AC10" s="1958">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1"/>
      <c r="Q11" s="1342" t="str">
        <f t="shared" si="6"/>
        <v>容积率</v>
      </c>
      <c r="R11" s="700" t="s">
        <v>14</v>
      </c>
      <c r="S11" s="701">
        <f t="shared" si="0"/>
        <v>100</v>
      </c>
      <c r="T11" s="700" t="s">
        <v>14</v>
      </c>
      <c r="U11" s="701">
        <f t="shared" si="1"/>
        <v>100</v>
      </c>
      <c r="V11" s="700" t="s">
        <v>14</v>
      </c>
      <c r="W11" s="701">
        <f t="shared" si="2"/>
        <v>100</v>
      </c>
      <c r="X11" s="702"/>
      <c r="Y11" s="3585"/>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01"/>
      <c r="Q12" s="1342">
        <f t="shared" si="6"/>
        <v>111</v>
      </c>
      <c r="R12" s="700" t="s">
        <v>14</v>
      </c>
      <c r="S12" s="701">
        <f t="shared" si="0"/>
        <v>100</v>
      </c>
      <c r="T12" s="700" t="s">
        <v>14</v>
      </c>
      <c r="U12" s="701">
        <f t="shared" si="1"/>
        <v>100</v>
      </c>
      <c r="V12" s="700" t="s">
        <v>14</v>
      </c>
      <c r="W12" s="701">
        <f t="shared" si="2"/>
        <v>100</v>
      </c>
      <c r="X12" s="702"/>
      <c r="Y12" s="3585"/>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01"/>
      <c r="Q13" s="1342">
        <f t="shared" si="6"/>
        <v>111</v>
      </c>
      <c r="R13" s="700" t="s">
        <v>14</v>
      </c>
      <c r="S13" s="701">
        <f t="shared" si="0"/>
        <v>100</v>
      </c>
      <c r="T13" s="700" t="s">
        <v>14</v>
      </c>
      <c r="U13" s="701">
        <f t="shared" si="1"/>
        <v>100</v>
      </c>
      <c r="V13" s="700" t="s">
        <v>14</v>
      </c>
      <c r="W13" s="701">
        <f t="shared" si="2"/>
        <v>100</v>
      </c>
      <c r="X13" s="702"/>
      <c r="Y13" s="3585"/>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701"/>
      <c r="Q14" s="1342">
        <f t="shared" si="6"/>
        <v>111</v>
      </c>
      <c r="R14" s="700" t="s">
        <v>14</v>
      </c>
      <c r="S14" s="701">
        <f t="shared" si="0"/>
        <v>100</v>
      </c>
      <c r="T14" s="700" t="s">
        <v>14</v>
      </c>
      <c r="U14" s="701">
        <f t="shared" si="1"/>
        <v>100</v>
      </c>
      <c r="V14" s="700" t="s">
        <v>14</v>
      </c>
      <c r="W14" s="701">
        <f t="shared" si="2"/>
        <v>100</v>
      </c>
      <c r="X14" s="702"/>
      <c r="Y14" s="3585"/>
      <c r="Z14" s="52">
        <f t="shared" si="7"/>
        <v>111</v>
      </c>
      <c r="AA14" s="703">
        <f t="shared" si="3"/>
        <v>1</v>
      </c>
      <c r="AB14" s="703">
        <f t="shared" si="4"/>
        <v>1</v>
      </c>
      <c r="AC14" s="1958">
        <f t="shared" si="5"/>
        <v>1</v>
      </c>
    </row>
    <row r="15" spans="1:29" ht="71.25">
      <c r="A15" s="391" t="s">
        <v>1688</v>
      </c>
      <c r="B15" s="576" t="s">
        <v>1809</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1" t="s">
        <v>1689</v>
      </c>
      <c r="Q15" s="1351" t="str">
        <f t="shared" si="6"/>
        <v>办公集聚程度</v>
      </c>
      <c r="R15" s="704" t="s">
        <v>14</v>
      </c>
      <c r="S15" s="705">
        <f t="shared" si="0"/>
        <v>100</v>
      </c>
      <c r="T15" s="704" t="s">
        <v>14</v>
      </c>
      <c r="U15" s="705">
        <f t="shared" si="1"/>
        <v>100</v>
      </c>
      <c r="V15" s="704" t="s">
        <v>14</v>
      </c>
      <c r="W15" s="705">
        <f t="shared" si="2"/>
        <v>100</v>
      </c>
      <c r="X15" s="1354"/>
      <c r="Y15" s="3693" t="s">
        <v>1689</v>
      </c>
      <c r="Z15" s="1355" t="str">
        <f t="shared" si="7"/>
        <v>办公集聚程度</v>
      </c>
      <c r="AA15" s="1352">
        <f t="shared" si="3"/>
        <v>1</v>
      </c>
      <c r="AB15" s="1352">
        <f t="shared" si="4"/>
        <v>1</v>
      </c>
      <c r="AC15" s="1961">
        <f t="shared" si="5"/>
        <v>1</v>
      </c>
    </row>
    <row r="16" spans="1:29" ht="15">
      <c r="A16" s="379"/>
      <c r="B16" s="577"/>
      <c r="C16" s="1903" t="s">
        <v>3401</v>
      </c>
      <c r="D16" s="399"/>
      <c r="E16" s="1903" t="s">
        <v>3401</v>
      </c>
      <c r="F16" s="399"/>
      <c r="G16" s="1903" t="s">
        <v>3401</v>
      </c>
      <c r="H16" s="401"/>
      <c r="I16" s="1903" t="s">
        <v>3401</v>
      </c>
      <c r="J16" s="399"/>
      <c r="K16" s="564"/>
      <c r="L16" s="2721"/>
      <c r="M16" s="2715"/>
      <c r="N16" s="2715"/>
      <c r="O16" s="2715"/>
      <c r="P16" s="3692"/>
      <c r="Q16" s="1351"/>
      <c r="R16" s="704"/>
      <c r="S16" s="705"/>
      <c r="T16" s="704"/>
      <c r="U16" s="705"/>
      <c r="V16" s="704"/>
      <c r="W16" s="705"/>
      <c r="X16" s="1354"/>
      <c r="Y16" s="3694"/>
      <c r="Z16" s="1355"/>
      <c r="AA16" s="1352">
        <v>1</v>
      </c>
      <c r="AB16" s="1352">
        <v>1</v>
      </c>
      <c r="AC16" s="1961">
        <v>1</v>
      </c>
    </row>
    <row r="17" spans="1:29" ht="71.25">
      <c r="A17" s="379"/>
      <c r="B17" s="578" t="s">
        <v>1257</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2"/>
      <c r="Q17" s="1351" t="str">
        <f>B17</f>
        <v>交通便捷度</v>
      </c>
      <c r="R17" s="704" t="s">
        <v>14</v>
      </c>
      <c r="S17" s="705">
        <f>F17</f>
        <v>100</v>
      </c>
      <c r="T17" s="704" t="s">
        <v>14</v>
      </c>
      <c r="U17" s="705">
        <f>H17</f>
        <v>100</v>
      </c>
      <c r="V17" s="704" t="s">
        <v>14</v>
      </c>
      <c r="W17" s="705">
        <f>J17</f>
        <v>100</v>
      </c>
      <c r="X17" s="1354"/>
      <c r="Y17" s="3694"/>
      <c r="Z17" s="1355" t="str">
        <f>Q17</f>
        <v>交通便捷度</v>
      </c>
      <c r="AA17" s="1352">
        <f t="shared" si="3"/>
        <v>1</v>
      </c>
      <c r="AB17" s="1352">
        <f t="shared" si="4"/>
        <v>1</v>
      </c>
      <c r="AC17" s="1961">
        <f t="shared" si="5"/>
        <v>1</v>
      </c>
    </row>
    <row r="18" spans="1:29" ht="15">
      <c r="A18" s="379"/>
      <c r="B18" s="579"/>
      <c r="C18" s="1903" t="s">
        <v>3401</v>
      </c>
      <c r="D18" s="401"/>
      <c r="E18" s="1903" t="s">
        <v>3401</v>
      </c>
      <c r="F18" s="401"/>
      <c r="G18" s="1903" t="s">
        <v>3401</v>
      </c>
      <c r="H18" s="399"/>
      <c r="I18" s="1903" t="s">
        <v>3401</v>
      </c>
      <c r="J18" s="399"/>
      <c r="K18" s="564"/>
      <c r="L18" s="2721"/>
      <c r="M18" s="2715"/>
      <c r="N18" s="2715"/>
      <c r="O18" s="2715"/>
      <c r="P18" s="3692"/>
      <c r="Q18" s="1351"/>
      <c r="R18" s="704"/>
      <c r="S18" s="705"/>
      <c r="T18" s="704"/>
      <c r="U18" s="705"/>
      <c r="V18" s="704"/>
      <c r="W18" s="705"/>
      <c r="X18" s="1354"/>
      <c r="Y18" s="3694"/>
      <c r="Z18" s="1355"/>
      <c r="AA18" s="1352">
        <v>1</v>
      </c>
      <c r="AB18" s="1352">
        <v>1</v>
      </c>
      <c r="AC18" s="1961">
        <v>1</v>
      </c>
    </row>
    <row r="19" spans="1:29" ht="42.75">
      <c r="A19" s="379"/>
      <c r="B19" s="578" t="s">
        <v>1810</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2"/>
      <c r="Q19" s="1351" t="str">
        <f>B19</f>
        <v>公共配套设施</v>
      </c>
      <c r="R19" s="704" t="s">
        <v>14</v>
      </c>
      <c r="S19" s="705">
        <f>F19</f>
        <v>100</v>
      </c>
      <c r="T19" s="704" t="s">
        <v>14</v>
      </c>
      <c r="U19" s="705">
        <f>H19</f>
        <v>100</v>
      </c>
      <c r="V19" s="704" t="s">
        <v>14</v>
      </c>
      <c r="W19" s="705">
        <f>J19</f>
        <v>100</v>
      </c>
      <c r="X19" s="1354"/>
      <c r="Y19" s="3694"/>
      <c r="Z19" s="1355" t="str">
        <f>Q19</f>
        <v>公共配套设施</v>
      </c>
      <c r="AA19" s="1352">
        <f t="shared" si="3"/>
        <v>1</v>
      </c>
      <c r="AB19" s="1352">
        <f t="shared" si="4"/>
        <v>1</v>
      </c>
      <c r="AC19" s="1961">
        <f t="shared" si="5"/>
        <v>1</v>
      </c>
    </row>
    <row r="20" spans="1:29" ht="15">
      <c r="A20" s="379"/>
      <c r="B20" s="579"/>
      <c r="C20" s="1903" t="s">
        <v>3401</v>
      </c>
      <c r="D20" s="399"/>
      <c r="E20" s="1903" t="s">
        <v>3401</v>
      </c>
      <c r="F20" s="399"/>
      <c r="G20" s="1903" t="s">
        <v>3401</v>
      </c>
      <c r="H20" s="399"/>
      <c r="I20" s="1903" t="s">
        <v>3401</v>
      </c>
      <c r="J20" s="399"/>
      <c r="K20" s="564"/>
      <c r="L20" s="2721"/>
      <c r="M20" s="2715"/>
      <c r="N20" s="2715"/>
      <c r="O20" s="2715"/>
      <c r="P20" s="3692"/>
      <c r="Q20" s="1351"/>
      <c r="R20" s="704"/>
      <c r="S20" s="705"/>
      <c r="T20" s="704"/>
      <c r="U20" s="705"/>
      <c r="V20" s="704"/>
      <c r="W20" s="705"/>
      <c r="X20" s="1354"/>
      <c r="Y20" s="3694"/>
      <c r="Z20" s="1355"/>
      <c r="AA20" s="1352">
        <v>1</v>
      </c>
      <c r="AB20" s="1352">
        <v>1</v>
      </c>
      <c r="AC20" s="1961">
        <v>1</v>
      </c>
    </row>
    <row r="21" spans="1:29" ht="28.5">
      <c r="A21" s="379"/>
      <c r="B21" s="580" t="s">
        <v>1811</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2"/>
      <c r="Q21" s="1351" t="str">
        <f>B21</f>
        <v>基础设施水平</v>
      </c>
      <c r="R21" s="704" t="s">
        <v>14</v>
      </c>
      <c r="S21" s="705">
        <f>F21</f>
        <v>100</v>
      </c>
      <c r="T21" s="704" t="s">
        <v>14</v>
      </c>
      <c r="U21" s="705">
        <f>H21</f>
        <v>100</v>
      </c>
      <c r="V21" s="704" t="s">
        <v>14</v>
      </c>
      <c r="W21" s="705">
        <f>J21</f>
        <v>100</v>
      </c>
      <c r="X21" s="1354"/>
      <c r="Y21" s="3694"/>
      <c r="Z21" s="1355" t="str">
        <f>Q21</f>
        <v>基础设施水平</v>
      </c>
      <c r="AA21" s="1352">
        <f t="shared" ref="AA21" si="8">D21/F21</f>
        <v>1</v>
      </c>
      <c r="AB21" s="1352">
        <f t="shared" ref="AB21" si="9">D21/H21</f>
        <v>1</v>
      </c>
      <c r="AC21" s="1961">
        <f t="shared" ref="AC21" si="10">D21/J21</f>
        <v>1</v>
      </c>
    </row>
    <row r="22" spans="1:29" ht="15">
      <c r="A22" s="379"/>
      <c r="B22" s="580"/>
      <c r="C22" s="1963" t="s">
        <v>3409</v>
      </c>
      <c r="D22" s="399"/>
      <c r="E22" s="1963" t="s">
        <v>3409</v>
      </c>
      <c r="F22" s="399"/>
      <c r="G22" s="1963" t="s">
        <v>3409</v>
      </c>
      <c r="H22" s="399"/>
      <c r="I22" s="1963" t="s">
        <v>3409</v>
      </c>
      <c r="J22" s="399"/>
      <c r="K22" s="1129"/>
      <c r="L22" s="2721"/>
      <c r="M22" s="2715"/>
      <c r="N22" s="2715"/>
      <c r="O22" s="2715"/>
      <c r="P22" s="3692"/>
      <c r="Q22" s="1351"/>
      <c r="R22" s="704"/>
      <c r="S22" s="705"/>
      <c r="T22" s="704"/>
      <c r="U22" s="705"/>
      <c r="V22" s="704"/>
      <c r="W22" s="705"/>
      <c r="X22" s="1354"/>
      <c r="Y22" s="3694"/>
      <c r="Z22" s="1355"/>
      <c r="AA22" s="1352">
        <v>1</v>
      </c>
      <c r="AB22" s="1352">
        <v>1</v>
      </c>
      <c r="AC22" s="1961">
        <v>1</v>
      </c>
    </row>
    <row r="23" spans="1:29" ht="42.75">
      <c r="A23" s="379"/>
      <c r="B23" s="578" t="s">
        <v>1812</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2"/>
      <c r="Q23" s="1351" t="str">
        <f>B23</f>
        <v>环境质量</v>
      </c>
      <c r="R23" s="704" t="s">
        <v>14</v>
      </c>
      <c r="S23" s="705">
        <f>F23</f>
        <v>100</v>
      </c>
      <c r="T23" s="704" t="s">
        <v>14</v>
      </c>
      <c r="U23" s="705">
        <f>H23</f>
        <v>100</v>
      </c>
      <c r="V23" s="704" t="s">
        <v>14</v>
      </c>
      <c r="W23" s="705">
        <f>J23</f>
        <v>100</v>
      </c>
      <c r="X23" s="1354"/>
      <c r="Y23" s="3694"/>
      <c r="Z23" s="1355" t="str">
        <f>Q23</f>
        <v>环境质量</v>
      </c>
      <c r="AA23" s="1352">
        <f t="shared" si="3"/>
        <v>1</v>
      </c>
      <c r="AB23" s="1352">
        <f t="shared" si="4"/>
        <v>1</v>
      </c>
      <c r="AC23" s="1961">
        <f t="shared" si="5"/>
        <v>1</v>
      </c>
    </row>
    <row r="24" spans="1:29" ht="15">
      <c r="A24" s="379"/>
      <c r="B24" s="580"/>
      <c r="C24" s="1903" t="s">
        <v>3401</v>
      </c>
      <c r="D24" s="399"/>
      <c r="E24" s="1903" t="s">
        <v>3401</v>
      </c>
      <c r="F24" s="399"/>
      <c r="G24" s="1903" t="s">
        <v>3401</v>
      </c>
      <c r="H24" s="399"/>
      <c r="I24" s="1903" t="s">
        <v>3401</v>
      </c>
      <c r="J24" s="399"/>
      <c r="K24" s="564"/>
      <c r="L24" s="2721"/>
      <c r="M24" s="2715"/>
      <c r="N24" s="2715"/>
      <c r="O24" s="2715"/>
      <c r="P24" s="3692"/>
      <c r="Q24" s="1351"/>
      <c r="R24" s="704"/>
      <c r="S24" s="705"/>
      <c r="T24" s="704"/>
      <c r="U24" s="705"/>
      <c r="V24" s="704"/>
      <c r="W24" s="705"/>
      <c r="X24" s="1354"/>
      <c r="Y24" s="3694"/>
      <c r="Z24" s="1355"/>
      <c r="AA24" s="1352">
        <v>1</v>
      </c>
      <c r="AB24" s="1352">
        <v>1</v>
      </c>
      <c r="AC24" s="1961">
        <v>1</v>
      </c>
    </row>
    <row r="25" spans="1:29" ht="27">
      <c r="A25" s="358"/>
      <c r="B25" s="578" t="s">
        <v>1813</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2"/>
      <c r="Q25" s="1351" t="str">
        <f>B25</f>
        <v>毗邻道路的类型与等级</v>
      </c>
      <c r="R25" s="704" t="s">
        <v>14</v>
      </c>
      <c r="S25" s="705">
        <f>F25</f>
        <v>100</v>
      </c>
      <c r="T25" s="704" t="s">
        <v>14</v>
      </c>
      <c r="U25" s="705">
        <f>H25</f>
        <v>100</v>
      </c>
      <c r="V25" s="704" t="s">
        <v>14</v>
      </c>
      <c r="W25" s="705">
        <f>J25</f>
        <v>100</v>
      </c>
      <c r="X25" s="1354"/>
      <c r="Y25" s="3694"/>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92"/>
      <c r="Q26" s="1351"/>
      <c r="R26" s="704"/>
      <c r="S26" s="705"/>
      <c r="T26" s="704"/>
      <c r="U26" s="705"/>
      <c r="V26" s="704"/>
      <c r="W26" s="705"/>
      <c r="X26" s="1354"/>
      <c r="Y26" s="3694"/>
      <c r="Z26" s="1355"/>
      <c r="AA26" s="1352">
        <v>1</v>
      </c>
      <c r="AB26" s="1352">
        <v>1</v>
      </c>
      <c r="AC26" s="1961">
        <v>1</v>
      </c>
    </row>
    <row r="27" spans="1:29" ht="15">
      <c r="A27" s="379"/>
      <c r="B27" s="579" t="s">
        <v>1781</v>
      </c>
      <c r="C27" s="581"/>
      <c r="D27" s="386">
        <v>100</v>
      </c>
      <c r="E27" s="581"/>
      <c r="F27" s="386">
        <f>SUMIF(89:89,E27,90:90)-SUMIF(89:89,C27,90:90)+100</f>
        <v>100</v>
      </c>
      <c r="G27" s="581"/>
      <c r="H27" s="386">
        <f>SUMIF(89:89,G27,90:90)-SUMIF(89:89,C27,90:90)+100</f>
        <v>100</v>
      </c>
      <c r="I27" s="581"/>
      <c r="J27" s="386">
        <f>SUMIF(89:89,I27,90:90)-SUMIF(89:89,C27,90:90)+100</f>
        <v>100</v>
      </c>
      <c r="K27" s="561">
        <v>2</v>
      </c>
      <c r="L27" s="2721"/>
      <c r="M27" s="2715"/>
      <c r="N27" s="2715"/>
      <c r="O27" s="2715"/>
      <c r="P27" s="3692"/>
      <c r="Q27" s="1351" t="str">
        <f t="shared" ref="Q27:Q47" si="11">B27</f>
        <v>楼层</v>
      </c>
      <c r="R27" s="704" t="s">
        <v>14</v>
      </c>
      <c r="S27" s="705">
        <f>F27</f>
        <v>100</v>
      </c>
      <c r="T27" s="704" t="s">
        <v>14</v>
      </c>
      <c r="U27" s="705">
        <f>H27</f>
        <v>100</v>
      </c>
      <c r="V27" s="704" t="s">
        <v>14</v>
      </c>
      <c r="W27" s="705">
        <f>J27</f>
        <v>100</v>
      </c>
      <c r="X27" s="1354"/>
      <c r="Y27" s="3694"/>
      <c r="Z27" s="1355" t="str">
        <f>Q27</f>
        <v>楼层</v>
      </c>
      <c r="AA27" s="1352">
        <f t="shared" si="3"/>
        <v>1</v>
      </c>
      <c r="AB27" s="1352">
        <f t="shared" si="4"/>
        <v>1</v>
      </c>
      <c r="AC27" s="1961">
        <f t="shared" si="5"/>
        <v>1</v>
      </c>
    </row>
    <row r="28" spans="1:29" s="108" customFormat="1" ht="15">
      <c r="A28" s="382"/>
      <c r="B28" s="578" t="s">
        <v>1814</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2"/>
      <c r="Q28" s="1342" t="str">
        <f t="shared" si="11"/>
        <v>朝向</v>
      </c>
      <c r="R28" s="700" t="s">
        <v>14</v>
      </c>
      <c r="S28" s="701">
        <f>F28</f>
        <v>100</v>
      </c>
      <c r="T28" s="700" t="s">
        <v>14</v>
      </c>
      <c r="U28" s="701">
        <f>H28</f>
        <v>100</v>
      </c>
      <c r="V28" s="700" t="s">
        <v>14</v>
      </c>
      <c r="W28" s="701">
        <f>J28</f>
        <v>100</v>
      </c>
      <c r="X28" s="702"/>
      <c r="Y28" s="369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2"/>
      <c r="Q29" s="1351">
        <f t="shared" si="11"/>
        <v>111</v>
      </c>
      <c r="R29" s="704" t="s">
        <v>14</v>
      </c>
      <c r="S29" s="705">
        <f t="shared" ref="S29:S47" si="12">F29</f>
        <v>100</v>
      </c>
      <c r="T29" s="704" t="s">
        <v>14</v>
      </c>
      <c r="U29" s="705">
        <f t="shared" ref="U29:U47" si="13">H29</f>
        <v>100</v>
      </c>
      <c r="V29" s="704" t="s">
        <v>14</v>
      </c>
      <c r="W29" s="705">
        <f t="shared" ref="W29:W47" si="14">J29</f>
        <v>100</v>
      </c>
      <c r="X29" s="1354"/>
      <c r="Y29" s="369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2"/>
      <c r="Q30" s="1351">
        <f t="shared" si="11"/>
        <v>111</v>
      </c>
      <c r="R30" s="704" t="s">
        <v>14</v>
      </c>
      <c r="S30" s="705">
        <f t="shared" si="12"/>
        <v>100</v>
      </c>
      <c r="T30" s="704" t="s">
        <v>14</v>
      </c>
      <c r="U30" s="705">
        <f t="shared" si="13"/>
        <v>100</v>
      </c>
      <c r="V30" s="704" t="s">
        <v>14</v>
      </c>
      <c r="W30" s="705">
        <f t="shared" si="14"/>
        <v>100</v>
      </c>
      <c r="X30" s="1354"/>
      <c r="Y30" s="369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2"/>
      <c r="Q31" s="1351">
        <f t="shared" si="11"/>
        <v>111</v>
      </c>
      <c r="R31" s="704" t="s">
        <v>14</v>
      </c>
      <c r="S31" s="705">
        <f t="shared" si="12"/>
        <v>100</v>
      </c>
      <c r="T31" s="704" t="s">
        <v>14</v>
      </c>
      <c r="U31" s="705">
        <f t="shared" si="13"/>
        <v>100</v>
      </c>
      <c r="V31" s="704" t="s">
        <v>14</v>
      </c>
      <c r="W31" s="705">
        <f t="shared" si="14"/>
        <v>100</v>
      </c>
      <c r="X31" s="1354"/>
      <c r="Y31" s="3694"/>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2"/>
      <c r="Q32" s="1351">
        <f t="shared" si="11"/>
        <v>111</v>
      </c>
      <c r="R32" s="704" t="s">
        <v>14</v>
      </c>
      <c r="S32" s="705">
        <f t="shared" si="12"/>
        <v>100</v>
      </c>
      <c r="T32" s="704" t="s">
        <v>14</v>
      </c>
      <c r="U32" s="705">
        <f t="shared" si="13"/>
        <v>100</v>
      </c>
      <c r="V32" s="704" t="s">
        <v>14</v>
      </c>
      <c r="W32" s="705">
        <f t="shared" si="14"/>
        <v>100</v>
      </c>
      <c r="X32" s="1354"/>
      <c r="Y32" s="3694"/>
      <c r="Z32" s="1355">
        <f t="shared" si="15"/>
        <v>111</v>
      </c>
      <c r="AA32" s="1352">
        <f t="shared" si="3"/>
        <v>1</v>
      </c>
      <c r="AB32" s="1352">
        <f t="shared" si="4"/>
        <v>1</v>
      </c>
      <c r="AC32" s="1961">
        <f t="shared" si="5"/>
        <v>1</v>
      </c>
    </row>
    <row r="33" spans="1:29" ht="15">
      <c r="A33" s="391" t="s">
        <v>1692</v>
      </c>
      <c r="B33" s="63" t="s">
        <v>1815</v>
      </c>
      <c r="C33" s="1966" t="s">
        <v>3476</v>
      </c>
      <c r="D33" s="418">
        <v>100</v>
      </c>
      <c r="E33" s="1966" t="s">
        <v>3476</v>
      </c>
      <c r="F33" s="412">
        <f>SUMIF(101:101,E33,102:102)-SUMIF(101:101,C33,102:102)+100</f>
        <v>100</v>
      </c>
      <c r="G33" s="1966" t="s">
        <v>3476</v>
      </c>
      <c r="H33" s="386">
        <f>SUMIF(101:101,G33,102:102)-SUMIF(101:101,C33,102:102)+100</f>
        <v>100</v>
      </c>
      <c r="I33" s="1966" t="s">
        <v>3476</v>
      </c>
      <c r="J33" s="418">
        <f>SUMIF(101:101,I33,102:102)-SUMIF(101:101,C33,102:102)+100</f>
        <v>100</v>
      </c>
      <c r="K33" s="561"/>
      <c r="L33" s="2721"/>
      <c r="M33" s="2715"/>
      <c r="N33" s="2715"/>
      <c r="O33" s="2715"/>
      <c r="P33" s="3695" t="s">
        <v>1694</v>
      </c>
      <c r="Q33" s="1351" t="str">
        <f t="shared" si="11"/>
        <v>建筑类型</v>
      </c>
      <c r="R33" s="704" t="s">
        <v>14</v>
      </c>
      <c r="S33" s="705">
        <f t="shared" si="12"/>
        <v>100</v>
      </c>
      <c r="T33" s="704" t="s">
        <v>14</v>
      </c>
      <c r="U33" s="705">
        <f t="shared" si="13"/>
        <v>100</v>
      </c>
      <c r="V33" s="704" t="s">
        <v>14</v>
      </c>
      <c r="W33" s="705">
        <f t="shared" si="14"/>
        <v>100</v>
      </c>
      <c r="X33" s="1354"/>
      <c r="Y33" s="3698" t="s">
        <v>1694</v>
      </c>
      <c r="Z33" s="1355" t="str">
        <f t="shared" si="15"/>
        <v>建筑类型</v>
      </c>
      <c r="AA33" s="1352">
        <f t="shared" si="3"/>
        <v>1</v>
      </c>
      <c r="AB33" s="1352">
        <f t="shared" si="4"/>
        <v>1</v>
      </c>
      <c r="AC33" s="1961">
        <f t="shared" si="5"/>
        <v>1</v>
      </c>
    </row>
    <row r="34" spans="1:29" s="422" customFormat="1" ht="15">
      <c r="A34" s="419"/>
      <c r="B34" s="375" t="s">
        <v>1695</v>
      </c>
      <c r="C34" s="420">
        <f>'数据-汇总表'!E19</f>
        <v>2389.2399999999998</v>
      </c>
      <c r="D34" s="127">
        <v>100</v>
      </c>
      <c r="E34" s="381">
        <v>2000</v>
      </c>
      <c r="F34" s="376">
        <f>LOOKUP(E34,104:104,105:105)-LOOKUP(C34,104:104,105:105)+100</f>
        <v>100</v>
      </c>
      <c r="G34" s="380">
        <v>3400</v>
      </c>
      <c r="H34" s="127">
        <f>LOOKUP(G34,104:104,105:105)-LOOKUP(C34,104:104,105:105)+100</f>
        <v>99</v>
      </c>
      <c r="I34" s="380">
        <v>2000</v>
      </c>
      <c r="J34" s="127">
        <f>LOOKUP(I34,104:104,105:105)-LOOKUP(C34,104:104,105:105)+100</f>
        <v>100</v>
      </c>
      <c r="K34" s="562"/>
      <c r="L34" s="2720"/>
      <c r="M34" s="2722"/>
      <c r="N34" s="2722"/>
      <c r="O34" s="2722"/>
      <c r="P34" s="3696"/>
      <c r="Q34" s="706" t="str">
        <f t="shared" si="11"/>
        <v>项目建筑规模</v>
      </c>
      <c r="R34" s="707" t="s">
        <v>14</v>
      </c>
      <c r="S34" s="708">
        <f t="shared" si="12"/>
        <v>100</v>
      </c>
      <c r="T34" s="707" t="s">
        <v>14</v>
      </c>
      <c r="U34" s="708">
        <f t="shared" si="13"/>
        <v>99</v>
      </c>
      <c r="V34" s="707" t="s">
        <v>14</v>
      </c>
      <c r="W34" s="708">
        <f t="shared" si="14"/>
        <v>100</v>
      </c>
      <c r="X34" s="709"/>
      <c r="Y34" s="3698"/>
      <c r="Z34" s="710" t="str">
        <f t="shared" si="15"/>
        <v>项目建筑规模</v>
      </c>
      <c r="AA34" s="1352">
        <f t="shared" si="3"/>
        <v>1</v>
      </c>
      <c r="AB34" s="1352">
        <f t="shared" si="4"/>
        <v>1.0101010101010102</v>
      </c>
      <c r="AC34" s="1961">
        <f t="shared" si="5"/>
        <v>1</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96"/>
      <c r="Q35" s="1351" t="str">
        <f t="shared" si="11"/>
        <v>建筑结构</v>
      </c>
      <c r="R35" s="704" t="s">
        <v>14</v>
      </c>
      <c r="S35" s="705">
        <f t="shared" si="12"/>
        <v>100</v>
      </c>
      <c r="T35" s="704" t="s">
        <v>14</v>
      </c>
      <c r="U35" s="705">
        <f t="shared" si="13"/>
        <v>100</v>
      </c>
      <c r="V35" s="704" t="s">
        <v>14</v>
      </c>
      <c r="W35" s="705">
        <f t="shared" si="14"/>
        <v>100</v>
      </c>
      <c r="X35" s="1354"/>
      <c r="Y35" s="3698"/>
      <c r="Z35" s="1355" t="str">
        <f t="shared" si="15"/>
        <v>建筑结构</v>
      </c>
      <c r="AA35" s="1352">
        <f t="shared" si="3"/>
        <v>1</v>
      </c>
      <c r="AB35" s="1352">
        <f t="shared" si="4"/>
        <v>1</v>
      </c>
      <c r="AC35" s="1961">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96"/>
      <c r="Q36" s="1351" t="str">
        <f t="shared" si="11"/>
        <v>公共部分装修</v>
      </c>
      <c r="R36" s="704" t="s">
        <v>14</v>
      </c>
      <c r="S36" s="705">
        <f t="shared" si="12"/>
        <v>100</v>
      </c>
      <c r="T36" s="704" t="s">
        <v>14</v>
      </c>
      <c r="U36" s="705">
        <f t="shared" si="13"/>
        <v>100</v>
      </c>
      <c r="V36" s="704" t="s">
        <v>14</v>
      </c>
      <c r="W36" s="705">
        <f t="shared" si="14"/>
        <v>100</v>
      </c>
      <c r="X36" s="1354"/>
      <c r="Y36" s="3698"/>
      <c r="Z36" s="1355" t="str">
        <f t="shared" si="15"/>
        <v>公共部分装修</v>
      </c>
      <c r="AA36" s="1352">
        <f t="shared" si="3"/>
        <v>1</v>
      </c>
      <c r="AB36" s="1352">
        <f t="shared" si="4"/>
        <v>1</v>
      </c>
      <c r="AC36" s="1961">
        <f t="shared" si="5"/>
        <v>1</v>
      </c>
    </row>
    <row r="37" spans="1:29" ht="15">
      <c r="A37" s="423"/>
      <c r="B37" s="375" t="s">
        <v>1784</v>
      </c>
      <c r="C37" s="425">
        <f>'数据-取费表'!N6</f>
        <v>0.82</v>
      </c>
      <c r="D37" s="386">
        <v>100</v>
      </c>
      <c r="E37" s="425">
        <f>C37</f>
        <v>0.82</v>
      </c>
      <c r="F37" s="412">
        <f>LOOKUP(E37,111:111,112:112)-LOOKUP(C37,111:111,112:112)+100</f>
        <v>100</v>
      </c>
      <c r="G37" s="425">
        <f>C37</f>
        <v>0.82</v>
      </c>
      <c r="H37" s="412">
        <f>LOOKUP(G37,111:111,112:112)-LOOKUP(C37,111:111,112:112)+100</f>
        <v>100</v>
      </c>
      <c r="I37" s="425">
        <f>C37</f>
        <v>0.82</v>
      </c>
      <c r="J37" s="386">
        <f>LOOKUP(I37,111:111,112:112)-LOOKUP(C37,111:111,112:112)+100</f>
        <v>100</v>
      </c>
      <c r="K37" s="561"/>
      <c r="L37" s="2721"/>
      <c r="M37" s="2715"/>
      <c r="N37" s="2715"/>
      <c r="O37" s="2715"/>
      <c r="P37" s="3696"/>
      <c r="Q37" s="1351" t="str">
        <f t="shared" si="11"/>
        <v>成新度</v>
      </c>
      <c r="R37" s="704" t="s">
        <v>14</v>
      </c>
      <c r="S37" s="705">
        <f t="shared" si="12"/>
        <v>100</v>
      </c>
      <c r="T37" s="704" t="s">
        <v>14</v>
      </c>
      <c r="U37" s="705">
        <f t="shared" si="13"/>
        <v>100</v>
      </c>
      <c r="V37" s="704" t="s">
        <v>14</v>
      </c>
      <c r="W37" s="705">
        <f t="shared" si="14"/>
        <v>100</v>
      </c>
      <c r="X37" s="1354"/>
      <c r="Y37" s="3698"/>
      <c r="Z37" s="1355" t="str">
        <f t="shared" si="15"/>
        <v>成新度</v>
      </c>
      <c r="AA37" s="1352">
        <f t="shared" si="3"/>
        <v>1</v>
      </c>
      <c r="AB37" s="1352">
        <f t="shared" si="4"/>
        <v>1</v>
      </c>
      <c r="AC37" s="1961">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6"/>
      <c r="Q38" s="1342" t="str">
        <f t="shared" si="11"/>
        <v>写字楼等级</v>
      </c>
      <c r="R38" s="700" t="s">
        <v>14</v>
      </c>
      <c r="S38" s="701">
        <f t="shared" si="12"/>
        <v>100</v>
      </c>
      <c r="T38" s="700" t="s">
        <v>14</v>
      </c>
      <c r="U38" s="701">
        <f t="shared" si="13"/>
        <v>100</v>
      </c>
      <c r="V38" s="700" t="s">
        <v>14</v>
      </c>
      <c r="W38" s="701">
        <f t="shared" si="14"/>
        <v>100</v>
      </c>
      <c r="X38" s="702"/>
      <c r="Y38" s="3698"/>
      <c r="Z38" s="52" t="str">
        <f t="shared" si="15"/>
        <v>写字楼等级</v>
      </c>
      <c r="AA38" s="703">
        <f t="shared" si="3"/>
        <v>1</v>
      </c>
      <c r="AB38" s="703">
        <f t="shared" si="4"/>
        <v>1</v>
      </c>
      <c r="AC38" s="1958">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96" t="s">
        <v>1694</v>
      </c>
      <c r="Q39" s="1351" t="str">
        <f t="shared" si="11"/>
        <v>物业管理</v>
      </c>
      <c r="R39" s="704" t="s">
        <v>14</v>
      </c>
      <c r="S39" s="705">
        <f t="shared" si="12"/>
        <v>100</v>
      </c>
      <c r="T39" s="704" t="s">
        <v>14</v>
      </c>
      <c r="U39" s="705">
        <f t="shared" si="13"/>
        <v>100</v>
      </c>
      <c r="V39" s="704" t="s">
        <v>14</v>
      </c>
      <c r="W39" s="705">
        <f t="shared" si="14"/>
        <v>100</v>
      </c>
      <c r="X39" s="1354"/>
      <c r="Y39" s="3698" t="s">
        <v>1694</v>
      </c>
      <c r="Z39" s="1355" t="str">
        <f t="shared" si="15"/>
        <v>物业管理</v>
      </c>
      <c r="AA39" s="1352">
        <f t="shared" si="3"/>
        <v>1</v>
      </c>
      <c r="AB39" s="1352">
        <f t="shared" si="4"/>
        <v>1</v>
      </c>
      <c r="AC39" s="1961">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6"/>
      <c r="Q40" s="1351" t="str">
        <f t="shared" si="11"/>
        <v>市政基础设施</v>
      </c>
      <c r="R40" s="704" t="s">
        <v>14</v>
      </c>
      <c r="S40" s="705">
        <f t="shared" si="12"/>
        <v>100</v>
      </c>
      <c r="T40" s="704" t="s">
        <v>14</v>
      </c>
      <c r="U40" s="705">
        <f t="shared" si="13"/>
        <v>100</v>
      </c>
      <c r="V40" s="704" t="s">
        <v>14</v>
      </c>
      <c r="W40" s="705">
        <f t="shared" si="14"/>
        <v>100</v>
      </c>
      <c r="X40" s="1354"/>
      <c r="Y40" s="3698"/>
      <c r="Z40" s="1355" t="str">
        <f t="shared" si="15"/>
        <v>市政基础设施</v>
      </c>
      <c r="AA40" s="1352">
        <f t="shared" si="3"/>
        <v>1</v>
      </c>
      <c r="AB40" s="1352">
        <f t="shared" si="4"/>
        <v>1</v>
      </c>
      <c r="AC40" s="1961">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6"/>
      <c r="Q41" s="1351" t="str">
        <f t="shared" si="11"/>
        <v>层高</v>
      </c>
      <c r="R41" s="704" t="s">
        <v>14</v>
      </c>
      <c r="S41" s="705">
        <f t="shared" si="12"/>
        <v>100</v>
      </c>
      <c r="T41" s="704" t="s">
        <v>14</v>
      </c>
      <c r="U41" s="705">
        <f t="shared" si="13"/>
        <v>100</v>
      </c>
      <c r="V41" s="704" t="s">
        <v>14</v>
      </c>
      <c r="W41" s="705">
        <f t="shared" si="14"/>
        <v>100</v>
      </c>
      <c r="X41" s="1354"/>
      <c r="Y41" s="3698"/>
      <c r="Z41" s="1355" t="str">
        <f t="shared" si="15"/>
        <v>层高</v>
      </c>
      <c r="AA41" s="1352">
        <f t="shared" si="3"/>
        <v>1</v>
      </c>
      <c r="AB41" s="1352">
        <f t="shared" si="4"/>
        <v>1</v>
      </c>
      <c r="AC41" s="1961">
        <f t="shared" si="5"/>
        <v>1</v>
      </c>
    </row>
    <row r="42" spans="1:29" s="422" customFormat="1" ht="15">
      <c r="A42" s="419"/>
      <c r="B42" s="1353"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6"/>
      <c r="Q42" s="706" t="str">
        <f t="shared" si="11"/>
        <v>单套建筑面积</v>
      </c>
      <c r="R42" s="707" t="s">
        <v>14</v>
      </c>
      <c r="S42" s="708">
        <f t="shared" si="12"/>
        <v>100</v>
      </c>
      <c r="T42" s="707" t="s">
        <v>14</v>
      </c>
      <c r="U42" s="708">
        <f t="shared" si="13"/>
        <v>100</v>
      </c>
      <c r="V42" s="707" t="s">
        <v>14</v>
      </c>
      <c r="W42" s="708">
        <f t="shared" si="14"/>
        <v>100</v>
      </c>
      <c r="X42" s="709"/>
      <c r="Y42" s="3698"/>
      <c r="Z42" s="710" t="str">
        <f t="shared" si="15"/>
        <v>单套建筑面积</v>
      </c>
      <c r="AA42" s="1352">
        <f t="shared" si="3"/>
        <v>1</v>
      </c>
      <c r="AB42" s="1352">
        <f t="shared" si="4"/>
        <v>1</v>
      </c>
      <c r="AC42" s="1961">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96"/>
      <c r="Q43" s="1351" t="str">
        <f t="shared" si="11"/>
        <v>内部装修</v>
      </c>
      <c r="R43" s="704" t="s">
        <v>14</v>
      </c>
      <c r="S43" s="705">
        <f t="shared" si="12"/>
        <v>100</v>
      </c>
      <c r="T43" s="704" t="s">
        <v>14</v>
      </c>
      <c r="U43" s="705">
        <f t="shared" si="13"/>
        <v>100</v>
      </c>
      <c r="V43" s="704" t="s">
        <v>14</v>
      </c>
      <c r="W43" s="705">
        <f t="shared" si="14"/>
        <v>100</v>
      </c>
      <c r="X43" s="1354"/>
      <c r="Y43" s="3698"/>
      <c r="Z43" s="1355" t="str">
        <f t="shared" si="15"/>
        <v>内部装修</v>
      </c>
      <c r="AA43" s="1352">
        <f t="shared" si="3"/>
        <v>1</v>
      </c>
      <c r="AB43" s="1352">
        <f t="shared" si="4"/>
        <v>1</v>
      </c>
      <c r="AC43" s="1961">
        <f t="shared" si="5"/>
        <v>1</v>
      </c>
    </row>
    <row r="44" spans="1:29" ht="15">
      <c r="A44" s="423"/>
      <c r="B44" s="375" t="s">
        <v>1705</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96"/>
      <c r="Q44" s="1351" t="str">
        <f t="shared" si="11"/>
        <v>内部装修维护情况</v>
      </c>
      <c r="R44" s="704" t="s">
        <v>14</v>
      </c>
      <c r="S44" s="705">
        <f t="shared" si="12"/>
        <v>100</v>
      </c>
      <c r="T44" s="704" t="s">
        <v>14</v>
      </c>
      <c r="U44" s="705">
        <f t="shared" si="13"/>
        <v>100</v>
      </c>
      <c r="V44" s="704" t="s">
        <v>14</v>
      </c>
      <c r="W44" s="705">
        <f t="shared" si="14"/>
        <v>100</v>
      </c>
      <c r="X44" s="1354"/>
      <c r="Y44" s="3698"/>
      <c r="Z44" s="1355" t="str">
        <f t="shared" si="15"/>
        <v>内部装修维护情况</v>
      </c>
      <c r="AA44" s="1352">
        <f t="shared" si="3"/>
        <v>1</v>
      </c>
      <c r="AB44" s="1352">
        <f t="shared" si="4"/>
        <v>1</v>
      </c>
      <c r="AC44" s="1961">
        <f t="shared" si="5"/>
        <v>1</v>
      </c>
    </row>
    <row r="45" spans="1:29" s="108" customFormat="1" ht="15">
      <c r="A45" s="424"/>
      <c r="B45" s="3492" t="s">
        <v>3479</v>
      </c>
      <c r="C45" s="3493" t="s">
        <v>3480</v>
      </c>
      <c r="D45" s="127">
        <v>100</v>
      </c>
      <c r="E45" s="3494" t="s">
        <v>3481</v>
      </c>
      <c r="F45" s="376">
        <f>SUMIF(127:127,E45,128:128)-SUMIF(127:127,C45,128:128)+100</f>
        <v>120</v>
      </c>
      <c r="G45" s="3494" t="s">
        <v>3481</v>
      </c>
      <c r="H45" s="127">
        <f>SUMIF(127:127,G45,128:128)-SUMIF(127:127,C45,128:128)+100</f>
        <v>120</v>
      </c>
      <c r="I45" s="3494" t="s">
        <v>3481</v>
      </c>
      <c r="J45" s="127">
        <f>SUMIF(127:127,I45,128:128)-SUMIF(127:127,C45,128:128)+100</f>
        <v>120</v>
      </c>
      <c r="K45" s="562"/>
      <c r="L45" s="2716"/>
      <c r="M45" s="2717"/>
      <c r="N45" s="2717"/>
      <c r="O45" s="2717"/>
      <c r="P45" s="3696"/>
      <c r="Q45" s="1342" t="str">
        <f t="shared" si="11"/>
        <v>是否有地下</v>
      </c>
      <c r="R45" s="700" t="s">
        <v>14</v>
      </c>
      <c r="S45" s="701">
        <f t="shared" si="12"/>
        <v>120</v>
      </c>
      <c r="T45" s="700" t="s">
        <v>14</v>
      </c>
      <c r="U45" s="701">
        <f t="shared" si="13"/>
        <v>120</v>
      </c>
      <c r="V45" s="700" t="s">
        <v>14</v>
      </c>
      <c r="W45" s="701">
        <f t="shared" si="14"/>
        <v>120</v>
      </c>
      <c r="X45" s="702"/>
      <c r="Y45" s="3698"/>
      <c r="Z45" s="52" t="str">
        <f t="shared" si="15"/>
        <v>是否有地下</v>
      </c>
      <c r="AA45" s="703">
        <f t="shared" si="3"/>
        <v>0.83333333333333337</v>
      </c>
      <c r="AB45" s="703">
        <f t="shared" si="4"/>
        <v>0.83333333333333337</v>
      </c>
      <c r="AC45" s="1958">
        <f t="shared" si="5"/>
        <v>0.83333333333333337</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6"/>
      <c r="Q46" s="1351">
        <f t="shared" si="11"/>
        <v>111</v>
      </c>
      <c r="R46" s="704" t="s">
        <v>14</v>
      </c>
      <c r="S46" s="705">
        <f t="shared" si="12"/>
        <v>100</v>
      </c>
      <c r="T46" s="704" t="s">
        <v>14</v>
      </c>
      <c r="U46" s="705">
        <f t="shared" si="13"/>
        <v>100</v>
      </c>
      <c r="V46" s="704" t="s">
        <v>14</v>
      </c>
      <c r="W46" s="705">
        <f t="shared" si="14"/>
        <v>100</v>
      </c>
      <c r="X46" s="1354"/>
      <c r="Y46" s="3698"/>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7"/>
      <c r="Q47" s="1351">
        <f t="shared" si="11"/>
        <v>111</v>
      </c>
      <c r="R47" s="704" t="s">
        <v>14</v>
      </c>
      <c r="S47" s="705">
        <f t="shared" si="12"/>
        <v>100</v>
      </c>
      <c r="T47" s="704" t="s">
        <v>14</v>
      </c>
      <c r="U47" s="705">
        <f t="shared" si="13"/>
        <v>100</v>
      </c>
      <c r="V47" s="704" t="s">
        <v>14</v>
      </c>
      <c r="W47" s="705">
        <f t="shared" si="14"/>
        <v>100</v>
      </c>
      <c r="X47" s="1354"/>
      <c r="Y47" s="3699"/>
      <c r="Z47" s="1355">
        <f t="shared" si="15"/>
        <v>111</v>
      </c>
      <c r="AA47" s="1352">
        <f t="shared" si="3"/>
        <v>1</v>
      </c>
      <c r="AB47" s="1352">
        <f t="shared" si="4"/>
        <v>1</v>
      </c>
      <c r="AC47" s="1961">
        <f t="shared" si="5"/>
        <v>1</v>
      </c>
    </row>
    <row r="48" spans="1:29" ht="15">
      <c r="A48" s="430" t="s">
        <v>1706</v>
      </c>
      <c r="B48" s="431"/>
      <c r="C48" s="1153" t="s">
        <v>0</v>
      </c>
      <c r="D48" s="1154"/>
      <c r="E48" s="1155">
        <v>13500</v>
      </c>
      <c r="F48" s="1156"/>
      <c r="G48" s="1157">
        <v>15000</v>
      </c>
      <c r="H48" s="1158"/>
      <c r="I48" s="1155">
        <v>14000</v>
      </c>
      <c r="J48" s="436"/>
      <c r="K48" s="713"/>
      <c r="L48" s="2723"/>
      <c r="M48" s="2715"/>
      <c r="N48" s="2715"/>
      <c r="O48" s="2715"/>
      <c r="P48" s="3701" t="str">
        <f>A48</f>
        <v>成交单价（元/平方米）</v>
      </c>
      <c r="Q48" s="3686"/>
      <c r="R48" s="3687">
        <f>E48</f>
        <v>13500</v>
      </c>
      <c r="S48" s="3687"/>
      <c r="T48" s="3687">
        <f>G48</f>
        <v>15000</v>
      </c>
      <c r="U48" s="3687"/>
      <c r="V48" s="3687">
        <f>I48</f>
        <v>14000</v>
      </c>
      <c r="W48" s="3687"/>
      <c r="X48" s="397"/>
      <c r="Y48" s="711"/>
      <c r="Z48" s="397"/>
      <c r="AA48" s="397"/>
      <c r="AB48" s="397"/>
      <c r="AC48" s="577"/>
    </row>
    <row r="49" spans="1:29" ht="15.75" thickBot="1">
      <c r="A49" s="437" t="s">
        <v>1791</v>
      </c>
      <c r="B49" s="438"/>
      <c r="C49" s="1159">
        <f>R50</f>
        <v>10970</v>
      </c>
      <c r="D49" s="2316" t="s">
        <v>2135</v>
      </c>
      <c r="E49" s="1160">
        <f>R49</f>
        <v>10417</v>
      </c>
      <c r="F49" s="2317"/>
      <c r="G49" s="1159">
        <f>T49</f>
        <v>11691</v>
      </c>
      <c r="H49" s="2317"/>
      <c r="I49" s="1160">
        <f>V49</f>
        <v>10802</v>
      </c>
      <c r="J49" s="2317"/>
      <c r="K49" s="2319">
        <f>F49+H49+J49</f>
        <v>0</v>
      </c>
      <c r="L49" s="2723"/>
      <c r="M49" s="2715"/>
      <c r="N49" s="2715"/>
      <c r="O49" s="2715"/>
      <c r="P49" s="3701" t="str">
        <f>A49</f>
        <v>比较价值（元/平方米）</v>
      </c>
      <c r="Q49" s="3686"/>
      <c r="R49" s="3687">
        <f>IF(F1="售价",ROUND(PRODUCT(R48,AA7:AA47),0),ROUND(PRODUCT(R48,AA7:AA47),1))</f>
        <v>10417</v>
      </c>
      <c r="S49" s="3687"/>
      <c r="T49" s="3687">
        <f>IF(F1="售价",ROUND(PRODUCT(T48,AB7:AB47),0),ROUND(PRODUCT(T48,AB7:AB47),1))</f>
        <v>11691</v>
      </c>
      <c r="U49" s="3687"/>
      <c r="V49" s="3687">
        <f>IF(F1="售价",ROUND(PRODUCT(V48,AC7:AC47),0),ROUND(PRODUCT(V48,AC7:AC47),1))</f>
        <v>10802</v>
      </c>
      <c r="W49" s="3687"/>
      <c r="X49" s="397"/>
      <c r="Y49" s="397"/>
      <c r="Z49" s="397"/>
      <c r="AA49" s="397"/>
      <c r="AB49" s="397"/>
      <c r="AC49" s="577"/>
    </row>
    <row r="50" spans="1:29" ht="15.75" thickBot="1">
      <c r="A50" s="441" t="s">
        <v>1792</v>
      </c>
      <c r="B50" s="442"/>
      <c r="C50" s="1162">
        <f>R50</f>
        <v>10970</v>
      </c>
      <c r="D50" s="1162"/>
      <c r="E50" s="1162"/>
      <c r="F50" s="1162"/>
      <c r="G50" s="1162"/>
      <c r="H50" s="1162"/>
      <c r="I50" s="1162"/>
      <c r="J50" s="443"/>
      <c r="K50" s="714"/>
      <c r="L50" s="2723"/>
      <c r="M50" s="2715"/>
      <c r="N50" s="2715"/>
      <c r="O50" s="2715"/>
      <c r="P50" s="3732" t="str">
        <f>A50</f>
        <v>估价对象XX用房的比较价值（楼面单价，元/平方米）</v>
      </c>
      <c r="Q50" s="3733"/>
      <c r="R50" s="3734">
        <f>IF(F1="售价",ROUND(IF(D49="简单平均",AVERAGE(R49:V49),R49*F49+T49*H49+V49*J49),0),ROUND(IF(D49="简单平均",AVERAGE(R49:V49),R49*F49+T49*H49+V49*J49),1))</f>
        <v>10970</v>
      </c>
      <c r="S50" s="3734"/>
      <c r="T50" s="3734"/>
      <c r="U50" s="3734"/>
      <c r="V50" s="3734"/>
      <c r="W50" s="373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1793</v>
      </c>
      <c r="D53" s="447"/>
      <c r="E53" s="448">
        <f>IF(E48&lt;E49,E49/E48-1,E48/E49-1)</f>
        <v>0.29595852932706146</v>
      </c>
      <c r="F53" s="449" t="str">
        <f>IF(OR(E53&gt;=0.3,E53&lt;=-0.3),"超过30%","")</f>
        <v/>
      </c>
      <c r="G53" s="448">
        <f>IF(G48&lt;G49,G49/G48-1,G48/G49-1)</f>
        <v>0.28303823453938937</v>
      </c>
      <c r="H53" s="449" t="str">
        <f>IF(OR(G53&gt;=0.3,G53&lt;=-0.3),"超过30%","")</f>
        <v/>
      </c>
      <c r="I53" s="448">
        <f>IF(I48&lt;I49,I49/I48-1,I48/I49-1)</f>
        <v>0.29605628587298649</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1794</v>
      </c>
      <c r="D54" s="450"/>
      <c r="E54" s="448">
        <f>IF(E49&lt;G49,G49/E49-1,E49/G49-1)</f>
        <v>0.12230008639723522</v>
      </c>
      <c r="F54" s="449" t="str">
        <f>IF(OR(E54&gt;=0.2,E54&lt;=-0.2),"超过20%","")</f>
        <v/>
      </c>
      <c r="G54" s="448">
        <f>IF(G49&lt;I49,I49/G49-1,G49/I49-1)</f>
        <v>8.2299574152934651E-2</v>
      </c>
      <c r="H54" s="449" t="str">
        <f>IF(OR(G54&gt;=0.2,G54&lt;=-0.2),"超过20%","")</f>
        <v/>
      </c>
      <c r="I54" s="448">
        <f>IF(I49&lt;E49,E49/I49-1,I49/E49-1)</f>
        <v>3.6958817317845893E-2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1795</v>
      </c>
      <c r="D55" s="450"/>
      <c r="E55" s="448">
        <f>IF(E48&lt;G48,G48/E48-1,E48/G48-1)</f>
        <v>0.11111111111111116</v>
      </c>
      <c r="F55" s="449" t="str">
        <f>IF(OR(E55&gt;=0.3,E55&lt;=-0.3),"超过30%","")</f>
        <v/>
      </c>
      <c r="G55" s="448">
        <f>IF(G48&lt;I48,I48/G48-1,G48/I48-1)</f>
        <v>7.1428571428571397E-2</v>
      </c>
      <c r="H55" s="449" t="str">
        <f>IF(OR(G55&gt;=0.3,G55&lt;=-0.3),"超过30%","")</f>
        <v/>
      </c>
      <c r="I55" s="448">
        <f>IF(I48&lt;E48,E48/I48-1,I48/E48-1)</f>
        <v>3.7037037037036979E-2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1796</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1677</v>
      </c>
      <c r="B59" s="455"/>
      <c r="C59" s="1183" t="str">
        <f>YEAR(C7)&amp;"-"&amp;MONTH(C7)</f>
        <v>2024-6</v>
      </c>
      <c r="D59" s="1184">
        <f>EDATE(C59,-1)</f>
        <v>45413</v>
      </c>
      <c r="E59" s="1184">
        <f>EDATE(D59,-1)</f>
        <v>45383</v>
      </c>
      <c r="F59" s="1184">
        <f t="shared" ref="F59:O59" si="16">EDATE(E59,-1)</f>
        <v>45352</v>
      </c>
      <c r="G59" s="1184">
        <f t="shared" si="16"/>
        <v>45323</v>
      </c>
      <c r="H59" s="1184">
        <f t="shared" si="16"/>
        <v>45292</v>
      </c>
      <c r="I59" s="1184">
        <f t="shared" si="16"/>
        <v>45261</v>
      </c>
      <c r="J59" s="1184">
        <f t="shared" si="16"/>
        <v>45231</v>
      </c>
      <c r="K59" s="1184">
        <f t="shared" si="16"/>
        <v>45200</v>
      </c>
      <c r="L59" s="1184">
        <f t="shared" si="16"/>
        <v>45170</v>
      </c>
      <c r="M59" s="1184">
        <f t="shared" si="16"/>
        <v>45139</v>
      </c>
      <c r="N59" s="1184">
        <f t="shared" si="16"/>
        <v>45108</v>
      </c>
      <c r="O59" s="1184">
        <f t="shared" si="16"/>
        <v>45078</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1714</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1679</v>
      </c>
      <c r="B62" s="459"/>
      <c r="C62" s="471" t="s">
        <v>1774</v>
      </c>
      <c r="D62" s="3451" t="s">
        <v>3471</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108</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1717</v>
      </c>
      <c r="B64" s="477" t="s">
        <v>1683</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1686</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1688</v>
      </c>
      <c r="B77" s="477" t="s">
        <v>1819</v>
      </c>
      <c r="C77" s="522" t="s">
        <v>1719</v>
      </c>
      <c r="D77" s="522" t="s">
        <v>1720</v>
      </c>
      <c r="E77" s="522" t="s">
        <v>1721</v>
      </c>
      <c r="F77" s="522" t="s">
        <v>1722</v>
      </c>
      <c r="G77" s="522" t="s">
        <v>1723</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1724</v>
      </c>
      <c r="C79" s="527" t="s">
        <v>1719</v>
      </c>
      <c r="D79" s="527" t="s">
        <v>1720</v>
      </c>
      <c r="E79" s="527" t="s">
        <v>1721</v>
      </c>
      <c r="F79" s="527" t="s">
        <v>1722</v>
      </c>
      <c r="G79" s="527" t="s">
        <v>1723</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1725</v>
      </c>
      <c r="C81" s="527" t="s">
        <v>1719</v>
      </c>
      <c r="D81" s="527" t="s">
        <v>1720</v>
      </c>
      <c r="E81" s="527" t="s">
        <v>1721</v>
      </c>
      <c r="F81" s="527" t="s">
        <v>1722</v>
      </c>
      <c r="G81" s="527" t="s">
        <v>1723</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1811</v>
      </c>
      <c r="C83" s="607" t="s">
        <v>1797</v>
      </c>
      <c r="D83" s="607" t="s">
        <v>1798</v>
      </c>
      <c r="E83" s="607" t="s">
        <v>1799</v>
      </c>
      <c r="F83" s="607" t="s">
        <v>1800</v>
      </c>
      <c r="G83" s="607" t="s">
        <v>1801</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1820</v>
      </c>
      <c r="C85" s="527" t="s">
        <v>1719</v>
      </c>
      <c r="D85" s="527" t="s">
        <v>1720</v>
      </c>
      <c r="E85" s="527" t="s">
        <v>1721</v>
      </c>
      <c r="F85" s="527" t="s">
        <v>1722</v>
      </c>
      <c r="G85" s="527" t="s">
        <v>1723</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1821</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49" t="s">
        <v>3467</v>
      </c>
      <c r="D89" s="3449" t="s">
        <v>3468</v>
      </c>
      <c r="E89" s="3449" t="s">
        <v>3469</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1692</v>
      </c>
      <c r="B101" s="477" t="s">
        <v>1734</v>
      </c>
      <c r="C101" s="3450" t="s">
        <v>3477</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1735</v>
      </c>
      <c r="C103" s="527" t="str">
        <f>C104&amp;"(含)"&amp;"-"&amp;D104</f>
        <v>0(含)-1500</v>
      </c>
      <c r="D103" s="527" t="str">
        <f t="shared" ref="D103:L103" si="23">D104&amp;"(含)"&amp;"-"&amp;E104</f>
        <v>1500(含)-3000</v>
      </c>
      <c r="E103" s="527" t="str">
        <f t="shared" si="23"/>
        <v>3000(含)-4500</v>
      </c>
      <c r="F103" s="527" t="str">
        <f t="shared" si="23"/>
        <v>4500(含)-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1500</v>
      </c>
      <c r="E104" s="544">
        <v>3000</v>
      </c>
      <c r="F104" s="544">
        <v>4500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f>C105-1</f>
        <v>99</v>
      </c>
      <c r="E105" s="485">
        <f t="shared" ref="E105:F105" si="24">D105-1</f>
        <v>98</v>
      </c>
      <c r="F105" s="485">
        <f t="shared" si="24"/>
        <v>97</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1736</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1738</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7">D112+$K37</f>
        <v>100</v>
      </c>
      <c r="F112" s="493">
        <f t="shared" si="27"/>
        <v>100</v>
      </c>
      <c r="G112" s="493">
        <f t="shared" si="27"/>
        <v>100</v>
      </c>
      <c r="H112" s="493">
        <f t="shared" si="27"/>
        <v>100</v>
      </c>
      <c r="I112" s="493">
        <f t="shared" si="27"/>
        <v>100</v>
      </c>
      <c r="J112" s="493">
        <f t="shared" si="27"/>
        <v>100</v>
      </c>
      <c r="K112" s="493">
        <f t="shared" si="27"/>
        <v>100</v>
      </c>
      <c r="L112" s="493">
        <f t="shared" si="27"/>
        <v>100</v>
      </c>
      <c r="M112" s="493">
        <f t="shared" si="27"/>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1822</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1739</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1740</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1823</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1806</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1742</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100</v>
      </c>
      <c r="E124" s="493">
        <f t="shared" si="31"/>
        <v>100</v>
      </c>
      <c r="F124" s="493">
        <f t="shared" si="31"/>
        <v>100</v>
      </c>
      <c r="G124" s="493">
        <f t="shared" si="31"/>
        <v>100</v>
      </c>
      <c r="H124" s="493">
        <f t="shared" si="31"/>
        <v>100</v>
      </c>
      <c r="I124" s="493">
        <f t="shared" si="31"/>
        <v>100</v>
      </c>
      <c r="J124" s="493">
        <f t="shared" si="31"/>
        <v>100</v>
      </c>
      <c r="K124" s="493">
        <f t="shared" si="31"/>
        <v>100</v>
      </c>
      <c r="L124" s="493">
        <f t="shared" si="31"/>
        <v>100</v>
      </c>
      <c r="M124" s="494">
        <f t="shared" si="31"/>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是否有地下</v>
      </c>
      <c r="C127" s="3449" t="s">
        <v>3480</v>
      </c>
      <c r="D127" s="3449" t="s">
        <v>3481</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120</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2" priority="20" stopIfTrue="1" operator="containsText" text="超过">
      <formula>NOT(ISERROR(SEARCH("超过",F53)))</formula>
    </cfRule>
  </conditionalFormatting>
  <conditionalFormatting sqref="H55">
    <cfRule type="containsText" dxfId="161" priority="19" stopIfTrue="1" operator="containsText" text="超过">
      <formula>NOT(ISERROR(SEARCH("超过",H55)))</formula>
    </cfRule>
  </conditionalFormatting>
  <conditionalFormatting sqref="F55">
    <cfRule type="containsText" dxfId="160" priority="18" stopIfTrue="1" operator="containsText" text="超过">
      <formula>NOT(ISERROR(SEARCH("超过",F55)))</formula>
    </cfRule>
  </conditionalFormatting>
  <conditionalFormatting sqref="F54 H54">
    <cfRule type="containsText" dxfId="159" priority="17" stopIfTrue="1" operator="containsText" text="超过">
      <formula>NOT(ISERROR(SEARCH("超过",F54)))</formula>
    </cfRule>
  </conditionalFormatting>
  <conditionalFormatting sqref="E53">
    <cfRule type="expression" dxfId="158" priority="16" stopIfTrue="1">
      <formula>$F$53="超过30%"</formula>
    </cfRule>
  </conditionalFormatting>
  <conditionalFormatting sqref="E54">
    <cfRule type="expression" dxfId="157" priority="15" stopIfTrue="1">
      <formula>$F$54="超过20%"</formula>
    </cfRule>
  </conditionalFormatting>
  <conditionalFormatting sqref="E55">
    <cfRule type="expression" dxfId="156" priority="14" stopIfTrue="1">
      <formula>$F$55="超过30%"</formula>
    </cfRule>
  </conditionalFormatting>
  <conditionalFormatting sqref="G55">
    <cfRule type="expression" dxfId="155" priority="13" stopIfTrue="1">
      <formula>$H$55="超过30%"</formula>
    </cfRule>
  </conditionalFormatting>
  <conditionalFormatting sqref="G53">
    <cfRule type="expression" dxfId="154" priority="12" stopIfTrue="1">
      <formula>$H$53="超过30%"</formula>
    </cfRule>
  </conditionalFormatting>
  <conditionalFormatting sqref="G54">
    <cfRule type="expression" dxfId="153" priority="11" stopIfTrue="1">
      <formula>$H$54="超过20%"</formula>
    </cfRule>
  </conditionalFormatting>
  <conditionalFormatting sqref="J53">
    <cfRule type="containsText" dxfId="152" priority="10" stopIfTrue="1" operator="containsText" text="超过">
      <formula>NOT(ISERROR(SEARCH("超过",J53)))</formula>
    </cfRule>
  </conditionalFormatting>
  <conditionalFormatting sqref="J55">
    <cfRule type="containsText" dxfId="151" priority="9" stopIfTrue="1" operator="containsText" text="超过">
      <formula>NOT(ISERROR(SEARCH("超过",J55)))</formula>
    </cfRule>
  </conditionalFormatting>
  <conditionalFormatting sqref="J54">
    <cfRule type="containsText" dxfId="150" priority="8" stopIfTrue="1" operator="containsText" text="超过">
      <formula>NOT(ISERROR(SEARCH("超过",J54)))</formula>
    </cfRule>
  </conditionalFormatting>
  <conditionalFormatting sqref="I53">
    <cfRule type="expression" dxfId="149" priority="7" stopIfTrue="1">
      <formula>$J$53="超过30%"</formula>
    </cfRule>
  </conditionalFormatting>
  <conditionalFormatting sqref="I54">
    <cfRule type="expression" dxfId="148" priority="6" stopIfTrue="1">
      <formula>$J$53+$J$54="超过20%"</formula>
    </cfRule>
  </conditionalFormatting>
  <conditionalFormatting sqref="I55">
    <cfRule type="expression" dxfId="147" priority="5" stopIfTrue="1">
      <formula>$J$55="超过30%"</formula>
    </cfRule>
  </conditionalFormatting>
  <conditionalFormatting sqref="F49">
    <cfRule type="expression" dxfId="146" priority="4">
      <formula>$D$49="简单平均"</formula>
    </cfRule>
  </conditionalFormatting>
  <conditionalFormatting sqref="H49">
    <cfRule type="expression" dxfId="145" priority="3">
      <formula>$D$49="简单平均"</formula>
    </cfRule>
  </conditionalFormatting>
  <conditionalFormatting sqref="J49">
    <cfRule type="expression" dxfId="144" priority="2">
      <formula>$D$49="简单平均"</formula>
    </cfRule>
  </conditionalFormatting>
  <conditionalFormatting sqref="F7:F47 H7:H47 J7:J47">
    <cfRule type="cellIs" dxfId="14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20" zoomScale="70" zoomScaleNormal="70" zoomScaleSheetLayoutView="70" workbookViewId="0">
      <selection activeCell="H40" sqref="H4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36.58</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2356.3177000000001</v>
      </c>
      <c r="C2" s="1386" t="s">
        <v>879</v>
      </c>
      <c r="D2" s="1470">
        <f ca="1">C40+J29+L46</f>
        <v>23563177</v>
      </c>
      <c r="E2" s="1387" t="s">
        <v>880</v>
      </c>
      <c r="F2" s="1388"/>
      <c r="G2" s="2705"/>
      <c r="H2" s="2694"/>
      <c r="I2" s="2694"/>
      <c r="J2" s="2694"/>
      <c r="K2" s="2695"/>
      <c r="L2" s="2694"/>
      <c r="M2" s="2694"/>
    </row>
    <row r="3" spans="1:37" ht="18" customHeight="1" thickBot="1">
      <c r="A3" s="1389" t="s">
        <v>881</v>
      </c>
      <c r="B3" s="1390">
        <f ca="1">IF(ISERROR(D2/F43),0,ROUND(D2/F43,0))</f>
        <v>9862</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1484376</v>
      </c>
      <c r="D5" s="1363" t="s">
        <v>889</v>
      </c>
      <c r="E5" s="1070"/>
      <c r="F5" s="1071"/>
      <c r="G5" s="1383"/>
      <c r="H5" s="299">
        <v>1</v>
      </c>
      <c r="I5" s="300" t="s">
        <v>888</v>
      </c>
      <c r="J5" s="1069">
        <f ca="1">J6+J10+J12</f>
        <v>0</v>
      </c>
      <c r="K5" s="1363" t="s">
        <v>889</v>
      </c>
      <c r="L5" s="1070"/>
      <c r="M5" s="1071"/>
    </row>
    <row r="6" spans="1:37" ht="18" customHeight="1">
      <c r="A6" s="1068" t="s">
        <v>398</v>
      </c>
      <c r="B6" s="3683" t="s">
        <v>694</v>
      </c>
      <c r="C6" s="1073">
        <f ca="1">ROUND(F6*F8*F7*(1-F9),0)</f>
        <v>1482523</v>
      </c>
      <c r="D6" s="155" t="s">
        <v>2103</v>
      </c>
      <c r="E6" s="302" t="s">
        <v>696</v>
      </c>
      <c r="F6" s="303">
        <f ca="1">INDIRECT("'数据-取费表'!u"&amp;$G$1)</f>
        <v>2</v>
      </c>
      <c r="G6" s="1383"/>
      <c r="H6" s="1068" t="s">
        <v>398</v>
      </c>
      <c r="I6" s="3683" t="s">
        <v>694</v>
      </c>
      <c r="J6" s="301">
        <f ca="1">ROUND(M6*M8*M7*(1-M9),0)</f>
        <v>0</v>
      </c>
      <c r="K6" s="1375" t="s">
        <v>2104</v>
      </c>
      <c r="L6" s="302" t="s">
        <v>696</v>
      </c>
      <c r="M6" s="303">
        <f ca="1">INDIRECT("'数据-取费表'!z"&amp;$G$1)</f>
        <v>0</v>
      </c>
    </row>
    <row r="7" spans="1:37" ht="18" customHeight="1">
      <c r="A7" s="1072"/>
      <c r="B7" s="3684"/>
      <c r="C7" s="1074"/>
      <c r="D7" s="307"/>
      <c r="E7" s="1075" t="s">
        <v>697</v>
      </c>
      <c r="F7" s="303">
        <f ca="1">IF(INDIRECT("'数据-取费表'!ah"&amp;$G$1)="",INDIRECT("'数据-取费表'!k"&amp;$G$1),INDIRECT("'数据-取费表'!ah"&amp;$G$1))</f>
        <v>2389.2399999999998</v>
      </c>
      <c r="G7" s="1383"/>
      <c r="H7" s="304"/>
      <c r="I7" s="3684"/>
      <c r="J7" s="306"/>
      <c r="K7" s="307"/>
      <c r="L7" s="302" t="s">
        <v>697</v>
      </c>
      <c r="M7" s="303">
        <f ca="1">F7</f>
        <v>2389.2399999999998</v>
      </c>
    </row>
    <row r="8" spans="1:37" ht="18" customHeight="1">
      <c r="A8" s="304"/>
      <c r="B8" s="3684"/>
      <c r="C8" s="306"/>
      <c r="D8" s="307"/>
      <c r="E8" s="302" t="s">
        <v>698</v>
      </c>
      <c r="F8" s="303">
        <f ca="1">INDIRECT("'数据-取费表'!ai"&amp;$G$1)</f>
        <v>365</v>
      </c>
      <c r="G8" s="1383"/>
      <c r="H8" s="304"/>
      <c r="I8" s="3684"/>
      <c r="J8" s="306"/>
      <c r="K8" s="307"/>
      <c r="L8" s="302" t="s">
        <v>698</v>
      </c>
      <c r="M8" s="303">
        <f ca="1">INDIRECT("'数据-取费表'!ai"&amp;$G$1)</f>
        <v>365</v>
      </c>
    </row>
    <row r="9" spans="1:37" ht="18" customHeight="1">
      <c r="A9" s="304"/>
      <c r="B9" s="3685"/>
      <c r="C9" s="306"/>
      <c r="D9" s="307"/>
      <c r="E9" s="302" t="s">
        <v>699</v>
      </c>
      <c r="F9" s="312">
        <f ca="1">INDIRECT("'数据-取费表'!w"&amp;$G$1)</f>
        <v>0.15</v>
      </c>
      <c r="G9" s="1383"/>
      <c r="H9" s="304"/>
      <c r="I9" s="3685"/>
      <c r="J9" s="306"/>
      <c r="K9" s="307"/>
      <c r="L9" s="313" t="s">
        <v>699</v>
      </c>
      <c r="M9" s="314">
        <f ca="1">INDIRECT("'数据-取费表'!ab"&amp;$G$1)</f>
        <v>0</v>
      </c>
    </row>
    <row r="10" spans="1:37" ht="18" customHeight="1">
      <c r="A10" s="1068" t="s">
        <v>402</v>
      </c>
      <c r="B10" s="1364" t="s">
        <v>700</v>
      </c>
      <c r="C10" s="316">
        <f ca="1">ROUND(IF(F10="押一",C6/12*F11,IF(F10="押二",C6/12*2*F11,IF(F10="押三",C6/12*3*F11,C11*F11))),0)</f>
        <v>1853</v>
      </c>
      <c r="D10" s="1365" t="s">
        <v>2113</v>
      </c>
      <c r="E10" s="313" t="s">
        <v>701</v>
      </c>
      <c r="F10" s="1115" t="s">
        <v>3431</v>
      </c>
      <c r="G10" s="1383"/>
      <c r="H10" s="1068" t="s">
        <v>402</v>
      </c>
      <c r="I10" s="1364" t="s">
        <v>700</v>
      </c>
      <c r="J10" s="301">
        <f ca="1">ROUND(IF(M10="押一",J6/12*M11,IF(M10="押二",J6/12*2*M11,IF(M10="押三",J6/12*3*M11,J11*M11))),0)</f>
        <v>0</v>
      </c>
      <c r="K10" s="1376" t="s">
        <v>2115</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12084051</v>
      </c>
      <c r="D13" s="1080" t="s">
        <v>705</v>
      </c>
      <c r="E13" s="1080" t="s">
        <v>706</v>
      </c>
      <c r="F13" s="1081">
        <f ca="1">INDIRECT("'数据-取费表'!y"&amp;$G$1)</f>
        <v>0.82</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10751580</v>
      </c>
      <c r="D14" s="1344" t="s">
        <v>708</v>
      </c>
      <c r="E14" s="1341"/>
      <c r="F14" s="319"/>
      <c r="G14" s="1383"/>
      <c r="H14" s="981" t="s">
        <v>398</v>
      </c>
      <c r="I14" s="302" t="s">
        <v>709</v>
      </c>
      <c r="J14" s="21">
        <f ca="1">C29</f>
        <v>14736648</v>
      </c>
      <c r="K14" s="12"/>
      <c r="L14" s="806"/>
      <c r="M14" s="807"/>
    </row>
    <row r="15" spans="1:37" s="1396" customFormat="1" ht="18" customHeight="1" thickBot="1">
      <c r="A15" s="981" t="s">
        <v>399</v>
      </c>
      <c r="B15" s="302" t="s">
        <v>710</v>
      </c>
      <c r="C15" s="21">
        <f ca="1">ROUND(C14*F15,0)</f>
        <v>322547</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73683</v>
      </c>
      <c r="K16" s="1086" t="s">
        <v>715</v>
      </c>
      <c r="L16" s="1087"/>
      <c r="M16" s="1071"/>
    </row>
    <row r="17" spans="1:37" s="1396" customFormat="1" ht="18" customHeight="1">
      <c r="A17" s="981" t="s">
        <v>681</v>
      </c>
      <c r="B17" s="302" t="s">
        <v>716</v>
      </c>
      <c r="C17" s="21">
        <f ca="1">ROUND(F17*(F43+INDIRECT("'数据-取费表'!S"&amp;$G$1)),0)</f>
        <v>477848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215032</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11767007</v>
      </c>
      <c r="D19" s="131" t="s">
        <v>726</v>
      </c>
      <c r="E19" s="1359"/>
      <c r="F19" s="23"/>
      <c r="G19" s="1383"/>
      <c r="H19" s="981" t="s">
        <v>399</v>
      </c>
      <c r="I19" s="302" t="s">
        <v>727</v>
      </c>
      <c r="J19" s="21">
        <f ca="1">IF(K19="按租金收入计税",ROUND(J6*M19/(1+'数据-取费表'!C42),0),ROUND(C29*M19*0.7,0))</f>
        <v>0</v>
      </c>
      <c r="K19" s="1369" t="s">
        <v>3335</v>
      </c>
      <c r="L19" s="302" t="s">
        <v>712</v>
      </c>
      <c r="M19" s="322">
        <f>IF(K19="按租金收入计税",'数据-取费表'!B51,'数据-取费表'!B50)</f>
        <v>0.12</v>
      </c>
    </row>
    <row r="20" spans="1:37" s="1396" customFormat="1" ht="18" customHeight="1">
      <c r="A20" s="981" t="s">
        <v>402</v>
      </c>
      <c r="B20" s="302" t="s">
        <v>728</v>
      </c>
      <c r="C20" s="21">
        <f ca="1">ROUND(C19*F20,0)</f>
        <v>235340</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73683</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414081</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-73683</v>
      </c>
      <c r="K25" s="1094" t="s">
        <v>753</v>
      </c>
      <c r="L25" s="1095"/>
      <c r="M25" s="1096"/>
    </row>
    <row r="26" spans="1:37" ht="18" customHeight="1">
      <c r="A26" s="981" t="s">
        <v>397</v>
      </c>
      <c r="B26" s="302" t="s">
        <v>754</v>
      </c>
      <c r="C26" s="21">
        <f ca="1">ROUND((C19+C20)*F26,0)</f>
        <v>1200235</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14736648</v>
      </c>
      <c r="D29" s="1091"/>
      <c r="E29" s="1089"/>
      <c r="F29" s="1092"/>
      <c r="G29" s="1395"/>
      <c r="H29" s="334" t="s">
        <v>396</v>
      </c>
      <c r="I29" s="335" t="s">
        <v>768</v>
      </c>
      <c r="J29" s="336">
        <f ca="1">ROUND(J26/(1+F40)^F41,0)</f>
        <v>0</v>
      </c>
      <c r="K29" s="337" t="s">
        <v>769</v>
      </c>
      <c r="L29" s="338"/>
      <c r="M29" s="339">
        <f ca="1">INDIRECT("'数据-取费表'!k"&amp;$G$1)</f>
        <v>2389.2399999999998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341688</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248499</v>
      </c>
      <c r="D31" s="1344" t="s">
        <v>720</v>
      </c>
      <c r="E31" s="1343"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f ca="1">IF(项目基本情况!B11="自然人","——",ROUND(C6*F32/(1+'数据-取费表'!C42),0))</f>
        <v>79068</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169431</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73683</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12084</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7422</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1142688</v>
      </c>
      <c r="D39" s="1094" t="s">
        <v>773</v>
      </c>
      <c r="E39" s="1095"/>
      <c r="F39" s="1096"/>
      <c r="G39" s="1383"/>
      <c r="H39" s="2699"/>
      <c r="I39" s="1397"/>
      <c r="J39" s="1398"/>
      <c r="K39" s="2703"/>
      <c r="L39" s="2699"/>
      <c r="M39" s="2699"/>
    </row>
    <row r="40" spans="1:18" ht="18" customHeight="1">
      <c r="A40" s="299" t="s">
        <v>395</v>
      </c>
      <c r="B40" s="300" t="s">
        <v>774</v>
      </c>
      <c r="C40" s="301">
        <f ca="1">ROUND(C39*(1-((1+F42)/(1+F40))^F41)/(F40-F42),0)</f>
        <v>23144830</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36.58</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9687</v>
      </c>
      <c r="D43" s="337" t="s">
        <v>777</v>
      </c>
      <c r="E43" s="338" t="s">
        <v>778</v>
      </c>
      <c r="F43" s="339">
        <f ca="1">INDIRECT("'数据-取费表'!k"&amp;$G$1)</f>
        <v>2389.2399999999998</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3351</v>
      </c>
      <c r="B45" s="1399"/>
      <c r="C45" s="1471">
        <f ca="1">ROUND((C68-C40)/10000,4)</f>
        <v>-2448.4250000000002</v>
      </c>
      <c r="D45" s="3431" t="s">
        <v>3352</v>
      </c>
      <c r="E45" s="1399"/>
      <c r="F45" s="1399"/>
      <c r="O45" s="1402" t="s">
        <v>808</v>
      </c>
      <c r="P45" s="1460"/>
      <c r="Q45" s="1460"/>
      <c r="R45" s="1460"/>
    </row>
    <row r="46" spans="1:18" s="1383" customFormat="1" ht="13.5" thickBot="1">
      <c r="A46" s="1403" t="s">
        <v>809</v>
      </c>
      <c r="C46" s="1404">
        <f ca="1">ROUND(C45,0)</f>
        <v>-2448</v>
      </c>
      <c r="D46" s="1405" t="str">
        <f>C2</f>
        <v>万元</v>
      </c>
      <c r="I46" s="1406" t="s">
        <v>810</v>
      </c>
      <c r="J46" s="1407"/>
      <c r="K46" s="1408"/>
      <c r="L46" s="1409">
        <f ca="1">IF(M47="住宅",0,IF(L48&gt;J51,L60,J60))</f>
        <v>418347</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3407</v>
      </c>
      <c r="K47" s="1415" t="s">
        <v>816</v>
      </c>
      <c r="L47" s="1416">
        <f ca="1">INDIRECT("'数据-取费表'!d"&amp;$G$1)</f>
        <v>50</v>
      </c>
      <c r="M47" s="1379" t="str">
        <f>IF(ISNUMBER(FIND("住宅",C1)),"住宅","非住宅")</f>
        <v>非住宅</v>
      </c>
      <c r="O47" s="1417" t="s">
        <v>403</v>
      </c>
      <c r="P47" s="1418" t="s">
        <v>817</v>
      </c>
      <c r="Q47" s="1419">
        <f ca="1">C40+J29</f>
        <v>23144830</v>
      </c>
      <c r="R47" s="1419" t="s">
        <v>818</v>
      </c>
    </row>
    <row r="48" spans="1:18" s="1383" customFormat="1" ht="28.5" thickBot="1">
      <c r="A48" s="1109" t="s">
        <v>438</v>
      </c>
      <c r="B48" s="300" t="s">
        <v>692</v>
      </c>
      <c r="C48" s="1358">
        <f ca="1">C49+C53+C55</f>
        <v>0</v>
      </c>
      <c r="D48" s="1111"/>
      <c r="E48" s="1112"/>
      <c r="F48" s="961"/>
      <c r="G48" s="721"/>
      <c r="H48" s="722"/>
      <c r="I48" s="1420" t="s">
        <v>819</v>
      </c>
      <c r="J48" s="1421" t="s">
        <v>3432</v>
      </c>
      <c r="K48" s="1422" t="s">
        <v>820</v>
      </c>
      <c r="L48" s="1423">
        <f ca="1">INDIRECT("'数据-取费表'!f"&amp;$G$1)</f>
        <v>36.58</v>
      </c>
      <c r="O48" s="1417" t="s">
        <v>404</v>
      </c>
      <c r="P48" s="1418" t="s">
        <v>821</v>
      </c>
      <c r="Q48" s="1419">
        <f ca="1">J60</f>
        <v>418347</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2013</v>
      </c>
      <c r="K49" s="1422" t="s">
        <v>824</v>
      </c>
      <c r="L49" s="1426"/>
      <c r="O49" s="1427" t="s">
        <v>405</v>
      </c>
      <c r="P49" s="1418" t="s">
        <v>825</v>
      </c>
      <c r="Q49" s="1419">
        <f ca="1">C29</f>
        <v>14736648</v>
      </c>
      <c r="R49" s="1419" t="s">
        <v>818</v>
      </c>
    </row>
    <row r="50" spans="1:18" s="1383" customFormat="1" ht="13.5" thickBot="1">
      <c r="A50" s="975"/>
      <c r="B50" s="978"/>
      <c r="C50" s="979"/>
      <c r="D50" s="952"/>
      <c r="E50" s="1055" t="s">
        <v>697</v>
      </c>
      <c r="F50" s="1056">
        <f ca="1">F7</f>
        <v>2389.2399999999998</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49</v>
      </c>
      <c r="K51" s="1433" t="s">
        <v>830</v>
      </c>
      <c r="L51" s="1434">
        <f ca="1">ROUND(-PV(INDIRECT("'数据-取费表'!h"&amp;$G$1),J51,(C39-C13*C76),0),0)</f>
        <v>5392557</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36.58</v>
      </c>
      <c r="R52" s="1419" t="s">
        <v>835</v>
      </c>
    </row>
    <row r="53" spans="1:18" s="1383" customFormat="1" ht="30.75" customHeight="1" thickBot="1">
      <c r="A53" s="1110" t="s">
        <v>440</v>
      </c>
      <c r="B53" s="323"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36.58</v>
      </c>
      <c r="K53" s="3681" t="s">
        <v>837</v>
      </c>
      <c r="L53" s="3682"/>
      <c r="O53" s="1417" t="s">
        <v>409</v>
      </c>
      <c r="P53" s="1418" t="s">
        <v>838</v>
      </c>
      <c r="Q53" s="1419">
        <f ca="1">Q47+Q48</f>
        <v>23563177</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0.20699999999999999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12084051</v>
      </c>
      <c r="D56" s="1446"/>
      <c r="E56" s="1447"/>
      <c r="F56" s="1439"/>
      <c r="I56" s="1448" t="s">
        <v>842</v>
      </c>
      <c r="J56" s="1449" t="s">
        <v>3382</v>
      </c>
      <c r="K56" s="1420" t="s">
        <v>843</v>
      </c>
      <c r="L56" s="1423" t="str">
        <f ca="1">IF(L48&lt;J51,"——",L48-J51)</f>
        <v>——</v>
      </c>
      <c r="O56" s="1417" t="s">
        <v>403</v>
      </c>
      <c r="P56" s="1418" t="s">
        <v>817</v>
      </c>
      <c r="Q56" s="1419">
        <f ca="1">C40+J29</f>
        <v>23144830</v>
      </c>
      <c r="R56" s="1419" t="s">
        <v>818</v>
      </c>
    </row>
    <row r="57" spans="1:18" s="1383" customFormat="1" ht="24.75" thickBot="1">
      <c r="A57" s="1450"/>
      <c r="B57" s="949" t="s">
        <v>767</v>
      </c>
      <c r="C57" s="238">
        <f ca="1">C29</f>
        <v>14736648</v>
      </c>
      <c r="D57" s="1451"/>
      <c r="E57" s="1452"/>
      <c r="F57" s="1453"/>
      <c r="I57" s="1454" t="s">
        <v>844</v>
      </c>
      <c r="J57" s="1455">
        <f ca="1">IF(OR(M47="住宅",J51&lt;L48,J56="是"),"——",J51-L48)</f>
        <v>12.420000000000002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85767</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5894659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418347</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3335</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23144830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73683</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12084</v>
      </c>
      <c r="D65" s="963" t="s">
        <v>743</v>
      </c>
      <c r="E65" s="949" t="s">
        <v>744</v>
      </c>
      <c r="F65" s="330">
        <f t="shared" ca="1" si="0"/>
        <v>1E-3</v>
      </c>
      <c r="I65" s="1461" t="s">
        <v>867</v>
      </c>
      <c r="J65" s="1462">
        <v>40</v>
      </c>
      <c r="K65" s="1462">
        <v>30</v>
      </c>
      <c r="L65" s="1462">
        <v>50</v>
      </c>
      <c r="M65" s="1464">
        <v>0.02</v>
      </c>
      <c r="O65" s="1417" t="s">
        <v>403</v>
      </c>
      <c r="P65" s="1418" t="s">
        <v>868</v>
      </c>
      <c r="Q65" s="1419">
        <f ca="1">C40+J29</f>
        <v>23144830</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-85767</v>
      </c>
      <c r="D67" s="962" t="s">
        <v>753</v>
      </c>
      <c r="E67" s="967"/>
      <c r="F67" s="968"/>
      <c r="O67" s="1427" t="s">
        <v>405</v>
      </c>
      <c r="P67" s="1418" t="s">
        <v>850</v>
      </c>
      <c r="Q67" s="1465">
        <f ca="1">L51</f>
        <v>5392557</v>
      </c>
      <c r="R67" s="1419" t="s">
        <v>870</v>
      </c>
    </row>
    <row r="68" spans="1:18" s="1383" customFormat="1" ht="16.5" thickBot="1">
      <c r="A68" s="946" t="s">
        <v>395</v>
      </c>
      <c r="B68" s="947" t="s">
        <v>774</v>
      </c>
      <c r="C68" s="301">
        <f ca="1">ROUND(C67*(1-((1+F70)/(1+F68))^F69)/(F68-F70),0)</f>
        <v>-1339420</v>
      </c>
      <c r="D68" s="964" t="s">
        <v>758</v>
      </c>
      <c r="E68" s="949" t="s">
        <v>759</v>
      </c>
      <c r="F68" s="312">
        <f ca="1">F40</f>
        <v>5.5E-2</v>
      </c>
      <c r="O68" s="1427" t="s">
        <v>406</v>
      </c>
      <c r="P68" s="1466" t="s">
        <v>871</v>
      </c>
      <c r="Q68" s="1419">
        <f ca="1">ROUND(Q69-Q70*Q71,0)</f>
        <v>296804</v>
      </c>
      <c r="R68" s="1419" t="s">
        <v>414</v>
      </c>
    </row>
    <row r="69" spans="1:18" s="1383" customFormat="1" ht="13.5" thickBot="1">
      <c r="A69" s="950"/>
      <c r="B69" s="951"/>
      <c r="C69" s="306"/>
      <c r="D69" s="969" t="s">
        <v>762</v>
      </c>
      <c r="E69" s="949" t="s">
        <v>763</v>
      </c>
      <c r="F69" s="333">
        <f ca="1">F41</f>
        <v>36.58</v>
      </c>
      <c r="O69" s="1427" t="s">
        <v>411</v>
      </c>
      <c r="P69" s="1466" t="s">
        <v>872</v>
      </c>
      <c r="Q69" s="1419">
        <f ca="1">C39</f>
        <v>1142688</v>
      </c>
      <c r="R69" s="1419" t="s">
        <v>818</v>
      </c>
    </row>
    <row r="70" spans="1:18" s="1383" customFormat="1" ht="13.5" thickBot="1">
      <c r="A70" s="953"/>
      <c r="B70" s="954"/>
      <c r="C70" s="310"/>
      <c r="D70" s="965"/>
      <c r="E70" s="949" t="s">
        <v>766</v>
      </c>
      <c r="F70" s="1053"/>
      <c r="O70" s="1427" t="s">
        <v>412</v>
      </c>
      <c r="P70" s="1466" t="s">
        <v>873</v>
      </c>
      <c r="Q70" s="1419">
        <f ca="1">C13</f>
        <v>12084051</v>
      </c>
      <c r="R70" s="1419" t="s">
        <v>818</v>
      </c>
    </row>
    <row r="71" spans="1:18" s="1383" customFormat="1" ht="13.5" thickBot="1">
      <c r="A71" s="970" t="s">
        <v>396</v>
      </c>
      <c r="B71" s="971" t="s">
        <v>776</v>
      </c>
      <c r="C71" s="336">
        <f ca="1">ROUND(C68/F71,0)</f>
        <v>-561</v>
      </c>
      <c r="D71" s="972" t="s">
        <v>777</v>
      </c>
      <c r="E71" s="973" t="s">
        <v>778</v>
      </c>
      <c r="F71" s="339">
        <f ca="1">F43</f>
        <v>2389.2399999999998</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845884</v>
      </c>
      <c r="D75" s="1383"/>
      <c r="E75" s="1383"/>
      <c r="F75" s="1383"/>
      <c r="K75" s="1401"/>
      <c r="L75" s="1383"/>
      <c r="O75" s="1417" t="s">
        <v>409</v>
      </c>
      <c r="P75" s="1418" t="s">
        <v>838</v>
      </c>
      <c r="Q75" s="1419">
        <f ca="1">Q65+Q66</f>
        <v>23144830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0.26</v>
      </c>
    </row>
    <row r="80" spans="1:18">
      <c r="B80" s="340" t="s">
        <v>800</v>
      </c>
      <c r="C80" s="274">
        <f ca="1">ROUND(C75/C39,3)</f>
        <v>0.74</v>
      </c>
    </row>
    <row r="81" spans="2:3">
      <c r="B81" s="270" t="s">
        <v>801</v>
      </c>
      <c r="C81" s="238"/>
    </row>
    <row r="82" spans="2:3">
      <c r="B82" s="273" t="s">
        <v>802</v>
      </c>
      <c r="C82" s="275">
        <f ca="1">1-C83</f>
        <v>0.47799999999999998</v>
      </c>
    </row>
    <row r="83" spans="2:3">
      <c r="B83" s="273" t="s">
        <v>803</v>
      </c>
      <c r="C83" s="274">
        <f ca="1">ROUND(C13/C40,3)</f>
        <v>0.52200000000000002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4" t="s">
        <v>2316</v>
      </c>
      <c r="B2" s="2842" t="e">
        <f>IF(D2="——",C40,C40+E2)</f>
        <v>#DIV/0!</v>
      </c>
      <c r="C2" s="2843" t="s">
        <v>2317</v>
      </c>
      <c r="D2" s="3442" t="s">
        <v>3358</v>
      </c>
      <c r="E2" s="3443"/>
      <c r="F2" s="2845"/>
      <c r="G2" s="2846"/>
      <c r="H2" s="2847"/>
      <c r="I2" s="2848"/>
      <c r="J2" s="3753" t="s">
        <v>2318</v>
      </c>
      <c r="K2" s="3754"/>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755" t="s">
        <v>2328</v>
      </c>
      <c r="K3" s="3756"/>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755" t="s">
        <v>2330</v>
      </c>
      <c r="K4" s="3756"/>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761" t="s">
        <v>2334</v>
      </c>
      <c r="B6" s="3762"/>
      <c r="C6" s="3763"/>
      <c r="D6" s="2869"/>
      <c r="E6" s="2870"/>
      <c r="F6" s="2871"/>
      <c r="G6" s="2872"/>
      <c r="H6" s="2847"/>
      <c r="I6" s="2848"/>
      <c r="J6" s="3747">
        <v>1</v>
      </c>
      <c r="K6" s="3748"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747"/>
      <c r="K7" s="3749"/>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764" t="s">
        <v>2348</v>
      </c>
      <c r="C8" s="3765"/>
      <c r="D8" s="2888" t="s">
        <v>2349</v>
      </c>
      <c r="E8" s="2889" t="s">
        <v>2350</v>
      </c>
      <c r="F8" s="2890" t="s">
        <v>2351</v>
      </c>
      <c r="G8" s="2891"/>
      <c r="H8" s="2847"/>
      <c r="I8" s="2848"/>
      <c r="J8" s="3747"/>
      <c r="K8" s="3749"/>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764" t="s">
        <v>2354</v>
      </c>
      <c r="C9" s="3765"/>
      <c r="D9" s="2888">
        <f>ROUND(D6*E9,0)</f>
        <v>0</v>
      </c>
      <c r="E9" s="2892"/>
      <c r="F9" s="2893" t="s">
        <v>2355</v>
      </c>
      <c r="G9" s="2872"/>
      <c r="H9" s="2847"/>
      <c r="I9" s="2848"/>
      <c r="J9" s="3747"/>
      <c r="K9" s="3749"/>
      <c r="L9" s="2882" t="s">
        <v>2356</v>
      </c>
      <c r="M9" s="2883"/>
      <c r="N9" s="2859"/>
      <c r="O9" s="2884"/>
      <c r="P9" s="2884"/>
      <c r="Q9" s="2885">
        <v>365</v>
      </c>
      <c r="R9" s="2886">
        <f t="shared" si="0"/>
        <v>0</v>
      </c>
      <c r="S9" s="2840"/>
      <c r="T9" s="2840"/>
      <c r="U9" s="2840"/>
      <c r="V9" s="2848"/>
    </row>
    <row r="10" spans="1:22" s="2852" customFormat="1" ht="13.15" customHeight="1">
      <c r="A10" s="2887">
        <v>2</v>
      </c>
      <c r="B10" s="3764" t="s">
        <v>2357</v>
      </c>
      <c r="C10" s="3765"/>
      <c r="D10" s="2888">
        <f>ROUND(D6*E10,0)</f>
        <v>0</v>
      </c>
      <c r="E10" s="2892"/>
      <c r="F10" s="2893" t="s">
        <v>2358</v>
      </c>
      <c r="G10" s="2872"/>
      <c r="H10" s="2847"/>
      <c r="I10" s="2848"/>
      <c r="J10" s="3747"/>
      <c r="K10" s="3749"/>
      <c r="L10" s="2882" t="s">
        <v>2359</v>
      </c>
      <c r="M10" s="2883"/>
      <c r="N10" s="2859"/>
      <c r="O10" s="2884"/>
      <c r="P10" s="2884"/>
      <c r="Q10" s="2885">
        <v>365</v>
      </c>
      <c r="R10" s="2886">
        <f t="shared" si="0"/>
        <v>0</v>
      </c>
      <c r="S10" s="2840"/>
      <c r="T10" s="2840"/>
      <c r="U10" s="2840"/>
      <c r="V10" s="2848"/>
    </row>
    <row r="11" spans="1:22" s="2852" customFormat="1" ht="13.15" customHeight="1">
      <c r="A11" s="2887">
        <v>3</v>
      </c>
      <c r="B11" s="3764" t="s">
        <v>2360</v>
      </c>
      <c r="C11" s="3765"/>
      <c r="D11" s="2888">
        <f>D12+D14+D15+D16</f>
        <v>0</v>
      </c>
      <c r="E11" s="2894" t="e">
        <f>D11/D6</f>
        <v>#DIV/0!</v>
      </c>
      <c r="F11" s="2890"/>
      <c r="G11" s="2891"/>
      <c r="H11" s="2847"/>
      <c r="I11" s="2848"/>
      <c r="J11" s="3747"/>
      <c r="K11" s="3749"/>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757" t="s">
        <v>2363</v>
      </c>
      <c r="C12" s="3758"/>
      <c r="D12" s="2896">
        <f>ROUND(D13*1.2%*(1-30%),0)</f>
        <v>0</v>
      </c>
      <c r="E12" s="2897">
        <v>1.2E-2</v>
      </c>
      <c r="F12" s="2890" t="s">
        <v>2364</v>
      </c>
      <c r="G12" s="2891"/>
      <c r="H12" s="2847"/>
      <c r="I12" s="2848"/>
      <c r="J12" s="3747"/>
      <c r="K12" s="3749"/>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747"/>
      <c r="K13" s="3749"/>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757" t="s">
        <v>2369</v>
      </c>
      <c r="C14" s="3758"/>
      <c r="D14" s="2896">
        <f>ROUND(E14*B5/10000,0)</f>
        <v>0</v>
      </c>
      <c r="E14" s="2885"/>
      <c r="F14" s="2890" t="s">
        <v>2370</v>
      </c>
      <c r="G14" s="2891"/>
      <c r="H14" s="2847"/>
      <c r="I14" s="2848"/>
      <c r="J14" s="3747"/>
      <c r="K14" s="3750"/>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757" t="s">
        <v>2373</v>
      </c>
      <c r="C15" s="3758"/>
      <c r="D15" s="2896">
        <f>ROUND(D6*E15,0)</f>
        <v>0</v>
      </c>
      <c r="E15" s="2897">
        <v>5.5E-2</v>
      </c>
      <c r="F15" s="2890" t="s">
        <v>2374</v>
      </c>
      <c r="G15" s="2872"/>
      <c r="H15" s="2847"/>
      <c r="I15" s="2848"/>
      <c r="J15" s="3747">
        <v>2</v>
      </c>
      <c r="K15" s="3748"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757" t="s">
        <v>2382</v>
      </c>
      <c r="C16" s="3758"/>
      <c r="D16" s="2907">
        <f>D6*E16</f>
        <v>0</v>
      </c>
      <c r="E16" s="2908"/>
      <c r="F16" s="2893" t="s">
        <v>2383</v>
      </c>
      <c r="G16" s="2872"/>
      <c r="H16" s="2847"/>
      <c r="I16" s="2848"/>
      <c r="J16" s="3747"/>
      <c r="K16" s="3749"/>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759" t="s">
        <v>2385</v>
      </c>
      <c r="C17" s="3760"/>
      <c r="D17" s="2910">
        <f>ROUND(D6*E17,0)</f>
        <v>0</v>
      </c>
      <c r="E17" s="2911"/>
      <c r="F17" s="2912" t="s">
        <v>2386</v>
      </c>
      <c r="G17" s="2872"/>
      <c r="H17" s="2847"/>
      <c r="I17" s="2848"/>
      <c r="J17" s="3747"/>
      <c r="K17" s="3749"/>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747"/>
      <c r="K18" s="3749"/>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747"/>
      <c r="K19" s="3750"/>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47">
        <v>3</v>
      </c>
      <c r="K20" s="3748"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747"/>
      <c r="K21" s="3749"/>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747"/>
      <c r="K22" s="3749"/>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747"/>
      <c r="K23" s="3749"/>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747"/>
      <c r="K24" s="3750"/>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751">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75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753" t="s">
        <v>2318</v>
      </c>
      <c r="K32" s="3754"/>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755" t="s">
        <v>2328</v>
      </c>
      <c r="K33" s="3756"/>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755" t="s">
        <v>2330</v>
      </c>
      <c r="K34" s="375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747">
        <v>1</v>
      </c>
      <c r="K36" s="3748"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747"/>
      <c r="K37" s="3749"/>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47"/>
      <c r="K38" s="3749"/>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747"/>
      <c r="K39" s="3749"/>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747"/>
      <c r="K40" s="3750"/>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751">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75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1656</v>
      </c>
      <c r="B1" s="1867"/>
      <c r="C1" s="1867"/>
      <c r="D1" s="1867"/>
      <c r="E1" s="1868"/>
      <c r="F1" s="2706"/>
      <c r="G1" s="1488"/>
      <c r="H1" s="1488"/>
      <c r="I1" s="1488"/>
      <c r="J1" s="1488"/>
      <c r="K1" s="1488"/>
      <c r="L1" s="1488"/>
      <c r="M1" s="1488"/>
      <c r="N1" s="1488"/>
      <c r="O1" s="1488"/>
      <c r="P1" s="1488"/>
      <c r="Q1" s="1488"/>
      <c r="R1" s="1488"/>
      <c r="S1" s="1488"/>
    </row>
    <row r="2" spans="1:22" ht="15.75">
      <c r="A2" s="1869" t="s">
        <v>1460</v>
      </c>
      <c r="B2" s="1870">
        <f ca="1">SUMIF(B6:B13,"&lt;&gt;#ref!",B6:B13)</f>
        <v>2356.3177000000001</v>
      </c>
      <c r="C2" s="1871" t="s">
        <v>1649</v>
      </c>
      <c r="D2" s="1872" t="s">
        <v>1650</v>
      </c>
      <c r="E2" s="2606">
        <f>SUM(E6:E13)</f>
        <v>2389.2399999999998</v>
      </c>
      <c r="F2" s="2706"/>
      <c r="G2" s="1488"/>
      <c r="H2" s="1488"/>
      <c r="I2" s="1488"/>
      <c r="J2" s="1488"/>
      <c r="K2" s="1488"/>
      <c r="L2" s="1488"/>
      <c r="M2" s="1488"/>
      <c r="N2" s="1488"/>
      <c r="O2" s="1488"/>
      <c r="P2" s="1488"/>
      <c r="Q2" s="1488"/>
      <c r="R2" s="1488"/>
      <c r="S2" s="1488"/>
    </row>
    <row r="3" spans="1:22" ht="15.75">
      <c r="A3" s="1869" t="s">
        <v>686</v>
      </c>
      <c r="B3" s="2600">
        <f ca="1">ROUND(B2*10000/E2,0)</f>
        <v>9862</v>
      </c>
      <c r="C3" s="1871" t="s">
        <v>1657</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1651</v>
      </c>
      <c r="B5" s="3766" t="s">
        <v>1652</v>
      </c>
      <c r="C5" s="3767"/>
      <c r="D5" s="2707"/>
      <c r="E5" s="1873" t="s">
        <v>1653</v>
      </c>
      <c r="F5" s="1874" t="s">
        <v>1654</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2356.3177000000001</v>
      </c>
      <c r="C6" s="1871" t="s">
        <v>1649</v>
      </c>
      <c r="D6" s="2708"/>
      <c r="E6" s="2605">
        <f>IF(OR(A6=0,F6="否"),0,'数据-取费表'!K6+'数据-取费表'!S6)</f>
        <v>2389.2399999999998</v>
      </c>
      <c r="F6" s="1875" t="s">
        <v>1655</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1649</v>
      </c>
      <c r="D7" s="2708"/>
      <c r="E7" s="2605">
        <f>IF(OR(A7=0,F7="否"),0,'数据-取费表'!K7+'数据-取费表'!S7)</f>
        <v>0</v>
      </c>
      <c r="F7" s="1875" t="s">
        <v>1655</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1649</v>
      </c>
      <c r="D8" s="2708"/>
      <c r="E8" s="2605">
        <f>IF(OR(A8=0,F8="否"),0,'数据-取费表'!K8+'数据-取费表'!S8)</f>
        <v>0</v>
      </c>
      <c r="F8" s="1875" t="s">
        <v>1655</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1649</v>
      </c>
      <c r="D9" s="2708"/>
      <c r="E9" s="2605">
        <f>IF(OR(A9=0,F9="否"),0,'数据-取费表'!K9+'数据-取费表'!S9)</f>
        <v>0</v>
      </c>
      <c r="F9" s="1875" t="s">
        <v>1655</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1649</v>
      </c>
      <c r="D10" s="2708"/>
      <c r="E10" s="2605">
        <f>IF(OR(A10=0,F10="否"),0,'数据-取费表'!K10+'数据-取费表'!S10)</f>
        <v>0</v>
      </c>
      <c r="F10" s="1875" t="s">
        <v>1655</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1649</v>
      </c>
      <c r="D11" s="2708"/>
      <c r="E11" s="2605">
        <f>IF(OR(A11=0,F11="否"),0,'数据-取费表'!K11+'数据-取费表'!S11)</f>
        <v>0</v>
      </c>
      <c r="F11" s="1875" t="s">
        <v>1655</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1649</v>
      </c>
      <c r="D12" s="2708"/>
      <c r="E12" s="2605">
        <f>IF(OR(A12=0,F12="否"),0,'数据-取费表'!K12+'数据-取费表'!S12)</f>
        <v>0</v>
      </c>
      <c r="F12" s="1875" t="s">
        <v>1655</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1649</v>
      </c>
      <c r="D13" s="2709"/>
      <c r="E13" s="2605">
        <f>IF(OR(A13=0,F13="否"),0,'数据-取费表'!K13+'数据-取费表'!S13)</f>
        <v>0</v>
      </c>
      <c r="F13" s="1875" t="s">
        <v>1655</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1659</v>
      </c>
      <c r="C1" s="1237" t="s">
        <v>1660</v>
      </c>
      <c r="D1" s="1224"/>
      <c r="E1" s="3425"/>
      <c r="F1" s="1878"/>
      <c r="G1" s="1234" t="s">
        <v>1661</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1662</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1663</v>
      </c>
      <c r="D3" s="353">
        <f>IF(D1="",'数据-汇总表'!E3,SUMIF('数据-汇总表'!$C19:$C33,D1,'数据-汇总表'!$E19:$E33))</f>
        <v>2389.2399999999998</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1664</v>
      </c>
      <c r="B4" s="356"/>
      <c r="C4" s="3705" t="s">
        <v>1665</v>
      </c>
      <c r="D4" s="3706"/>
      <c r="E4" s="3707" t="s">
        <v>1666</v>
      </c>
      <c r="F4" s="3708"/>
      <c r="G4" s="3705" t="s">
        <v>1667</v>
      </c>
      <c r="H4" s="3706"/>
      <c r="I4" s="3705" t="s">
        <v>1668</v>
      </c>
      <c r="J4" s="3706"/>
      <c r="K4" s="1888" t="s">
        <v>1669</v>
      </c>
      <c r="L4" s="2714"/>
      <c r="M4" s="2715"/>
      <c r="N4" s="2715"/>
      <c r="O4" s="2715"/>
      <c r="P4" s="3709" t="s">
        <v>1670</v>
      </c>
      <c r="Q4" s="3710"/>
      <c r="R4" s="3715" t="s">
        <v>1666</v>
      </c>
      <c r="S4" s="3716"/>
      <c r="T4" s="3715" t="s">
        <v>1667</v>
      </c>
      <c r="U4" s="3716"/>
      <c r="V4" s="3700" t="s">
        <v>1668</v>
      </c>
      <c r="W4" s="3700"/>
      <c r="X4" s="1354"/>
      <c r="Y4" s="3715" t="s">
        <v>1670</v>
      </c>
      <c r="Z4" s="3716"/>
      <c r="AA4" s="3702" t="s">
        <v>1666</v>
      </c>
      <c r="AB4" s="3702" t="s">
        <v>1667</v>
      </c>
      <c r="AC4" s="3702" t="s">
        <v>1668</v>
      </c>
    </row>
    <row r="5" spans="1:29" ht="15">
      <c r="A5" s="358"/>
      <c r="B5" s="359"/>
      <c r="C5" s="3723" t="s">
        <v>1671</v>
      </c>
      <c r="D5" s="3724"/>
      <c r="E5" s="3730" t="s">
        <v>1672</v>
      </c>
      <c r="F5" s="3731"/>
      <c r="G5" s="3723" t="s">
        <v>1673</v>
      </c>
      <c r="H5" s="3724"/>
      <c r="I5" s="3723" t="s">
        <v>1674</v>
      </c>
      <c r="J5" s="3724"/>
      <c r="K5" s="1889"/>
      <c r="L5" s="2714"/>
      <c r="M5" s="2715"/>
      <c r="N5" s="2715"/>
      <c r="O5" s="2715"/>
      <c r="P5" s="3711"/>
      <c r="Q5" s="3712"/>
      <c r="R5" s="3717"/>
      <c r="S5" s="3718"/>
      <c r="T5" s="3717"/>
      <c r="U5" s="3718"/>
      <c r="V5" s="3700"/>
      <c r="W5" s="3700"/>
      <c r="X5" s="1354"/>
      <c r="Y5" s="3717"/>
      <c r="Z5" s="3718"/>
      <c r="AA5" s="3703"/>
      <c r="AB5" s="3703"/>
      <c r="AC5" s="3703"/>
    </row>
    <row r="6" spans="1:29" ht="15.75" thickBot="1">
      <c r="A6" s="360"/>
      <c r="B6" s="361"/>
      <c r="C6" s="3721" t="s">
        <v>1675</v>
      </c>
      <c r="D6" s="3722"/>
      <c r="E6" s="3728" t="s">
        <v>1675</v>
      </c>
      <c r="F6" s="3729"/>
      <c r="G6" s="3721" t="s">
        <v>1675</v>
      </c>
      <c r="H6" s="3722"/>
      <c r="I6" s="3721" t="s">
        <v>1675</v>
      </c>
      <c r="J6" s="3722"/>
      <c r="K6" s="1889" t="s">
        <v>1676</v>
      </c>
      <c r="L6" s="2714"/>
      <c r="M6" s="2715"/>
      <c r="N6" s="2715"/>
      <c r="O6" s="2715"/>
      <c r="P6" s="3713"/>
      <c r="Q6" s="3714"/>
      <c r="R6" s="3717"/>
      <c r="S6" s="3718"/>
      <c r="T6" s="3719"/>
      <c r="U6" s="3720"/>
      <c r="V6" s="3700"/>
      <c r="W6" s="3700"/>
      <c r="X6" s="1354"/>
      <c r="Y6" s="3719"/>
      <c r="Z6" s="3720"/>
      <c r="AA6" s="3704"/>
      <c r="AB6" s="3704"/>
      <c r="AC6" s="3704"/>
    </row>
    <row r="7" spans="1:29" s="108" customFormat="1" ht="15.75" thickBot="1">
      <c r="A7" s="362" t="s">
        <v>1677</v>
      </c>
      <c r="B7" s="363"/>
      <c r="C7" s="364">
        <f>'数据-取费表'!B2</f>
        <v>45449</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25" t="s">
        <v>1678</v>
      </c>
      <c r="Q7" s="3727"/>
      <c r="R7" s="700" t="s">
        <v>20</v>
      </c>
      <c r="S7" s="701">
        <f t="shared" ref="S7:S15" si="0">F7</f>
        <v>0</v>
      </c>
      <c r="T7" s="700" t="s">
        <v>20</v>
      </c>
      <c r="U7" s="701">
        <f t="shared" ref="U7:U15" si="1">H7</f>
        <v>0</v>
      </c>
      <c r="V7" s="700" t="s">
        <v>20</v>
      </c>
      <c r="W7" s="701">
        <f t="shared" ref="W7:W15" si="2">J7</f>
        <v>0</v>
      </c>
      <c r="X7" s="702"/>
      <c r="Y7" s="3725" t="s">
        <v>1678</v>
      </c>
      <c r="Z7" s="3726"/>
      <c r="AA7" s="703" t="e">
        <f>D7/F7</f>
        <v>#DIV/0!</v>
      </c>
      <c r="AB7" s="703" t="e">
        <f>D7/H7</f>
        <v>#DIV/0!</v>
      </c>
      <c r="AC7" s="703" t="e">
        <f>D7/J7</f>
        <v>#DIV/0!</v>
      </c>
    </row>
    <row r="8" spans="1:29" s="108" customFormat="1" ht="15.75" thickBot="1">
      <c r="A8" s="362" t="s">
        <v>1679</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25" t="s">
        <v>1681</v>
      </c>
      <c r="Q8" s="3726"/>
      <c r="R8" s="700" t="s">
        <v>20</v>
      </c>
      <c r="S8" s="701">
        <f t="shared" si="0"/>
        <v>100</v>
      </c>
      <c r="T8" s="700" t="s">
        <v>20</v>
      </c>
      <c r="U8" s="701">
        <f t="shared" si="1"/>
        <v>100</v>
      </c>
      <c r="V8" s="700" t="s">
        <v>20</v>
      </c>
      <c r="W8" s="701">
        <f t="shared" si="2"/>
        <v>100</v>
      </c>
      <c r="X8" s="702"/>
      <c r="Y8" s="3725" t="s">
        <v>1681</v>
      </c>
      <c r="Z8" s="3726"/>
      <c r="AA8" s="703">
        <f t="shared" ref="AA8:AA19" si="3">D8/F8</f>
        <v>1</v>
      </c>
      <c r="AB8" s="703">
        <f t="shared" ref="AB8:AB19" si="4">D8/H8</f>
        <v>1</v>
      </c>
      <c r="AC8" s="703">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01" t="s">
        <v>1684</v>
      </c>
      <c r="Q9" s="1342" t="str">
        <f t="shared" ref="Q9:Q15" si="6">B9</f>
        <v>用途</v>
      </c>
      <c r="R9" s="700" t="s">
        <v>14</v>
      </c>
      <c r="S9" s="701">
        <f t="shared" si="0"/>
        <v>100</v>
      </c>
      <c r="T9" s="700" t="s">
        <v>14</v>
      </c>
      <c r="U9" s="701">
        <f t="shared" si="1"/>
        <v>100</v>
      </c>
      <c r="V9" s="700" t="s">
        <v>14</v>
      </c>
      <c r="W9" s="701">
        <f t="shared" si="2"/>
        <v>100</v>
      </c>
      <c r="X9" s="702"/>
      <c r="Y9" s="3585" t="s">
        <v>1685</v>
      </c>
      <c r="Z9" s="52" t="str">
        <f t="shared" ref="Z9:Z15" si="7">Q9</f>
        <v>用途</v>
      </c>
      <c r="AA9" s="703">
        <f t="shared" si="3"/>
        <v>1</v>
      </c>
      <c r="AB9" s="703">
        <f t="shared" si="4"/>
        <v>1</v>
      </c>
      <c r="AC9" s="703">
        <f t="shared" si="5"/>
        <v>1</v>
      </c>
    </row>
    <row r="10" spans="1:29" s="378" customFormat="1" ht="27">
      <c r="A10" s="374"/>
      <c r="B10" s="375" t="s">
        <v>1686</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01"/>
      <c r="Q10" s="1342" t="str">
        <f t="shared" si="6"/>
        <v>土地使用年限（年）</v>
      </c>
      <c r="R10" s="700" t="s">
        <v>14</v>
      </c>
      <c r="S10" s="701">
        <f t="shared" si="0"/>
        <v>100</v>
      </c>
      <c r="T10" s="700" t="s">
        <v>14</v>
      </c>
      <c r="U10" s="701">
        <f t="shared" si="1"/>
        <v>100</v>
      </c>
      <c r="V10" s="700" t="s">
        <v>14</v>
      </c>
      <c r="W10" s="701">
        <f t="shared" si="2"/>
        <v>100</v>
      </c>
      <c r="X10" s="702"/>
      <c r="Y10" s="3585"/>
      <c r="Z10" s="52" t="str">
        <f t="shared" si="7"/>
        <v>土地使用年限（年）</v>
      </c>
      <c r="AA10" s="703">
        <f t="shared" si="3"/>
        <v>1</v>
      </c>
      <c r="AB10" s="703">
        <f t="shared" si="4"/>
        <v>1</v>
      </c>
      <c r="AC10" s="703">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1"/>
      <c r="Q11" s="1342" t="str">
        <f t="shared" si="6"/>
        <v>容积率</v>
      </c>
      <c r="R11" s="700" t="s">
        <v>18</v>
      </c>
      <c r="S11" s="701" t="e">
        <f t="shared" si="0"/>
        <v>#N/A</v>
      </c>
      <c r="T11" s="700" t="s">
        <v>18</v>
      </c>
      <c r="U11" s="701" t="e">
        <f t="shared" si="1"/>
        <v>#N/A</v>
      </c>
      <c r="V11" s="700" t="s">
        <v>18</v>
      </c>
      <c r="W11" s="701" t="e">
        <f t="shared" si="2"/>
        <v>#N/A</v>
      </c>
      <c r="X11" s="702"/>
      <c r="Y11" s="3585"/>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01"/>
      <c r="Q12" s="1342">
        <f t="shared" si="6"/>
        <v>111</v>
      </c>
      <c r="R12" s="700" t="s">
        <v>18</v>
      </c>
      <c r="S12" s="701">
        <f t="shared" si="0"/>
        <v>100</v>
      </c>
      <c r="T12" s="700" t="s">
        <v>18</v>
      </c>
      <c r="U12" s="701">
        <f t="shared" si="1"/>
        <v>100</v>
      </c>
      <c r="V12" s="700" t="s">
        <v>18</v>
      </c>
      <c r="W12" s="701">
        <f t="shared" si="2"/>
        <v>100</v>
      </c>
      <c r="X12" s="702"/>
      <c r="Y12" s="3585"/>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01"/>
      <c r="Q13" s="1342">
        <f t="shared" si="6"/>
        <v>111</v>
      </c>
      <c r="R13" s="700" t="s">
        <v>18</v>
      </c>
      <c r="S13" s="701">
        <f t="shared" si="0"/>
        <v>100</v>
      </c>
      <c r="T13" s="700" t="s">
        <v>18</v>
      </c>
      <c r="U13" s="701">
        <f t="shared" si="1"/>
        <v>100</v>
      </c>
      <c r="V13" s="700" t="s">
        <v>18</v>
      </c>
      <c r="W13" s="701">
        <f t="shared" si="2"/>
        <v>100</v>
      </c>
      <c r="X13" s="702"/>
      <c r="Y13" s="3585"/>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01"/>
      <c r="Q14" s="1342">
        <f t="shared" si="6"/>
        <v>111</v>
      </c>
      <c r="R14" s="700" t="s">
        <v>18</v>
      </c>
      <c r="S14" s="701">
        <f t="shared" si="0"/>
        <v>100</v>
      </c>
      <c r="T14" s="700" t="s">
        <v>18</v>
      </c>
      <c r="U14" s="701">
        <f t="shared" si="1"/>
        <v>100</v>
      </c>
      <c r="V14" s="700" t="s">
        <v>18</v>
      </c>
      <c r="W14" s="701">
        <f t="shared" si="2"/>
        <v>100</v>
      </c>
      <c r="X14" s="702"/>
      <c r="Y14" s="3585"/>
      <c r="Z14" s="52">
        <f t="shared" si="7"/>
        <v>111</v>
      </c>
      <c r="AA14" s="703">
        <f t="shared" si="3"/>
        <v>1</v>
      </c>
      <c r="AB14" s="703">
        <f t="shared" si="4"/>
        <v>1</v>
      </c>
      <c r="AC14" s="703">
        <f t="shared" si="5"/>
        <v>1</v>
      </c>
    </row>
    <row r="15" spans="1:29" ht="85.5">
      <c r="A15" s="391" t="s">
        <v>1688</v>
      </c>
      <c r="B15" s="61" t="s">
        <v>1255</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1" t="s">
        <v>1689</v>
      </c>
      <c r="Q15" s="1351" t="str">
        <f t="shared" si="6"/>
        <v>居住社区成熟度</v>
      </c>
      <c r="R15" s="704" t="s">
        <v>18</v>
      </c>
      <c r="S15" s="705">
        <f t="shared" si="0"/>
        <v>100</v>
      </c>
      <c r="T15" s="704" t="s">
        <v>18</v>
      </c>
      <c r="U15" s="705">
        <f t="shared" si="1"/>
        <v>100</v>
      </c>
      <c r="V15" s="704" t="s">
        <v>18</v>
      </c>
      <c r="W15" s="705">
        <f t="shared" si="2"/>
        <v>100</v>
      </c>
      <c r="X15" s="1354"/>
      <c r="Y15" s="3693" t="s">
        <v>1689</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2"/>
      <c r="Q16" s="1351"/>
      <c r="R16" s="704"/>
      <c r="S16" s="705"/>
      <c r="T16" s="704"/>
      <c r="U16" s="705"/>
      <c r="V16" s="704"/>
      <c r="W16" s="705"/>
      <c r="X16" s="1354"/>
      <c r="Y16" s="3694"/>
      <c r="Z16" s="1355"/>
      <c r="AA16" s="1352">
        <v>1</v>
      </c>
      <c r="AB16" s="1352">
        <v>1</v>
      </c>
      <c r="AC16" s="1352">
        <v>1</v>
      </c>
    </row>
    <row r="17" spans="1:29" ht="71.25">
      <c r="A17" s="379"/>
      <c r="B17" s="402" t="s">
        <v>1257</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2"/>
      <c r="Q17" s="1351" t="str">
        <f>B17</f>
        <v>交通便捷度</v>
      </c>
      <c r="R17" s="704" t="s">
        <v>18</v>
      </c>
      <c r="S17" s="705">
        <f>F17</f>
        <v>100</v>
      </c>
      <c r="T17" s="704" t="s">
        <v>18</v>
      </c>
      <c r="U17" s="705">
        <f>H17</f>
        <v>100</v>
      </c>
      <c r="V17" s="704" t="s">
        <v>18</v>
      </c>
      <c r="W17" s="705">
        <f>J17</f>
        <v>100</v>
      </c>
      <c r="X17" s="1354"/>
      <c r="Y17" s="369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2"/>
      <c r="Q18" s="1351"/>
      <c r="R18" s="704"/>
      <c r="S18" s="705"/>
      <c r="T18" s="704"/>
      <c r="U18" s="705"/>
      <c r="V18" s="704"/>
      <c r="W18" s="705"/>
      <c r="X18" s="1354"/>
      <c r="Y18" s="3694"/>
      <c r="Z18" s="1355"/>
      <c r="AA18" s="1352">
        <v>1</v>
      </c>
      <c r="AB18" s="1352">
        <v>1</v>
      </c>
      <c r="AC18" s="1352">
        <v>1</v>
      </c>
    </row>
    <row r="19" spans="1:29" ht="42.75">
      <c r="A19" s="379"/>
      <c r="B19" s="402" t="s">
        <v>1256</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2"/>
      <c r="Q19" s="1351" t="str">
        <f>B19</f>
        <v>公共配套设施</v>
      </c>
      <c r="R19" s="704" t="s">
        <v>18</v>
      </c>
      <c r="S19" s="705">
        <f>F19</f>
        <v>100</v>
      </c>
      <c r="T19" s="704" t="s">
        <v>18</v>
      </c>
      <c r="U19" s="705">
        <f>H19</f>
        <v>100</v>
      </c>
      <c r="V19" s="704" t="s">
        <v>18</v>
      </c>
      <c r="W19" s="705">
        <f>J19</f>
        <v>100</v>
      </c>
      <c r="X19" s="1354"/>
      <c r="Y19" s="369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2"/>
      <c r="Q20" s="1351"/>
      <c r="R20" s="704"/>
      <c r="S20" s="705"/>
      <c r="T20" s="704"/>
      <c r="U20" s="705"/>
      <c r="V20" s="704"/>
      <c r="W20" s="705"/>
      <c r="X20" s="1354"/>
      <c r="Y20" s="3694"/>
      <c r="Z20" s="1355"/>
      <c r="AA20" s="1352">
        <v>1</v>
      </c>
      <c r="AB20" s="1352">
        <v>1</v>
      </c>
      <c r="AC20" s="1352">
        <v>1</v>
      </c>
    </row>
    <row r="21" spans="1:29" ht="28.5">
      <c r="A21" s="379"/>
      <c r="B21" s="1130" t="s">
        <v>1258</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2"/>
      <c r="Q21" s="1351" t="str">
        <f>B21</f>
        <v>基础设施水平</v>
      </c>
      <c r="R21" s="704" t="s">
        <v>14</v>
      </c>
      <c r="S21" s="705">
        <f>F21</f>
        <v>100</v>
      </c>
      <c r="T21" s="704" t="s">
        <v>14</v>
      </c>
      <c r="U21" s="705">
        <f>H21</f>
        <v>100</v>
      </c>
      <c r="V21" s="704" t="s">
        <v>14</v>
      </c>
      <c r="W21" s="705">
        <f>J21</f>
        <v>100</v>
      </c>
      <c r="X21" s="1354"/>
      <c r="Y21" s="369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92"/>
      <c r="Q22" s="1351"/>
      <c r="R22" s="704"/>
      <c r="S22" s="705"/>
      <c r="T22" s="704"/>
      <c r="U22" s="705"/>
      <c r="V22" s="704"/>
      <c r="W22" s="705"/>
      <c r="X22" s="1354"/>
      <c r="Y22" s="3694"/>
      <c r="Z22" s="1355"/>
      <c r="AA22" s="1352">
        <v>1</v>
      </c>
      <c r="AB22" s="1352">
        <v>1</v>
      </c>
      <c r="AC22" s="1352">
        <v>1</v>
      </c>
    </row>
    <row r="23" spans="1:29" ht="42.75">
      <c r="A23" s="379"/>
      <c r="B23" s="402" t="s">
        <v>1259</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2"/>
      <c r="Q23" s="1351" t="str">
        <f>B23</f>
        <v>自然及人文环境</v>
      </c>
      <c r="R23" s="704" t="s">
        <v>18</v>
      </c>
      <c r="S23" s="705">
        <f>F23</f>
        <v>100</v>
      </c>
      <c r="T23" s="704" t="s">
        <v>18</v>
      </c>
      <c r="U23" s="705">
        <f>H23</f>
        <v>100</v>
      </c>
      <c r="V23" s="704" t="s">
        <v>18</v>
      </c>
      <c r="W23" s="705">
        <f>J23</f>
        <v>100</v>
      </c>
      <c r="X23" s="1354"/>
      <c r="Y23" s="369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2"/>
      <c r="Q24" s="1351"/>
      <c r="R24" s="704"/>
      <c r="S24" s="705"/>
      <c r="T24" s="704"/>
      <c r="U24" s="705"/>
      <c r="V24" s="704"/>
      <c r="W24" s="705"/>
      <c r="X24" s="1354"/>
      <c r="Y24" s="3694"/>
      <c r="Z24" s="1355"/>
      <c r="AA24" s="1352">
        <v>1</v>
      </c>
      <c r="AB24" s="1352">
        <v>1</v>
      </c>
      <c r="AC24" s="1352">
        <v>1</v>
      </c>
    </row>
    <row r="25" spans="1:29" ht="15">
      <c r="A25" s="379"/>
      <c r="B25" s="375" t="s">
        <v>1690</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2"/>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4"/>
      <c r="Z25" s="1355" t="str">
        <f>Q25</f>
        <v>楼层-1</v>
      </c>
      <c r="AA25" s="1352">
        <f t="shared" ref="AA25:AA46" si="15">D25/F25</f>
        <v>1</v>
      </c>
      <c r="AB25" s="1352">
        <f t="shared" ref="AB25:AB46" si="16">D25/H25</f>
        <v>1</v>
      </c>
      <c r="AC25" s="1352">
        <f t="shared" ref="AC25:AC46" si="17">D25/J25</f>
        <v>1</v>
      </c>
    </row>
    <row r="26" spans="1:29" ht="15">
      <c r="A26" s="379"/>
      <c r="B26" s="375" t="s">
        <v>1691</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2"/>
      <c r="Q26" s="1351" t="str">
        <f t="shared" si="11"/>
        <v>朝向</v>
      </c>
      <c r="R26" s="704" t="s">
        <v>18</v>
      </c>
      <c r="S26" s="705">
        <f t="shared" si="12"/>
        <v>100</v>
      </c>
      <c r="T26" s="704" t="s">
        <v>18</v>
      </c>
      <c r="U26" s="705">
        <f t="shared" si="13"/>
        <v>100</v>
      </c>
      <c r="V26" s="704" t="s">
        <v>18</v>
      </c>
      <c r="W26" s="705">
        <f t="shared" si="14"/>
        <v>100</v>
      </c>
      <c r="X26" s="1354"/>
      <c r="Y26" s="3694"/>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2"/>
      <c r="Q27" s="1342">
        <f t="shared" si="11"/>
        <v>111</v>
      </c>
      <c r="R27" s="700" t="s">
        <v>18</v>
      </c>
      <c r="S27" s="701">
        <f t="shared" si="12"/>
        <v>100</v>
      </c>
      <c r="T27" s="700" t="s">
        <v>18</v>
      </c>
      <c r="U27" s="701">
        <f t="shared" si="13"/>
        <v>100</v>
      </c>
      <c r="V27" s="700" t="s">
        <v>18</v>
      </c>
      <c r="W27" s="701">
        <f t="shared" si="14"/>
        <v>100</v>
      </c>
      <c r="X27" s="702"/>
      <c r="Y27" s="3694"/>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2"/>
      <c r="Q28" s="1351">
        <f t="shared" si="11"/>
        <v>111</v>
      </c>
      <c r="R28" s="704" t="s">
        <v>18</v>
      </c>
      <c r="S28" s="705">
        <f t="shared" si="12"/>
        <v>100</v>
      </c>
      <c r="T28" s="704" t="s">
        <v>18</v>
      </c>
      <c r="U28" s="705">
        <f t="shared" si="13"/>
        <v>100</v>
      </c>
      <c r="V28" s="704" t="s">
        <v>18</v>
      </c>
      <c r="W28" s="705">
        <f t="shared" si="14"/>
        <v>100</v>
      </c>
      <c r="X28" s="1354"/>
      <c r="Y28" s="3694"/>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2"/>
      <c r="Q29" s="1351">
        <f t="shared" si="11"/>
        <v>111</v>
      </c>
      <c r="R29" s="704" t="s">
        <v>18</v>
      </c>
      <c r="S29" s="705">
        <f t="shared" si="12"/>
        <v>100</v>
      </c>
      <c r="T29" s="704" t="s">
        <v>18</v>
      </c>
      <c r="U29" s="705">
        <f t="shared" si="13"/>
        <v>100</v>
      </c>
      <c r="V29" s="704" t="s">
        <v>18</v>
      </c>
      <c r="W29" s="705">
        <f t="shared" si="14"/>
        <v>100</v>
      </c>
      <c r="X29" s="1354"/>
      <c r="Y29" s="3694"/>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2"/>
      <c r="Q30" s="1351">
        <f t="shared" si="11"/>
        <v>111</v>
      </c>
      <c r="R30" s="704" t="s">
        <v>18</v>
      </c>
      <c r="S30" s="705">
        <f t="shared" si="12"/>
        <v>100</v>
      </c>
      <c r="T30" s="704" t="s">
        <v>18</v>
      </c>
      <c r="U30" s="705">
        <f t="shared" si="13"/>
        <v>100</v>
      </c>
      <c r="V30" s="704" t="s">
        <v>18</v>
      </c>
      <c r="W30" s="705">
        <f t="shared" si="14"/>
        <v>100</v>
      </c>
      <c r="X30" s="1354"/>
      <c r="Y30" s="3694"/>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2"/>
      <c r="Q31" s="1351">
        <f t="shared" si="11"/>
        <v>111</v>
      </c>
      <c r="R31" s="704" t="s">
        <v>18</v>
      </c>
      <c r="S31" s="705">
        <f t="shared" si="12"/>
        <v>100</v>
      </c>
      <c r="T31" s="704" t="s">
        <v>18</v>
      </c>
      <c r="U31" s="705">
        <f t="shared" si="13"/>
        <v>100</v>
      </c>
      <c r="V31" s="704" t="s">
        <v>18</v>
      </c>
      <c r="W31" s="705">
        <f t="shared" si="14"/>
        <v>100</v>
      </c>
      <c r="X31" s="1354"/>
      <c r="Y31" s="3694"/>
      <c r="Z31" s="1355">
        <f t="shared" si="18"/>
        <v>111</v>
      </c>
      <c r="AA31" s="1352">
        <f t="shared" si="15"/>
        <v>1</v>
      </c>
      <c r="AB31" s="1352">
        <f t="shared" si="16"/>
        <v>1</v>
      </c>
      <c r="AC31" s="1352">
        <f t="shared" si="17"/>
        <v>1</v>
      </c>
    </row>
    <row r="32" spans="1:29" ht="15">
      <c r="A32" s="391" t="s">
        <v>1692</v>
      </c>
      <c r="B32" s="63" t="s">
        <v>1693</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5" t="s">
        <v>1694</v>
      </c>
      <c r="Q32" s="1351" t="str">
        <f t="shared" si="11"/>
        <v>建筑类型</v>
      </c>
      <c r="R32" s="704" t="s">
        <v>18</v>
      </c>
      <c r="S32" s="705">
        <f t="shared" si="12"/>
        <v>100</v>
      </c>
      <c r="T32" s="704" t="s">
        <v>18</v>
      </c>
      <c r="U32" s="705">
        <f t="shared" si="13"/>
        <v>100</v>
      </c>
      <c r="V32" s="704" t="s">
        <v>18</v>
      </c>
      <c r="W32" s="705">
        <f t="shared" si="14"/>
        <v>100</v>
      </c>
      <c r="X32" s="1354"/>
      <c r="Y32" s="3698" t="s">
        <v>1694</v>
      </c>
      <c r="Z32" s="1355" t="str">
        <f t="shared" si="18"/>
        <v>建筑类型</v>
      </c>
      <c r="AA32" s="1352">
        <f t="shared" si="15"/>
        <v>1</v>
      </c>
      <c r="AB32" s="1352">
        <f t="shared" si="16"/>
        <v>1</v>
      </c>
      <c r="AC32" s="1352">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6"/>
      <c r="Q33" s="706" t="str">
        <f t="shared" si="11"/>
        <v>项目建筑规模</v>
      </c>
      <c r="R33" s="707" t="s">
        <v>18</v>
      </c>
      <c r="S33" s="708" t="e">
        <f t="shared" si="12"/>
        <v>#N/A</v>
      </c>
      <c r="T33" s="707" t="s">
        <v>18</v>
      </c>
      <c r="U33" s="708" t="e">
        <f t="shared" si="13"/>
        <v>#N/A</v>
      </c>
      <c r="V33" s="707" t="s">
        <v>18</v>
      </c>
      <c r="W33" s="708" t="e">
        <f t="shared" si="14"/>
        <v>#N/A</v>
      </c>
      <c r="X33" s="709"/>
      <c r="Y33" s="3698"/>
      <c r="Z33" s="710" t="str">
        <f t="shared" si="18"/>
        <v>项目建筑规模</v>
      </c>
      <c r="AA33" s="1352" t="e">
        <f t="shared" si="15"/>
        <v>#N/A</v>
      </c>
      <c r="AB33" s="1352" t="e">
        <f t="shared" si="16"/>
        <v>#N/A</v>
      </c>
      <c r="AC33" s="1352" t="e">
        <f t="shared" si="17"/>
        <v>#N/A</v>
      </c>
    </row>
    <row r="34" spans="1:29" ht="15">
      <c r="A34" s="423"/>
      <c r="B34" s="375" t="s">
        <v>1696</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6"/>
      <c r="Q34" s="1351" t="str">
        <f t="shared" si="11"/>
        <v>建筑结构</v>
      </c>
      <c r="R34" s="704" t="s">
        <v>18</v>
      </c>
      <c r="S34" s="705">
        <f t="shared" si="12"/>
        <v>100</v>
      </c>
      <c r="T34" s="704" t="s">
        <v>18</v>
      </c>
      <c r="U34" s="705">
        <f t="shared" si="13"/>
        <v>100</v>
      </c>
      <c r="V34" s="704" t="s">
        <v>18</v>
      </c>
      <c r="W34" s="705">
        <f t="shared" si="14"/>
        <v>100</v>
      </c>
      <c r="X34" s="1354"/>
      <c r="Y34" s="3698"/>
      <c r="Z34" s="1355" t="str">
        <f t="shared" si="18"/>
        <v>建筑结构</v>
      </c>
      <c r="AA34" s="1352">
        <f t="shared" si="15"/>
        <v>1</v>
      </c>
      <c r="AB34" s="1352">
        <f t="shared" si="16"/>
        <v>1</v>
      </c>
      <c r="AC34" s="1352">
        <f t="shared" si="17"/>
        <v>1</v>
      </c>
    </row>
    <row r="35" spans="1:29" ht="15">
      <c r="A35" s="423"/>
      <c r="B35" s="375" t="s">
        <v>1697</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6"/>
      <c r="Q35" s="1351" t="str">
        <f t="shared" si="11"/>
        <v>建筑品质</v>
      </c>
      <c r="R35" s="704" t="s">
        <v>18</v>
      </c>
      <c r="S35" s="705">
        <f t="shared" si="12"/>
        <v>100</v>
      </c>
      <c r="T35" s="704" t="s">
        <v>18</v>
      </c>
      <c r="U35" s="705">
        <f t="shared" si="13"/>
        <v>100</v>
      </c>
      <c r="V35" s="704" t="s">
        <v>18</v>
      </c>
      <c r="W35" s="705">
        <f t="shared" si="14"/>
        <v>100</v>
      </c>
      <c r="X35" s="1354"/>
      <c r="Y35" s="3698"/>
      <c r="Z35" s="1355" t="str">
        <f t="shared" si="18"/>
        <v>建筑品质</v>
      </c>
      <c r="AA35" s="1352">
        <f t="shared" si="15"/>
        <v>1</v>
      </c>
      <c r="AB35" s="1352">
        <f t="shared" si="16"/>
        <v>1</v>
      </c>
      <c r="AC35" s="1352">
        <f t="shared" si="17"/>
        <v>1</v>
      </c>
    </row>
    <row r="36" spans="1:29" ht="15">
      <c r="A36" s="423"/>
      <c r="B36" s="375" t="s">
        <v>1698</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6"/>
      <c r="Q36" s="1351" t="str">
        <f t="shared" si="11"/>
        <v>公共部分装修</v>
      </c>
      <c r="R36" s="704" t="s">
        <v>18</v>
      </c>
      <c r="S36" s="705">
        <f t="shared" si="12"/>
        <v>100</v>
      </c>
      <c r="T36" s="704" t="s">
        <v>18</v>
      </c>
      <c r="U36" s="705">
        <f t="shared" si="13"/>
        <v>100</v>
      </c>
      <c r="V36" s="704" t="s">
        <v>18</v>
      </c>
      <c r="W36" s="705">
        <f t="shared" si="14"/>
        <v>100</v>
      </c>
      <c r="X36" s="1354"/>
      <c r="Y36" s="3698"/>
      <c r="Z36" s="1355" t="str">
        <f t="shared" si="18"/>
        <v>公共部分装修</v>
      </c>
      <c r="AA36" s="1352">
        <f t="shared" si="15"/>
        <v>1</v>
      </c>
      <c r="AB36" s="1352">
        <f t="shared" si="16"/>
        <v>1</v>
      </c>
      <c r="AC36" s="1352">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6"/>
      <c r="Q37" s="1342" t="str">
        <f t="shared" si="11"/>
        <v>成新度</v>
      </c>
      <c r="R37" s="700" t="s">
        <v>18</v>
      </c>
      <c r="S37" s="701" t="e">
        <f t="shared" si="12"/>
        <v>#N/A</v>
      </c>
      <c r="T37" s="700" t="s">
        <v>18</v>
      </c>
      <c r="U37" s="701" t="e">
        <f t="shared" si="13"/>
        <v>#N/A</v>
      </c>
      <c r="V37" s="700" t="s">
        <v>18</v>
      </c>
      <c r="W37" s="701" t="e">
        <f t="shared" si="14"/>
        <v>#N/A</v>
      </c>
      <c r="X37" s="702"/>
      <c r="Y37" s="3698"/>
      <c r="Z37" s="52" t="str">
        <f t="shared" si="18"/>
        <v>成新度</v>
      </c>
      <c r="AA37" s="703" t="e">
        <f t="shared" si="15"/>
        <v>#N/A</v>
      </c>
      <c r="AB37" s="703" t="e">
        <f t="shared" si="16"/>
        <v>#N/A</v>
      </c>
      <c r="AC37" s="703" t="e">
        <f t="shared" si="17"/>
        <v>#N/A</v>
      </c>
    </row>
    <row r="38" spans="1:29" ht="15">
      <c r="A38" s="423"/>
      <c r="B38" s="375" t="s">
        <v>1700</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6" t="s">
        <v>1694</v>
      </c>
      <c r="Q38" s="1351" t="str">
        <f t="shared" si="11"/>
        <v>物业管理</v>
      </c>
      <c r="R38" s="704" t="s">
        <v>18</v>
      </c>
      <c r="S38" s="705">
        <f t="shared" si="12"/>
        <v>100</v>
      </c>
      <c r="T38" s="704" t="s">
        <v>18</v>
      </c>
      <c r="U38" s="705">
        <f t="shared" si="13"/>
        <v>100</v>
      </c>
      <c r="V38" s="704" t="s">
        <v>18</v>
      </c>
      <c r="W38" s="705">
        <f t="shared" si="14"/>
        <v>100</v>
      </c>
      <c r="X38" s="1354"/>
      <c r="Y38" s="3698" t="s">
        <v>1694</v>
      </c>
      <c r="Z38" s="1355" t="str">
        <f t="shared" si="18"/>
        <v>物业管理</v>
      </c>
      <c r="AA38" s="1352">
        <f t="shared" si="15"/>
        <v>1</v>
      </c>
      <c r="AB38" s="1352">
        <f t="shared" si="16"/>
        <v>1</v>
      </c>
      <c r="AC38" s="1352">
        <f t="shared" si="17"/>
        <v>1</v>
      </c>
    </row>
    <row r="39" spans="1:29" ht="15">
      <c r="A39" s="423"/>
      <c r="B39" s="375" t="s">
        <v>1701</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6"/>
      <c r="Q39" s="1351" t="str">
        <f t="shared" si="11"/>
        <v>市政基础设施</v>
      </c>
      <c r="R39" s="704" t="s">
        <v>18</v>
      </c>
      <c r="S39" s="705">
        <f t="shared" si="12"/>
        <v>100</v>
      </c>
      <c r="T39" s="704" t="s">
        <v>18</v>
      </c>
      <c r="U39" s="705">
        <f t="shared" si="13"/>
        <v>100</v>
      </c>
      <c r="V39" s="704" t="s">
        <v>18</v>
      </c>
      <c r="W39" s="705">
        <f t="shared" si="14"/>
        <v>100</v>
      </c>
      <c r="X39" s="1354"/>
      <c r="Y39" s="3698"/>
      <c r="Z39" s="1355" t="str">
        <f t="shared" si="18"/>
        <v>市政基础设施</v>
      </c>
      <c r="AA39" s="1352">
        <f t="shared" si="15"/>
        <v>1</v>
      </c>
      <c r="AB39" s="1352">
        <f t="shared" si="16"/>
        <v>1</v>
      </c>
      <c r="AC39" s="1352">
        <f t="shared" si="17"/>
        <v>1</v>
      </c>
    </row>
    <row r="40" spans="1:29" ht="15">
      <c r="A40" s="423"/>
      <c r="B40" s="375" t="s">
        <v>1702</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6"/>
      <c r="Q40" s="1351" t="str">
        <f t="shared" si="11"/>
        <v>房型</v>
      </c>
      <c r="R40" s="704" t="s">
        <v>18</v>
      </c>
      <c r="S40" s="705">
        <f t="shared" si="12"/>
        <v>100</v>
      </c>
      <c r="T40" s="704" t="s">
        <v>18</v>
      </c>
      <c r="U40" s="705">
        <f t="shared" si="13"/>
        <v>100</v>
      </c>
      <c r="V40" s="704" t="s">
        <v>18</v>
      </c>
      <c r="W40" s="705">
        <f t="shared" si="14"/>
        <v>100</v>
      </c>
      <c r="X40" s="1354"/>
      <c r="Y40" s="3698"/>
      <c r="Z40" s="1355" t="str">
        <f t="shared" si="18"/>
        <v>房型</v>
      </c>
      <c r="AA40" s="1352">
        <f t="shared" si="15"/>
        <v>1</v>
      </c>
      <c r="AB40" s="1352">
        <f t="shared" si="16"/>
        <v>1</v>
      </c>
      <c r="AC40" s="1352">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6"/>
      <c r="Q41" s="706" t="str">
        <f t="shared" si="11"/>
        <v>单套/主力户型建筑面积</v>
      </c>
      <c r="R41" s="707" t="s">
        <v>18</v>
      </c>
      <c r="S41" s="708">
        <f t="shared" si="12"/>
        <v>100</v>
      </c>
      <c r="T41" s="707" t="s">
        <v>18</v>
      </c>
      <c r="U41" s="708">
        <f t="shared" si="13"/>
        <v>100</v>
      </c>
      <c r="V41" s="707" t="s">
        <v>18</v>
      </c>
      <c r="W41" s="708">
        <f t="shared" si="14"/>
        <v>100</v>
      </c>
      <c r="X41" s="709"/>
      <c r="Y41" s="3698"/>
      <c r="Z41" s="710" t="str">
        <f t="shared" si="18"/>
        <v>单套/主力户型建筑面积</v>
      </c>
      <c r="AA41" s="1352">
        <f t="shared" si="15"/>
        <v>1</v>
      </c>
      <c r="AB41" s="1352">
        <f t="shared" si="16"/>
        <v>1</v>
      </c>
      <c r="AC41" s="1352">
        <f t="shared" si="17"/>
        <v>1</v>
      </c>
    </row>
    <row r="42" spans="1:29" ht="15">
      <c r="A42" s="423"/>
      <c r="B42" s="375" t="s">
        <v>1704</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6"/>
      <c r="Q42" s="1351" t="str">
        <f t="shared" si="11"/>
        <v>内部装修</v>
      </c>
      <c r="R42" s="704" t="s">
        <v>18</v>
      </c>
      <c r="S42" s="705">
        <f t="shared" si="12"/>
        <v>100</v>
      </c>
      <c r="T42" s="704" t="s">
        <v>18</v>
      </c>
      <c r="U42" s="705">
        <f t="shared" si="13"/>
        <v>100</v>
      </c>
      <c r="V42" s="704" t="s">
        <v>18</v>
      </c>
      <c r="W42" s="705">
        <f t="shared" si="14"/>
        <v>100</v>
      </c>
      <c r="X42" s="1354"/>
      <c r="Y42" s="3698"/>
      <c r="Z42" s="1355" t="str">
        <f t="shared" si="18"/>
        <v>内部装修</v>
      </c>
      <c r="AA42" s="1352">
        <f t="shared" si="15"/>
        <v>1</v>
      </c>
      <c r="AB42" s="1352">
        <f t="shared" si="16"/>
        <v>1</v>
      </c>
      <c r="AC42" s="1352">
        <f t="shared" si="17"/>
        <v>1</v>
      </c>
    </row>
    <row r="43" spans="1:29" ht="15">
      <c r="A43" s="423"/>
      <c r="B43" s="375" t="s">
        <v>1705</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6"/>
      <c r="Q43" s="1351" t="str">
        <f t="shared" si="11"/>
        <v>内部装修维护情况</v>
      </c>
      <c r="R43" s="704" t="s">
        <v>18</v>
      </c>
      <c r="S43" s="705">
        <f t="shared" si="12"/>
        <v>100</v>
      </c>
      <c r="T43" s="704" t="s">
        <v>18</v>
      </c>
      <c r="U43" s="705">
        <f t="shared" si="13"/>
        <v>100</v>
      </c>
      <c r="V43" s="704" t="s">
        <v>18</v>
      </c>
      <c r="W43" s="705">
        <f t="shared" si="14"/>
        <v>100</v>
      </c>
      <c r="X43" s="1354"/>
      <c r="Y43" s="3698"/>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6"/>
      <c r="Q44" s="1342">
        <f t="shared" si="11"/>
        <v>111</v>
      </c>
      <c r="R44" s="700" t="s">
        <v>18</v>
      </c>
      <c r="S44" s="701">
        <f t="shared" si="12"/>
        <v>100</v>
      </c>
      <c r="T44" s="700" t="s">
        <v>18</v>
      </c>
      <c r="U44" s="701">
        <f t="shared" si="13"/>
        <v>100</v>
      </c>
      <c r="V44" s="700" t="s">
        <v>18</v>
      </c>
      <c r="W44" s="701">
        <f t="shared" si="14"/>
        <v>100</v>
      </c>
      <c r="X44" s="702"/>
      <c r="Y44" s="3698"/>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6"/>
      <c r="Q45" s="1351">
        <f t="shared" si="11"/>
        <v>111</v>
      </c>
      <c r="R45" s="704" t="s">
        <v>18</v>
      </c>
      <c r="S45" s="705">
        <f t="shared" si="12"/>
        <v>100</v>
      </c>
      <c r="T45" s="704" t="s">
        <v>18</v>
      </c>
      <c r="U45" s="705">
        <f t="shared" si="13"/>
        <v>100</v>
      </c>
      <c r="V45" s="704" t="s">
        <v>18</v>
      </c>
      <c r="W45" s="705">
        <f t="shared" si="14"/>
        <v>100</v>
      </c>
      <c r="X45" s="1354"/>
      <c r="Y45" s="3698"/>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7"/>
      <c r="Q46" s="1351">
        <f t="shared" si="11"/>
        <v>111</v>
      </c>
      <c r="R46" s="704" t="s">
        <v>17</v>
      </c>
      <c r="S46" s="705">
        <f t="shared" si="12"/>
        <v>100</v>
      </c>
      <c r="T46" s="704" t="s">
        <v>17</v>
      </c>
      <c r="U46" s="705">
        <f t="shared" si="13"/>
        <v>100</v>
      </c>
      <c r="V46" s="704" t="s">
        <v>17</v>
      </c>
      <c r="W46" s="705">
        <f t="shared" si="14"/>
        <v>100</v>
      </c>
      <c r="X46" s="1354"/>
      <c r="Y46" s="3699"/>
      <c r="Z46" s="1355">
        <f t="shared" si="18"/>
        <v>111</v>
      </c>
      <c r="AA46" s="1352">
        <f t="shared" si="15"/>
        <v>1</v>
      </c>
      <c r="AB46" s="1352">
        <f t="shared" si="16"/>
        <v>1</v>
      </c>
      <c r="AC46" s="1352">
        <f t="shared" si="17"/>
        <v>1</v>
      </c>
    </row>
    <row r="47" spans="1:29" ht="15">
      <c r="A47" s="430" t="s">
        <v>1706</v>
      </c>
      <c r="B47" s="431"/>
      <c r="C47" s="1153" t="s">
        <v>16</v>
      </c>
      <c r="D47" s="1154"/>
      <c r="E47" s="1155"/>
      <c r="F47" s="1156"/>
      <c r="G47" s="1157"/>
      <c r="H47" s="1158"/>
      <c r="I47" s="1155"/>
      <c r="J47" s="1158"/>
      <c r="K47" s="1913"/>
      <c r="L47" s="2723"/>
      <c r="M47" s="2724"/>
      <c r="N47" s="2715"/>
      <c r="O47" s="2724"/>
      <c r="P47" s="3686" t="str">
        <f>A47</f>
        <v>成交单价（元/平方米）</v>
      </c>
      <c r="Q47" s="3686"/>
      <c r="R47" s="3687">
        <f>E47</f>
        <v>0</v>
      </c>
      <c r="S47" s="3687"/>
      <c r="T47" s="3687">
        <f>G47</f>
        <v>0</v>
      </c>
      <c r="U47" s="3687"/>
      <c r="V47" s="3687">
        <f>I47</f>
        <v>0</v>
      </c>
      <c r="W47" s="3687"/>
      <c r="X47" s="689"/>
      <c r="Y47" s="711"/>
      <c r="Z47" s="689"/>
      <c r="AA47" s="689"/>
      <c r="AB47" s="689"/>
      <c r="AC47" s="689"/>
    </row>
    <row r="48" spans="1:29" ht="15.75" thickBot="1">
      <c r="A48" s="437" t="s">
        <v>1707</v>
      </c>
      <c r="B48" s="438"/>
      <c r="C48" s="1159" t="e">
        <f>R49</f>
        <v>#DIV/0!</v>
      </c>
      <c r="D48" s="2316" t="s">
        <v>2135</v>
      </c>
      <c r="E48" s="1160" t="e">
        <f>R48</f>
        <v>#DIV/0!</v>
      </c>
      <c r="F48" s="2317"/>
      <c r="G48" s="1159" t="e">
        <f>T48</f>
        <v>#DIV/0!</v>
      </c>
      <c r="H48" s="2317"/>
      <c r="I48" s="1160" t="e">
        <f>V48</f>
        <v>#DIV/0!</v>
      </c>
      <c r="J48" s="2317"/>
      <c r="K48" s="2318">
        <f>F48+H48+J48</f>
        <v>0</v>
      </c>
      <c r="L48" s="2723"/>
      <c r="M48" s="2724"/>
      <c r="N48" s="2724"/>
      <c r="O48" s="2724"/>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689"/>
      <c r="Y48" s="689"/>
      <c r="Z48" s="689"/>
      <c r="AA48" s="689"/>
      <c r="AB48" s="689"/>
      <c r="AC48" s="689"/>
    </row>
    <row r="49" spans="1:29" ht="15.75" thickBot="1">
      <c r="A49" s="441" t="s">
        <v>1708</v>
      </c>
      <c r="B49" s="442"/>
      <c r="C49" s="1161" t="e">
        <f>R49</f>
        <v>#DIV/0!</v>
      </c>
      <c r="D49" s="1162"/>
      <c r="E49" s="1162"/>
      <c r="F49" s="1162"/>
      <c r="G49" s="1162"/>
      <c r="H49" s="1162"/>
      <c r="I49" s="1162"/>
      <c r="J49" s="1162"/>
      <c r="K49" s="1914"/>
      <c r="L49" s="2723"/>
      <c r="M49" s="2724"/>
      <c r="N49" s="2724"/>
      <c r="O49" s="2724"/>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1712</v>
      </c>
      <c r="B57" s="689"/>
      <c r="C57" s="694"/>
      <c r="D57" s="694"/>
      <c r="E57" s="694"/>
      <c r="F57" s="695"/>
      <c r="G57" s="695"/>
      <c r="H57" s="694"/>
      <c r="I57" s="694"/>
      <c r="J57" s="694"/>
      <c r="K57" s="940"/>
      <c r="L57" s="941"/>
      <c r="M57" s="939"/>
      <c r="N57" s="939"/>
      <c r="O57" s="939"/>
      <c r="P57" s="1917"/>
      <c r="Q57" s="453"/>
    </row>
    <row r="58" spans="1:29" s="457" customFormat="1" ht="15">
      <c r="A58" s="454" t="s">
        <v>1713</v>
      </c>
      <c r="B58" s="455"/>
      <c r="C58" s="1185" t="str">
        <f>YEAR(C7)&amp;"-"&amp;MONTH(C7)</f>
        <v>2024-6</v>
      </c>
      <c r="D58" s="1184">
        <f>EDATE(C58,-1)</f>
        <v>45413</v>
      </c>
      <c r="E58" s="1184">
        <f>EDATE(D58,-1)</f>
        <v>45383</v>
      </c>
      <c r="F58" s="1184">
        <f t="shared" ref="F58:O58" si="19">EDATE(E58,-1)</f>
        <v>45352</v>
      </c>
      <c r="G58" s="1184">
        <f t="shared" si="19"/>
        <v>45323</v>
      </c>
      <c r="H58" s="1184">
        <f t="shared" si="19"/>
        <v>45292</v>
      </c>
      <c r="I58" s="1184">
        <f t="shared" si="19"/>
        <v>45261</v>
      </c>
      <c r="J58" s="1184">
        <f t="shared" si="19"/>
        <v>45231</v>
      </c>
      <c r="K58" s="1184">
        <f t="shared" si="19"/>
        <v>45200</v>
      </c>
      <c r="L58" s="1184">
        <f t="shared" si="19"/>
        <v>45170</v>
      </c>
      <c r="M58" s="1184">
        <f t="shared" si="19"/>
        <v>45139</v>
      </c>
      <c r="N58" s="1184">
        <f t="shared" si="19"/>
        <v>45108</v>
      </c>
      <c r="O58" s="1184">
        <f t="shared" si="19"/>
        <v>45078</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1714</v>
      </c>
      <c r="B60" s="465"/>
      <c r="C60" s="466"/>
      <c r="D60" s="467"/>
      <c r="E60" s="467"/>
      <c r="F60" s="467"/>
      <c r="G60" s="467"/>
      <c r="H60" s="467"/>
      <c r="I60" s="467"/>
      <c r="J60" s="467"/>
      <c r="K60" s="467"/>
      <c r="L60" s="467"/>
      <c r="M60" s="468"/>
      <c r="N60" s="467"/>
      <c r="O60" s="468"/>
      <c r="P60" s="1919"/>
      <c r="Q60" s="453"/>
    </row>
    <row r="61" spans="1:29" s="108" customFormat="1" ht="15">
      <c r="A61" s="470" t="s">
        <v>1715</v>
      </c>
      <c r="B61" s="459"/>
      <c r="C61" s="471" t="s">
        <v>1716</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1717</v>
      </c>
      <c r="B63" s="477" t="s">
        <v>1683</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1686</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1258</v>
      </c>
      <c r="C82" s="488" t="s">
        <v>1726</v>
      </c>
      <c r="D82" s="488" t="s">
        <v>1727</v>
      </c>
      <c r="E82" s="488" t="s">
        <v>1728</v>
      </c>
      <c r="F82" s="488" t="s">
        <v>1729</v>
      </c>
      <c r="G82" s="488" t="s">
        <v>1730</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1732</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1733</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1692</v>
      </c>
      <c r="B100" s="477" t="s">
        <v>1734</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1736</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1737</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1738</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1739</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1740</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1741</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1742</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1744</v>
      </c>
    </row>
    <row r="137" spans="1:17" ht="15">
      <c r="B137" s="1929" t="s">
        <v>1745</v>
      </c>
      <c r="C137" s="1930"/>
      <c r="D137" s="1930"/>
      <c r="E137" s="1930"/>
      <c r="F137" s="1930"/>
      <c r="G137" s="1931"/>
      <c r="H137" s="1932"/>
      <c r="I137" s="1933" t="s">
        <v>1746</v>
      </c>
      <c r="J137" s="1930"/>
      <c r="K137" s="1934"/>
    </row>
    <row r="138" spans="1:17" ht="15">
      <c r="B138" s="1935"/>
      <c r="C138" s="137" t="s">
        <v>1747</v>
      </c>
      <c r="D138" s="137" t="s">
        <v>1748</v>
      </c>
      <c r="E138" s="1936" t="s">
        <v>1749</v>
      </c>
      <c r="F138" s="1937" t="s">
        <v>1750</v>
      </c>
      <c r="G138" s="137" t="s">
        <v>1748</v>
      </c>
      <c r="H138" s="138" t="s">
        <v>1749</v>
      </c>
      <c r="I138" s="1938"/>
      <c r="J138" s="137" t="s">
        <v>1751</v>
      </c>
      <c r="K138" s="138" t="s">
        <v>1752</v>
      </c>
    </row>
    <row r="139" spans="1:17" ht="15">
      <c r="B139" s="866">
        <v>6</v>
      </c>
      <c r="C139" s="867">
        <v>96</v>
      </c>
      <c r="D139" s="1939" t="s">
        <v>1753</v>
      </c>
      <c r="E139" s="868">
        <v>100</v>
      </c>
      <c r="F139" s="869">
        <v>102.5</v>
      </c>
      <c r="G139" s="1939" t="s">
        <v>1753</v>
      </c>
      <c r="H139" s="870">
        <v>105</v>
      </c>
      <c r="I139" s="1940" t="s">
        <v>1754</v>
      </c>
      <c r="J139" s="867">
        <v>20</v>
      </c>
      <c r="K139" s="871">
        <f>C145/(J139-2)</f>
        <v>4.0555555555555553E-3</v>
      </c>
    </row>
    <row r="140" spans="1:17" ht="15">
      <c r="B140" s="872">
        <v>5</v>
      </c>
      <c r="C140" s="873">
        <v>100</v>
      </c>
      <c r="D140" s="873"/>
      <c r="E140" s="874"/>
      <c r="F140" s="875">
        <v>102</v>
      </c>
      <c r="G140" s="873"/>
      <c r="H140" s="876"/>
      <c r="I140" s="1941" t="s">
        <v>1755</v>
      </c>
      <c r="J140" s="271">
        <f>ROUNDUP((J139-1)/2,0)</f>
        <v>10</v>
      </c>
      <c r="K140" s="877">
        <v>100</v>
      </c>
    </row>
    <row r="141" spans="1:17" ht="15">
      <c r="B141" s="872">
        <v>4</v>
      </c>
      <c r="C141" s="873">
        <v>102</v>
      </c>
      <c r="D141" s="873"/>
      <c r="E141" s="874"/>
      <c r="F141" s="875">
        <v>101.5</v>
      </c>
      <c r="G141" s="873"/>
      <c r="H141" s="876"/>
      <c r="I141" s="1941" t="s">
        <v>1756</v>
      </c>
      <c r="J141" s="271">
        <v>1</v>
      </c>
      <c r="K141" s="878">
        <f>ROUND(100+(J141-J140)*K139*100,1)</f>
        <v>96.4</v>
      </c>
    </row>
    <row r="142" spans="1:17" ht="15">
      <c r="B142" s="872">
        <v>3</v>
      </c>
      <c r="C142" s="873">
        <v>103</v>
      </c>
      <c r="D142" s="873"/>
      <c r="E142" s="874"/>
      <c r="F142" s="875">
        <v>101</v>
      </c>
      <c r="G142" s="873"/>
      <c r="H142" s="876"/>
      <c r="I142" s="1941" t="s">
        <v>1757</v>
      </c>
      <c r="J142" s="271">
        <f>J139</f>
        <v>20</v>
      </c>
      <c r="K142" s="879">
        <v>95</v>
      </c>
    </row>
    <row r="143" spans="1:17" ht="15">
      <c r="B143" s="872">
        <v>2</v>
      </c>
      <c r="C143" s="873">
        <v>100</v>
      </c>
      <c r="D143" s="873"/>
      <c r="E143" s="874"/>
      <c r="F143" s="875">
        <v>100.5</v>
      </c>
      <c r="G143" s="873"/>
      <c r="H143" s="876"/>
      <c r="I143" s="1941" t="s">
        <v>1758</v>
      </c>
      <c r="J143" s="873">
        <v>15</v>
      </c>
      <c r="K143" s="878">
        <f>ROUND(100+(J143-J140)*K139*100,1)</f>
        <v>102</v>
      </c>
    </row>
    <row r="144" spans="1:17" ht="15">
      <c r="B144" s="872">
        <v>1</v>
      </c>
      <c r="C144" s="873">
        <v>98</v>
      </c>
      <c r="D144" s="1942" t="s">
        <v>1759</v>
      </c>
      <c r="E144" s="874">
        <v>102</v>
      </c>
      <c r="F144" s="880">
        <v>100</v>
      </c>
      <c r="G144" s="1942" t="s">
        <v>1759</v>
      </c>
      <c r="H144" s="876">
        <v>105</v>
      </c>
      <c r="I144" s="1941" t="s">
        <v>1758</v>
      </c>
      <c r="J144" s="873">
        <v>18</v>
      </c>
      <c r="K144" s="878">
        <f>ROUND(100+(J144-J140)*K139*100,1)</f>
        <v>103.2</v>
      </c>
    </row>
    <row r="145" spans="2:11" ht="15.75" thickBot="1">
      <c r="B145" s="1943" t="s">
        <v>1760</v>
      </c>
      <c r="C145" s="881">
        <f>ROUND(MAX(C139:C144)/MIN(C139:C144)-1,3)</f>
        <v>7.2999999999999995E-2</v>
      </c>
      <c r="D145" s="882"/>
      <c r="E145" s="882"/>
      <c r="F145" s="1944" t="s">
        <v>1761</v>
      </c>
      <c r="G145" s="1945"/>
      <c r="H145" s="1946"/>
      <c r="I145" s="1947" t="s">
        <v>1758</v>
      </c>
      <c r="J145" s="883">
        <v>8</v>
      </c>
      <c r="K145" s="884">
        <f>ROUND(100+(J145-J140)*K139*100,1)</f>
        <v>99.2</v>
      </c>
    </row>
    <row r="147" spans="2:11">
      <c r="B147" s="1928" t="s">
        <v>1762</v>
      </c>
    </row>
    <row r="148" spans="2:11">
      <c r="B148" s="1928"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1824</v>
      </c>
      <c r="C1" s="1223" t="s">
        <v>1660</v>
      </c>
      <c r="D1" s="1224"/>
      <c r="E1" s="3432"/>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2389.2399999999998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705" t="s">
        <v>1768</v>
      </c>
      <c r="D4" s="3706"/>
      <c r="E4" s="3707" t="s">
        <v>1769</v>
      </c>
      <c r="F4" s="3708"/>
      <c r="G4" s="3705" t="s">
        <v>1770</v>
      </c>
      <c r="H4" s="3706"/>
      <c r="I4" s="3705" t="s">
        <v>1771</v>
      </c>
      <c r="J4" s="3706"/>
      <c r="K4" s="559" t="s">
        <v>1772</v>
      </c>
      <c r="L4" s="912"/>
      <c r="M4" s="913"/>
      <c r="N4" s="913"/>
      <c r="O4" s="913"/>
      <c r="P4" s="3709" t="s">
        <v>1773</v>
      </c>
      <c r="Q4" s="3710"/>
      <c r="R4" s="3715" t="s">
        <v>1769</v>
      </c>
      <c r="S4" s="3716"/>
      <c r="T4" s="3715" t="s">
        <v>1770</v>
      </c>
      <c r="U4" s="3716"/>
      <c r="V4" s="3700" t="s">
        <v>1771</v>
      </c>
      <c r="W4" s="3700"/>
      <c r="X4" s="1354"/>
      <c r="Y4" s="3715" t="s">
        <v>1773</v>
      </c>
      <c r="Z4" s="3716"/>
      <c r="AA4" s="3702" t="s">
        <v>1769</v>
      </c>
      <c r="AB4" s="3703" t="s">
        <v>1770</v>
      </c>
      <c r="AC4" s="3702" t="s">
        <v>1771</v>
      </c>
    </row>
    <row r="5" spans="1:29" ht="15">
      <c r="A5" s="358"/>
      <c r="B5" s="359"/>
      <c r="C5" s="3723" t="s">
        <v>1671</v>
      </c>
      <c r="D5" s="3724"/>
      <c r="E5" s="3730" t="s">
        <v>1672</v>
      </c>
      <c r="F5" s="3731"/>
      <c r="G5" s="3723" t="s">
        <v>1673</v>
      </c>
      <c r="H5" s="3724"/>
      <c r="I5" s="3723" t="s">
        <v>1674</v>
      </c>
      <c r="J5" s="3724"/>
      <c r="K5" s="559"/>
      <c r="L5" s="912"/>
      <c r="M5" s="913"/>
      <c r="N5" s="913"/>
      <c r="O5" s="913"/>
      <c r="P5" s="3711"/>
      <c r="Q5" s="3712"/>
      <c r="R5" s="3717"/>
      <c r="S5" s="3718"/>
      <c r="T5" s="3717"/>
      <c r="U5" s="3718"/>
      <c r="V5" s="3700"/>
      <c r="W5" s="3700"/>
      <c r="X5" s="1354"/>
      <c r="Y5" s="3717"/>
      <c r="Z5" s="3718"/>
      <c r="AA5" s="3703"/>
      <c r="AB5" s="3703"/>
      <c r="AC5" s="3703"/>
    </row>
    <row r="6" spans="1:29" ht="15.75" thickBot="1">
      <c r="A6" s="360"/>
      <c r="B6" s="361"/>
      <c r="C6" s="3721" t="s">
        <v>1675</v>
      </c>
      <c r="D6" s="3722"/>
      <c r="E6" s="3728" t="s">
        <v>1675</v>
      </c>
      <c r="F6" s="3729"/>
      <c r="G6" s="3721" t="s">
        <v>1675</v>
      </c>
      <c r="H6" s="3722"/>
      <c r="I6" s="3721" t="s">
        <v>1675</v>
      </c>
      <c r="J6" s="3722"/>
      <c r="K6" s="559" t="s">
        <v>1676</v>
      </c>
      <c r="L6" s="912"/>
      <c r="M6" s="913"/>
      <c r="N6" s="913"/>
      <c r="O6" s="913"/>
      <c r="P6" s="3713"/>
      <c r="Q6" s="3714"/>
      <c r="R6" s="3717"/>
      <c r="S6" s="3718"/>
      <c r="T6" s="3719"/>
      <c r="U6" s="3720"/>
      <c r="V6" s="3700"/>
      <c r="W6" s="3700"/>
      <c r="X6" s="1354"/>
      <c r="Y6" s="3719"/>
      <c r="Z6" s="3720"/>
      <c r="AA6" s="3704"/>
      <c r="AB6" s="3704"/>
      <c r="AC6" s="3704"/>
    </row>
    <row r="7" spans="1:29" s="108" customFormat="1" ht="15.75" thickBot="1">
      <c r="A7" s="362" t="s">
        <v>1677</v>
      </c>
      <c r="B7" s="363"/>
      <c r="C7" s="364">
        <f>'数据-取费表'!B2</f>
        <v>45449</v>
      </c>
      <c r="D7" s="365">
        <v>100</v>
      </c>
      <c r="E7" s="366"/>
      <c r="F7" s="367">
        <f>SUMIF(52:52,YEAR(E7)&amp;"-"&amp;MONTH(E7),53:53)</f>
        <v>0</v>
      </c>
      <c r="G7" s="366"/>
      <c r="H7" s="365">
        <f>SUMIF(52:52,YEAR(G7)&amp;"-"&amp;MONTH(G7),53:53)</f>
        <v>0</v>
      </c>
      <c r="I7" s="366"/>
      <c r="J7" s="365">
        <f>SUMIF(52:52,YEAR(I7)&amp;"-"&amp;MONTH(I7),53:53)</f>
        <v>0</v>
      </c>
      <c r="K7" s="560"/>
      <c r="L7" s="914"/>
      <c r="M7" s="915"/>
      <c r="N7" s="915"/>
      <c r="O7" s="915"/>
      <c r="P7" s="3725" t="s">
        <v>1678</v>
      </c>
      <c r="Q7" s="3727"/>
      <c r="R7" s="700" t="s">
        <v>14</v>
      </c>
      <c r="S7" s="701">
        <f t="shared" ref="S7:S15" si="0">F7</f>
        <v>0</v>
      </c>
      <c r="T7" s="700" t="s">
        <v>14</v>
      </c>
      <c r="U7" s="701">
        <f t="shared" ref="U7:U15" si="1">H7</f>
        <v>0</v>
      </c>
      <c r="V7" s="700" t="s">
        <v>14</v>
      </c>
      <c r="W7" s="701">
        <f t="shared" ref="W7:W15" si="2">J7</f>
        <v>0</v>
      </c>
      <c r="X7" s="702"/>
      <c r="Y7" s="3725" t="s">
        <v>1678</v>
      </c>
      <c r="Z7" s="3726"/>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25" t="s">
        <v>1681</v>
      </c>
      <c r="Q8" s="3726"/>
      <c r="R8" s="700" t="s">
        <v>14</v>
      </c>
      <c r="S8" s="701">
        <f t="shared" si="0"/>
        <v>100</v>
      </c>
      <c r="T8" s="700" t="s">
        <v>14</v>
      </c>
      <c r="U8" s="701">
        <f t="shared" si="1"/>
        <v>100</v>
      </c>
      <c r="V8" s="700" t="s">
        <v>14</v>
      </c>
      <c r="W8" s="701">
        <f t="shared" si="2"/>
        <v>100</v>
      </c>
      <c r="X8" s="702"/>
      <c r="Y8" s="3725" t="s">
        <v>1681</v>
      </c>
      <c r="Z8" s="3726"/>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86" t="s">
        <v>1684</v>
      </c>
      <c r="Q9" s="1342" t="str">
        <f t="shared" ref="Q9:Q15" si="6">B9</f>
        <v>用途</v>
      </c>
      <c r="R9" s="700" t="s">
        <v>14</v>
      </c>
      <c r="S9" s="701">
        <f t="shared" si="0"/>
        <v>100</v>
      </c>
      <c r="T9" s="700" t="s">
        <v>14</v>
      </c>
      <c r="U9" s="701">
        <f t="shared" si="1"/>
        <v>100</v>
      </c>
      <c r="V9" s="700" t="s">
        <v>14</v>
      </c>
      <c r="W9" s="701">
        <f t="shared" si="2"/>
        <v>100</v>
      </c>
      <c r="X9" s="702"/>
      <c r="Y9" s="3585" t="s">
        <v>1685</v>
      </c>
      <c r="Z9" s="52" t="str">
        <f t="shared" ref="Z9:Z15" si="7">Q9</f>
        <v>用途</v>
      </c>
      <c r="AA9" s="703">
        <f t="shared" si="3"/>
        <v>1</v>
      </c>
      <c r="AB9" s="703">
        <f t="shared" si="4"/>
        <v>1</v>
      </c>
      <c r="AC9" s="703">
        <f t="shared" si="5"/>
        <v>1</v>
      </c>
    </row>
    <row r="10" spans="1:29" s="378" customFormat="1" ht="27">
      <c r="A10" s="374"/>
      <c r="B10" s="375" t="s">
        <v>1686</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86"/>
      <c r="Q10" s="1342" t="str">
        <f t="shared" si="6"/>
        <v>土地使用年限（年）</v>
      </c>
      <c r="R10" s="700" t="s">
        <v>14</v>
      </c>
      <c r="S10" s="701">
        <f t="shared" si="0"/>
        <v>100</v>
      </c>
      <c r="T10" s="700" t="s">
        <v>14</v>
      </c>
      <c r="U10" s="701">
        <f t="shared" si="1"/>
        <v>100</v>
      </c>
      <c r="V10" s="700" t="s">
        <v>14</v>
      </c>
      <c r="W10" s="701">
        <f t="shared" si="2"/>
        <v>100</v>
      </c>
      <c r="X10" s="702"/>
      <c r="Y10" s="3585"/>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86"/>
      <c r="Q11" s="1342" t="str">
        <f t="shared" si="6"/>
        <v>容积率</v>
      </c>
      <c r="R11" s="700" t="s">
        <v>14</v>
      </c>
      <c r="S11" s="701">
        <f t="shared" si="0"/>
        <v>100</v>
      </c>
      <c r="T11" s="700" t="s">
        <v>14</v>
      </c>
      <c r="U11" s="701">
        <f t="shared" si="1"/>
        <v>100</v>
      </c>
      <c r="V11" s="700" t="s">
        <v>14</v>
      </c>
      <c r="W11" s="701">
        <f t="shared" si="2"/>
        <v>100</v>
      </c>
      <c r="X11" s="702"/>
      <c r="Y11" s="3585"/>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86"/>
      <c r="Q12" s="1342">
        <f t="shared" si="6"/>
        <v>111</v>
      </c>
      <c r="R12" s="700" t="s">
        <v>14</v>
      </c>
      <c r="S12" s="701">
        <f t="shared" si="0"/>
        <v>100</v>
      </c>
      <c r="T12" s="700" t="s">
        <v>14</v>
      </c>
      <c r="U12" s="701">
        <f t="shared" si="1"/>
        <v>100</v>
      </c>
      <c r="V12" s="700" t="s">
        <v>14</v>
      </c>
      <c r="W12" s="701">
        <f t="shared" si="2"/>
        <v>100</v>
      </c>
      <c r="X12" s="702"/>
      <c r="Y12" s="3585"/>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86"/>
      <c r="Q13" s="1342">
        <f t="shared" si="6"/>
        <v>111</v>
      </c>
      <c r="R13" s="700" t="s">
        <v>14</v>
      </c>
      <c r="S13" s="701">
        <f t="shared" si="0"/>
        <v>100</v>
      </c>
      <c r="T13" s="700" t="s">
        <v>14</v>
      </c>
      <c r="U13" s="701">
        <f t="shared" si="1"/>
        <v>100</v>
      </c>
      <c r="V13" s="700" t="s">
        <v>14</v>
      </c>
      <c r="W13" s="701">
        <f t="shared" si="2"/>
        <v>100</v>
      </c>
      <c r="X13" s="702"/>
      <c r="Y13" s="3585"/>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86"/>
      <c r="Q14" s="1342">
        <f t="shared" si="6"/>
        <v>111</v>
      </c>
      <c r="R14" s="700" t="s">
        <v>14</v>
      </c>
      <c r="S14" s="701">
        <f t="shared" si="0"/>
        <v>100</v>
      </c>
      <c r="T14" s="700" t="s">
        <v>14</v>
      </c>
      <c r="U14" s="701">
        <f t="shared" si="1"/>
        <v>100</v>
      </c>
      <c r="V14" s="700" t="s">
        <v>14</v>
      </c>
      <c r="W14" s="701">
        <f t="shared" si="2"/>
        <v>100</v>
      </c>
      <c r="X14" s="702"/>
      <c r="Y14" s="3585"/>
      <c r="Z14" s="52">
        <f t="shared" si="7"/>
        <v>111</v>
      </c>
      <c r="AA14" s="703">
        <f t="shared" si="3"/>
        <v>1</v>
      </c>
      <c r="AB14" s="703">
        <f t="shared" si="4"/>
        <v>1</v>
      </c>
      <c r="AC14" s="703">
        <f t="shared" si="5"/>
        <v>1</v>
      </c>
    </row>
    <row r="15" spans="1:29" ht="57">
      <c r="A15" s="391" t="s">
        <v>1688</v>
      </c>
      <c r="B15" s="61" t="s">
        <v>1825</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3" t="s">
        <v>1689</v>
      </c>
      <c r="Q15" s="1351" t="str">
        <f t="shared" si="6"/>
        <v>产业集聚程度</v>
      </c>
      <c r="R15" s="704" t="s">
        <v>14</v>
      </c>
      <c r="S15" s="705">
        <f t="shared" si="0"/>
        <v>100</v>
      </c>
      <c r="T15" s="704" t="s">
        <v>14</v>
      </c>
      <c r="U15" s="705">
        <f t="shared" si="1"/>
        <v>100</v>
      </c>
      <c r="V15" s="704" t="s">
        <v>14</v>
      </c>
      <c r="W15" s="705">
        <f t="shared" si="2"/>
        <v>100</v>
      </c>
      <c r="X15" s="1354"/>
      <c r="Y15" s="3693" t="s">
        <v>1689</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94"/>
      <c r="Q16" s="1351"/>
      <c r="R16" s="704"/>
      <c r="S16" s="705"/>
      <c r="T16" s="704"/>
      <c r="U16" s="705"/>
      <c r="V16" s="704"/>
      <c r="W16" s="705"/>
      <c r="X16" s="1354"/>
      <c r="Y16" s="3694"/>
      <c r="Z16" s="1355"/>
      <c r="AA16" s="1352">
        <v>1</v>
      </c>
      <c r="AB16" s="1352">
        <v>1</v>
      </c>
      <c r="AC16" s="1352">
        <v>1</v>
      </c>
    </row>
    <row r="17" spans="1:29" ht="85.5">
      <c r="A17" s="379"/>
      <c r="B17" s="402" t="s">
        <v>1257</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4"/>
      <c r="Q17" s="1351" t="str">
        <f>B17</f>
        <v>交通便捷度</v>
      </c>
      <c r="R17" s="704" t="s">
        <v>14</v>
      </c>
      <c r="S17" s="705">
        <f>F17</f>
        <v>100</v>
      </c>
      <c r="T17" s="704" t="s">
        <v>14</v>
      </c>
      <c r="U17" s="705">
        <f>H17</f>
        <v>100</v>
      </c>
      <c r="V17" s="704" t="s">
        <v>14</v>
      </c>
      <c r="W17" s="705">
        <f>J17</f>
        <v>100</v>
      </c>
      <c r="X17" s="1354"/>
      <c r="Y17" s="369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94"/>
      <c r="Q18" s="1351"/>
      <c r="R18" s="704"/>
      <c r="S18" s="705"/>
      <c r="T18" s="704"/>
      <c r="U18" s="705"/>
      <c r="V18" s="704"/>
      <c r="W18" s="705"/>
      <c r="X18" s="1354"/>
      <c r="Y18" s="3694"/>
      <c r="Z18" s="1355"/>
      <c r="AA18" s="1352">
        <v>1</v>
      </c>
      <c r="AB18" s="1352">
        <v>1</v>
      </c>
      <c r="AC18" s="1352">
        <v>1</v>
      </c>
    </row>
    <row r="19" spans="1:29" ht="42.75">
      <c r="A19" s="379"/>
      <c r="B19" s="402" t="s">
        <v>1810</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4"/>
      <c r="Q19" s="1351" t="str">
        <f>B19</f>
        <v>公共配套设施</v>
      </c>
      <c r="R19" s="704" t="s">
        <v>14</v>
      </c>
      <c r="S19" s="705">
        <f>F19</f>
        <v>100</v>
      </c>
      <c r="T19" s="704" t="s">
        <v>14</v>
      </c>
      <c r="U19" s="705">
        <f>H19</f>
        <v>100</v>
      </c>
      <c r="V19" s="704" t="s">
        <v>14</v>
      </c>
      <c r="W19" s="705">
        <f>J19</f>
        <v>100</v>
      </c>
      <c r="X19" s="1354"/>
      <c r="Y19" s="369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94"/>
      <c r="Q20" s="1351"/>
      <c r="R20" s="704"/>
      <c r="S20" s="705"/>
      <c r="T20" s="704"/>
      <c r="U20" s="705"/>
      <c r="V20" s="704"/>
      <c r="W20" s="705"/>
      <c r="X20" s="1354"/>
      <c r="Y20" s="3694"/>
      <c r="Z20" s="1355"/>
      <c r="AA20" s="1352">
        <v>1</v>
      </c>
      <c r="AB20" s="1352">
        <v>1</v>
      </c>
      <c r="AC20" s="1352">
        <v>1</v>
      </c>
    </row>
    <row r="21" spans="1:29" ht="28.5">
      <c r="A21" s="379"/>
      <c r="B21" s="1130" t="s">
        <v>1811</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4"/>
      <c r="Q21" s="1351" t="str">
        <f>B21</f>
        <v>基础设施水平</v>
      </c>
      <c r="R21" s="704" t="s">
        <v>14</v>
      </c>
      <c r="S21" s="705">
        <f>F21</f>
        <v>100</v>
      </c>
      <c r="T21" s="704" t="s">
        <v>14</v>
      </c>
      <c r="U21" s="705">
        <f>H21</f>
        <v>100</v>
      </c>
      <c r="V21" s="704" t="s">
        <v>14</v>
      </c>
      <c r="W21" s="705">
        <f>J21</f>
        <v>100</v>
      </c>
      <c r="X21" s="1354"/>
      <c r="Y21" s="369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94"/>
      <c r="Q22" s="1351"/>
      <c r="R22" s="704"/>
      <c r="S22" s="705"/>
      <c r="T22" s="704"/>
      <c r="U22" s="705"/>
      <c r="V22" s="704"/>
      <c r="W22" s="705"/>
      <c r="X22" s="1354"/>
      <c r="Y22" s="3694"/>
      <c r="Z22" s="1355"/>
      <c r="AA22" s="1352">
        <v>1</v>
      </c>
      <c r="AB22" s="1352">
        <v>1</v>
      </c>
      <c r="AC22" s="1352">
        <v>1</v>
      </c>
    </row>
    <row r="23" spans="1:29" ht="71.25">
      <c r="A23" s="379"/>
      <c r="B23" s="402" t="s">
        <v>1812</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4"/>
      <c r="Q23" s="1351" t="str">
        <f>B23</f>
        <v>环境质量</v>
      </c>
      <c r="R23" s="704" t="s">
        <v>14</v>
      </c>
      <c r="S23" s="705">
        <f>F23</f>
        <v>100</v>
      </c>
      <c r="T23" s="704" t="s">
        <v>14</v>
      </c>
      <c r="U23" s="705">
        <f>H23</f>
        <v>100</v>
      </c>
      <c r="V23" s="704" t="s">
        <v>14</v>
      </c>
      <c r="W23" s="705">
        <f>J23</f>
        <v>100</v>
      </c>
      <c r="X23" s="1354"/>
      <c r="Y23" s="3694"/>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94"/>
      <c r="Q24" s="1351"/>
      <c r="R24" s="704"/>
      <c r="S24" s="705"/>
      <c r="T24" s="704"/>
      <c r="U24" s="705"/>
      <c r="V24" s="704"/>
      <c r="W24" s="705"/>
      <c r="X24" s="1354"/>
      <c r="Y24" s="3694"/>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4"/>
      <c r="Q25" s="1351">
        <f>B25</f>
        <v>111</v>
      </c>
      <c r="R25" s="704" t="s">
        <v>14</v>
      </c>
      <c r="S25" s="705">
        <f>F25</f>
        <v>100</v>
      </c>
      <c r="T25" s="704" t="s">
        <v>14</v>
      </c>
      <c r="U25" s="705">
        <f>H25</f>
        <v>100</v>
      </c>
      <c r="V25" s="704" t="s">
        <v>14</v>
      </c>
      <c r="W25" s="705">
        <f>J25</f>
        <v>100</v>
      </c>
      <c r="X25" s="1354"/>
      <c r="Y25" s="3694"/>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4"/>
      <c r="Q26" s="1351">
        <f t="shared" ref="Q26:Q40" si="11">B26</f>
        <v>111</v>
      </c>
      <c r="R26" s="704" t="s">
        <v>14</v>
      </c>
      <c r="S26" s="705">
        <f>F26</f>
        <v>100</v>
      </c>
      <c r="T26" s="704" t="s">
        <v>14</v>
      </c>
      <c r="U26" s="705">
        <f>H26</f>
        <v>100</v>
      </c>
      <c r="V26" s="704" t="s">
        <v>14</v>
      </c>
      <c r="W26" s="705">
        <f>J26</f>
        <v>100</v>
      </c>
      <c r="X26" s="1354"/>
      <c r="Y26" s="3694"/>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4"/>
      <c r="Q27" s="1342">
        <f t="shared" si="11"/>
        <v>111</v>
      </c>
      <c r="R27" s="700" t="s">
        <v>14</v>
      </c>
      <c r="S27" s="701">
        <f>F27</f>
        <v>100</v>
      </c>
      <c r="T27" s="700" t="s">
        <v>14</v>
      </c>
      <c r="U27" s="701">
        <f>H27</f>
        <v>100</v>
      </c>
      <c r="V27" s="700" t="s">
        <v>14</v>
      </c>
      <c r="W27" s="701">
        <f>J27</f>
        <v>100</v>
      </c>
      <c r="X27" s="702"/>
      <c r="Y27" s="3694"/>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4"/>
      <c r="Q28" s="1351">
        <f t="shared" si="11"/>
        <v>111</v>
      </c>
      <c r="R28" s="704" t="s">
        <v>14</v>
      </c>
      <c r="S28" s="705">
        <f t="shared" ref="S28:S40" si="12">F28</f>
        <v>100</v>
      </c>
      <c r="T28" s="704" t="s">
        <v>14</v>
      </c>
      <c r="U28" s="705">
        <f t="shared" ref="U28:U40" si="13">H28</f>
        <v>100</v>
      </c>
      <c r="V28" s="704" t="s">
        <v>14</v>
      </c>
      <c r="W28" s="705">
        <f t="shared" ref="W28:W40" si="14">J28</f>
        <v>100</v>
      </c>
      <c r="X28" s="1354"/>
      <c r="Y28" s="3694"/>
      <c r="Z28" s="1355">
        <f t="shared" ref="Z28:Z40" si="15">Q28</f>
        <v>111</v>
      </c>
      <c r="AA28" s="1352">
        <f t="shared" si="3"/>
        <v>1</v>
      </c>
      <c r="AB28" s="1352">
        <f t="shared" si="4"/>
        <v>1</v>
      </c>
      <c r="AC28" s="1352">
        <f t="shared" si="5"/>
        <v>1</v>
      </c>
    </row>
    <row r="29" spans="1:29" ht="28.5">
      <c r="A29" s="417" t="s">
        <v>1692</v>
      </c>
      <c r="B29" s="63" t="s">
        <v>1815</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68" t="s">
        <v>1694</v>
      </c>
      <c r="Q29" s="1351" t="str">
        <f t="shared" si="11"/>
        <v>建筑类型</v>
      </c>
      <c r="R29" s="704" t="s">
        <v>14</v>
      </c>
      <c r="S29" s="705">
        <f t="shared" si="12"/>
        <v>100</v>
      </c>
      <c r="T29" s="704" t="s">
        <v>14</v>
      </c>
      <c r="U29" s="705">
        <f t="shared" si="13"/>
        <v>100</v>
      </c>
      <c r="V29" s="704" t="s">
        <v>14</v>
      </c>
      <c r="W29" s="705">
        <f t="shared" si="14"/>
        <v>100</v>
      </c>
      <c r="X29" s="1354"/>
      <c r="Y29" s="3698" t="s">
        <v>1694</v>
      </c>
      <c r="Z29" s="1355" t="str">
        <f t="shared" si="15"/>
        <v>建筑类型</v>
      </c>
      <c r="AA29" s="1352">
        <f t="shared" si="3"/>
        <v>1</v>
      </c>
      <c r="AB29" s="1352">
        <f t="shared" si="4"/>
        <v>1</v>
      </c>
      <c r="AC29" s="1352">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8"/>
      <c r="Q30" s="706" t="str">
        <f t="shared" si="11"/>
        <v>项目建筑规模</v>
      </c>
      <c r="R30" s="707" t="s">
        <v>14</v>
      </c>
      <c r="S30" s="708" t="e">
        <f t="shared" si="12"/>
        <v>#N/A</v>
      </c>
      <c r="T30" s="707" t="s">
        <v>14</v>
      </c>
      <c r="U30" s="708" t="e">
        <f t="shared" si="13"/>
        <v>#N/A</v>
      </c>
      <c r="V30" s="707" t="s">
        <v>14</v>
      </c>
      <c r="W30" s="708" t="e">
        <f t="shared" si="14"/>
        <v>#N/A</v>
      </c>
      <c r="X30" s="709"/>
      <c r="Y30" s="3698"/>
      <c r="Z30" s="710" t="str">
        <f t="shared" si="15"/>
        <v>项目建筑规模</v>
      </c>
      <c r="AA30" s="1352" t="e">
        <f t="shared" si="3"/>
        <v>#N/A</v>
      </c>
      <c r="AB30" s="1352" t="e">
        <f t="shared" si="4"/>
        <v>#N/A</v>
      </c>
      <c r="AC30" s="1352"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8"/>
      <c r="Q31" s="1351" t="str">
        <f t="shared" si="11"/>
        <v>建筑结构</v>
      </c>
      <c r="R31" s="704" t="s">
        <v>14</v>
      </c>
      <c r="S31" s="705">
        <f t="shared" si="12"/>
        <v>100</v>
      </c>
      <c r="T31" s="704" t="s">
        <v>14</v>
      </c>
      <c r="U31" s="705">
        <f t="shared" si="13"/>
        <v>100</v>
      </c>
      <c r="V31" s="704" t="s">
        <v>14</v>
      </c>
      <c r="W31" s="705">
        <f t="shared" si="14"/>
        <v>100</v>
      </c>
      <c r="X31" s="1354"/>
      <c r="Y31" s="3698"/>
      <c r="Z31" s="1355" t="str">
        <f t="shared" si="15"/>
        <v>建筑结构</v>
      </c>
      <c r="AA31" s="1352">
        <f t="shared" si="3"/>
        <v>1</v>
      </c>
      <c r="AB31" s="1352">
        <f t="shared" si="4"/>
        <v>1</v>
      </c>
      <c r="AC31" s="1352">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8"/>
      <c r="Q32" s="1351" t="str">
        <f t="shared" si="11"/>
        <v>公共部分装修</v>
      </c>
      <c r="R32" s="704" t="s">
        <v>14</v>
      </c>
      <c r="S32" s="705">
        <f t="shared" si="12"/>
        <v>100</v>
      </c>
      <c r="T32" s="704" t="s">
        <v>14</v>
      </c>
      <c r="U32" s="705">
        <f t="shared" si="13"/>
        <v>100</v>
      </c>
      <c r="V32" s="704" t="s">
        <v>14</v>
      </c>
      <c r="W32" s="705">
        <f t="shared" si="14"/>
        <v>100</v>
      </c>
      <c r="X32" s="1354"/>
      <c r="Y32" s="3698"/>
      <c r="Z32" s="1355" t="str">
        <f t="shared" si="15"/>
        <v>公共部分装修</v>
      </c>
      <c r="AA32" s="1352">
        <f t="shared" si="3"/>
        <v>1</v>
      </c>
      <c r="AB32" s="1352">
        <f t="shared" si="4"/>
        <v>1</v>
      </c>
      <c r="AC32" s="1352">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8"/>
      <c r="Q33" s="1351" t="str">
        <f t="shared" si="11"/>
        <v>成新度</v>
      </c>
      <c r="R33" s="704" t="s">
        <v>14</v>
      </c>
      <c r="S33" s="705" t="e">
        <f t="shared" si="12"/>
        <v>#N/A</v>
      </c>
      <c r="T33" s="704" t="s">
        <v>14</v>
      </c>
      <c r="U33" s="705" t="e">
        <f t="shared" si="13"/>
        <v>#N/A</v>
      </c>
      <c r="V33" s="704" t="s">
        <v>14</v>
      </c>
      <c r="W33" s="705" t="e">
        <f t="shared" si="14"/>
        <v>#N/A</v>
      </c>
      <c r="X33" s="1354"/>
      <c r="Y33" s="3698"/>
      <c r="Z33" s="1355" t="str">
        <f t="shared" si="15"/>
        <v>成新度</v>
      </c>
      <c r="AA33" s="1352" t="e">
        <f t="shared" si="3"/>
        <v>#N/A</v>
      </c>
      <c r="AB33" s="1352" t="e">
        <f t="shared" si="4"/>
        <v>#N/A</v>
      </c>
      <c r="AC33" s="1352"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8"/>
      <c r="Q34" s="1342" t="str">
        <f t="shared" si="11"/>
        <v>物业管理</v>
      </c>
      <c r="R34" s="700" t="s">
        <v>14</v>
      </c>
      <c r="S34" s="701">
        <f t="shared" si="12"/>
        <v>100</v>
      </c>
      <c r="T34" s="700" t="s">
        <v>14</v>
      </c>
      <c r="U34" s="701">
        <f t="shared" si="13"/>
        <v>100</v>
      </c>
      <c r="V34" s="700" t="s">
        <v>14</v>
      </c>
      <c r="W34" s="701">
        <f t="shared" si="14"/>
        <v>100</v>
      </c>
      <c r="X34" s="702"/>
      <c r="Y34" s="3698"/>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8" t="s">
        <v>1694</v>
      </c>
      <c r="Q35" s="1351" t="str">
        <f t="shared" si="11"/>
        <v>市政基础设施</v>
      </c>
      <c r="R35" s="704" t="s">
        <v>14</v>
      </c>
      <c r="S35" s="705">
        <f t="shared" si="12"/>
        <v>100</v>
      </c>
      <c r="T35" s="704" t="s">
        <v>14</v>
      </c>
      <c r="U35" s="705">
        <f t="shared" si="13"/>
        <v>100</v>
      </c>
      <c r="V35" s="704" t="s">
        <v>14</v>
      </c>
      <c r="W35" s="705">
        <f t="shared" si="14"/>
        <v>100</v>
      </c>
      <c r="X35" s="1354"/>
      <c r="Y35" s="3698" t="s">
        <v>1694</v>
      </c>
      <c r="Z35" s="1355" t="str">
        <f t="shared" si="15"/>
        <v>市政基础设施</v>
      </c>
      <c r="AA35" s="1352">
        <f t="shared" si="3"/>
        <v>1</v>
      </c>
      <c r="AB35" s="1352">
        <f t="shared" si="4"/>
        <v>1</v>
      </c>
      <c r="AC35" s="1352">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8"/>
      <c r="Q36" s="1351" t="str">
        <f t="shared" si="11"/>
        <v>内部装修</v>
      </c>
      <c r="R36" s="704" t="s">
        <v>14</v>
      </c>
      <c r="S36" s="705">
        <f t="shared" si="12"/>
        <v>100</v>
      </c>
      <c r="T36" s="704" t="s">
        <v>14</v>
      </c>
      <c r="U36" s="705">
        <f t="shared" si="13"/>
        <v>100</v>
      </c>
      <c r="V36" s="704" t="s">
        <v>14</v>
      </c>
      <c r="W36" s="705">
        <f t="shared" si="14"/>
        <v>100</v>
      </c>
      <c r="X36" s="1354"/>
      <c r="Y36" s="3698"/>
      <c r="Z36" s="1355" t="str">
        <f t="shared" si="15"/>
        <v>内部装修</v>
      </c>
      <c r="AA36" s="1352">
        <f t="shared" si="3"/>
        <v>1</v>
      </c>
      <c r="AB36" s="1352">
        <f t="shared" si="4"/>
        <v>1</v>
      </c>
      <c r="AC36" s="1352">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8"/>
      <c r="Q37" s="1351" t="str">
        <f t="shared" si="11"/>
        <v>内部装修状况</v>
      </c>
      <c r="R37" s="704" t="s">
        <v>14</v>
      </c>
      <c r="S37" s="705">
        <f t="shared" si="12"/>
        <v>100</v>
      </c>
      <c r="T37" s="704" t="s">
        <v>14</v>
      </c>
      <c r="U37" s="705">
        <f t="shared" si="13"/>
        <v>100</v>
      </c>
      <c r="V37" s="704" t="s">
        <v>14</v>
      </c>
      <c r="W37" s="705">
        <f t="shared" si="14"/>
        <v>100</v>
      </c>
      <c r="X37" s="1354"/>
      <c r="Y37" s="3698"/>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8"/>
      <c r="Q38" s="706">
        <f t="shared" si="11"/>
        <v>111</v>
      </c>
      <c r="R38" s="707" t="s">
        <v>14</v>
      </c>
      <c r="S38" s="708">
        <f t="shared" si="12"/>
        <v>100</v>
      </c>
      <c r="T38" s="707" t="s">
        <v>14</v>
      </c>
      <c r="U38" s="708">
        <f t="shared" si="13"/>
        <v>100</v>
      </c>
      <c r="V38" s="707" t="s">
        <v>14</v>
      </c>
      <c r="W38" s="708">
        <f t="shared" si="14"/>
        <v>100</v>
      </c>
      <c r="X38" s="709"/>
      <c r="Y38" s="3698"/>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8"/>
      <c r="Q39" s="1351">
        <f t="shared" si="11"/>
        <v>111</v>
      </c>
      <c r="R39" s="704" t="s">
        <v>14</v>
      </c>
      <c r="S39" s="705">
        <f t="shared" si="12"/>
        <v>100</v>
      </c>
      <c r="T39" s="704" t="s">
        <v>14</v>
      </c>
      <c r="U39" s="705">
        <f t="shared" si="13"/>
        <v>100</v>
      </c>
      <c r="V39" s="704" t="s">
        <v>14</v>
      </c>
      <c r="W39" s="705">
        <f t="shared" si="14"/>
        <v>100</v>
      </c>
      <c r="X39" s="1354"/>
      <c r="Y39" s="3698"/>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9"/>
      <c r="Q40" s="1351">
        <f t="shared" si="11"/>
        <v>111</v>
      </c>
      <c r="R40" s="704" t="s">
        <v>14</v>
      </c>
      <c r="S40" s="705">
        <f t="shared" si="12"/>
        <v>100</v>
      </c>
      <c r="T40" s="704" t="s">
        <v>14</v>
      </c>
      <c r="U40" s="705">
        <f t="shared" si="13"/>
        <v>100</v>
      </c>
      <c r="V40" s="704" t="s">
        <v>14</v>
      </c>
      <c r="W40" s="705">
        <f t="shared" si="14"/>
        <v>100</v>
      </c>
      <c r="X40" s="1354"/>
      <c r="Y40" s="3699"/>
      <c r="Z40" s="1355">
        <f t="shared" si="15"/>
        <v>111</v>
      </c>
      <c r="AA40" s="1352">
        <f t="shared" si="3"/>
        <v>1</v>
      </c>
      <c r="AB40" s="1352">
        <f t="shared" si="4"/>
        <v>1</v>
      </c>
      <c r="AC40" s="1352">
        <f t="shared" si="5"/>
        <v>1</v>
      </c>
    </row>
    <row r="41" spans="1:29" ht="15">
      <c r="A41" s="430" t="s">
        <v>1706</v>
      </c>
      <c r="B41" s="431"/>
      <c r="C41" s="1153" t="s">
        <v>0</v>
      </c>
      <c r="D41" s="1154"/>
      <c r="E41" s="1155"/>
      <c r="F41" s="1156"/>
      <c r="G41" s="1157"/>
      <c r="H41" s="1158"/>
      <c r="I41" s="1155"/>
      <c r="J41" s="1158"/>
      <c r="K41" s="713"/>
      <c r="L41" s="925"/>
      <c r="M41" s="926"/>
      <c r="N41" s="913"/>
      <c r="O41" s="926"/>
      <c r="P41" s="3686" t="str">
        <f>A41</f>
        <v>成交单价（元/平方米）</v>
      </c>
      <c r="Q41" s="3686"/>
      <c r="R41" s="3687">
        <f>E41</f>
        <v>0</v>
      </c>
      <c r="S41" s="3687"/>
      <c r="T41" s="3687">
        <f>G41</f>
        <v>0</v>
      </c>
      <c r="U41" s="3687"/>
      <c r="V41" s="3687">
        <f>I41</f>
        <v>0</v>
      </c>
      <c r="W41" s="3687"/>
      <c r="X41" s="689"/>
      <c r="Y41" s="711"/>
      <c r="Z41" s="689"/>
      <c r="AA41" s="689"/>
      <c r="AB41" s="689"/>
      <c r="AC41" s="689"/>
    </row>
    <row r="42" spans="1:29" ht="15.75" thickBot="1">
      <c r="A42" s="437" t="s">
        <v>1791</v>
      </c>
      <c r="B42" s="438"/>
      <c r="C42" s="1159" t="e">
        <f>R43</f>
        <v>#DIV/0!</v>
      </c>
      <c r="D42" s="2316" t="s">
        <v>2135</v>
      </c>
      <c r="E42" s="1160" t="e">
        <f>R42</f>
        <v>#DIV/0!</v>
      </c>
      <c r="F42" s="2317"/>
      <c r="G42" s="1159" t="e">
        <f>T42</f>
        <v>#DIV/0!</v>
      </c>
      <c r="H42" s="2317"/>
      <c r="I42" s="1160" t="e">
        <f>V42</f>
        <v>#DIV/0!</v>
      </c>
      <c r="J42" s="2317"/>
      <c r="K42" s="2319">
        <f>F42+H42+J42</f>
        <v>0</v>
      </c>
      <c r="L42" s="925"/>
      <c r="M42" s="926"/>
      <c r="N42" s="913"/>
      <c r="O42" s="926"/>
      <c r="P42" s="3686" t="str">
        <f>A42</f>
        <v>比较价值（元/平方米）</v>
      </c>
      <c r="Q42" s="3686"/>
      <c r="R42" s="3687" t="e">
        <f>IF(F1="售价",ROUND(PRODUCT(R41,AA7:AA40),0),ROUND(PRODUCT(R41,AA7:AA40),1))</f>
        <v>#DIV/0!</v>
      </c>
      <c r="S42" s="3687"/>
      <c r="T42" s="3687" t="e">
        <f>IF(F1="售价",ROUND(PRODUCT(T41,AB7:AB40),0),ROUND(PRODUCT(T41,AB7:AB40),1))</f>
        <v>#DIV/0!</v>
      </c>
      <c r="U42" s="3687"/>
      <c r="V42" s="3687" t="e">
        <f>IF(F1="售价",ROUND(PRODUCT(V41,AC7:AC40),0),ROUND(PRODUCT(V41,AC7:AC40),1))</f>
        <v>#DIV/0!</v>
      </c>
      <c r="W42" s="3687"/>
      <c r="X42" s="689"/>
      <c r="Y42" s="689"/>
      <c r="Z42" s="689"/>
      <c r="AA42" s="689"/>
      <c r="AB42" s="689"/>
      <c r="AC42" s="689"/>
    </row>
    <row r="43" spans="1:29" ht="15.75" thickBot="1">
      <c r="A43" s="441" t="s">
        <v>1792</v>
      </c>
      <c r="B43" s="442"/>
      <c r="C43" s="1162" t="e">
        <f>R43</f>
        <v>#DIV/0!</v>
      </c>
      <c r="D43" s="1162"/>
      <c r="E43" s="1162"/>
      <c r="F43" s="1162"/>
      <c r="G43" s="1162"/>
      <c r="H43" s="1162"/>
      <c r="I43" s="1162"/>
      <c r="J43" s="1162"/>
      <c r="K43" s="714"/>
      <c r="L43" s="925"/>
      <c r="M43" s="926"/>
      <c r="N43" s="926"/>
      <c r="O43" s="926"/>
      <c r="P43" s="3688" t="str">
        <f>A43</f>
        <v>估价对象XX用房的比较价值（楼面单价，元/平方米）</v>
      </c>
      <c r="Q43" s="3689"/>
      <c r="R43" s="3690" t="e">
        <f>IF(F1="售价",ROUND(IF(D42="简单平均",AVERAGE(R42:V42),R42*F42+T42*H42+V42*J42),0),ROUND(IF(D42="简单平均",AVERAGE(R42:V42),R42*F42+T42*H42+V42*J42),1))</f>
        <v>#DIV/0!</v>
      </c>
      <c r="S43" s="3690"/>
      <c r="T43" s="3690"/>
      <c r="U43" s="3690"/>
      <c r="V43" s="3690"/>
      <c r="W43" s="3690"/>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3" t="str">
        <f>YEAR(C7)&amp;"-"&amp;MONTH(C7)</f>
        <v>2024-6</v>
      </c>
      <c r="D52" s="1184">
        <f>EDATE(C52,-1)</f>
        <v>45413</v>
      </c>
      <c r="E52" s="1184">
        <f t="shared" ref="E52:O52" si="16">EDATE(D52,-1)</f>
        <v>45383</v>
      </c>
      <c r="F52" s="1184">
        <f t="shared" si="16"/>
        <v>45352</v>
      </c>
      <c r="G52" s="1184">
        <f t="shared" si="16"/>
        <v>45323</v>
      </c>
      <c r="H52" s="1184">
        <f t="shared" si="16"/>
        <v>45292</v>
      </c>
      <c r="I52" s="1184">
        <f t="shared" si="16"/>
        <v>45261</v>
      </c>
      <c r="J52" s="1184">
        <f t="shared" si="16"/>
        <v>45231</v>
      </c>
      <c r="K52" s="1184">
        <f t="shared" si="16"/>
        <v>45200</v>
      </c>
      <c r="L52" s="1184">
        <f t="shared" si="16"/>
        <v>45170</v>
      </c>
      <c r="M52" s="1184">
        <f t="shared" si="16"/>
        <v>45139</v>
      </c>
      <c r="N52" s="1184">
        <f t="shared" si="16"/>
        <v>45108</v>
      </c>
      <c r="O52" s="1184">
        <f t="shared" si="16"/>
        <v>45078</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9"/>
      <c r="O54" s="2770"/>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9" priority="20" stopIfTrue="1" operator="containsText" text="超过">
      <formula>NOT(ISERROR(SEARCH("超过",F46)))</formula>
    </cfRule>
  </conditionalFormatting>
  <conditionalFormatting sqref="H48">
    <cfRule type="containsText" dxfId="118" priority="19" stopIfTrue="1" operator="containsText" text="超过">
      <formula>NOT(ISERROR(SEARCH("超过",H48)))</formula>
    </cfRule>
  </conditionalFormatting>
  <conditionalFormatting sqref="F48">
    <cfRule type="containsText" dxfId="117" priority="18" stopIfTrue="1" operator="containsText" text="超过">
      <formula>NOT(ISERROR(SEARCH("超过",F48)))</formula>
    </cfRule>
  </conditionalFormatting>
  <conditionalFormatting sqref="F47 H47">
    <cfRule type="containsText" dxfId="116" priority="17" stopIfTrue="1" operator="containsText" text="超过">
      <formula>NOT(ISERROR(SEARCH("超过",F47)))</formula>
    </cfRule>
  </conditionalFormatting>
  <conditionalFormatting sqref="E46">
    <cfRule type="expression" dxfId="115" priority="16" stopIfTrue="1">
      <formula>$F$46="超过30%"</formula>
    </cfRule>
  </conditionalFormatting>
  <conditionalFormatting sqref="E47">
    <cfRule type="expression" dxfId="114" priority="15" stopIfTrue="1">
      <formula>$F$47="超过20%"</formula>
    </cfRule>
  </conditionalFormatting>
  <conditionalFormatting sqref="E48">
    <cfRule type="expression" dxfId="113" priority="14" stopIfTrue="1">
      <formula>$F$48="超过30%"</formula>
    </cfRule>
  </conditionalFormatting>
  <conditionalFormatting sqref="G48">
    <cfRule type="expression" dxfId="112" priority="13" stopIfTrue="1">
      <formula>$H$48="超过30%"</formula>
    </cfRule>
  </conditionalFormatting>
  <conditionalFormatting sqref="G46">
    <cfRule type="expression" dxfId="111" priority="12" stopIfTrue="1">
      <formula>$H$46="超过30%"</formula>
    </cfRule>
  </conditionalFormatting>
  <conditionalFormatting sqref="G47">
    <cfRule type="expression" dxfId="110" priority="11" stopIfTrue="1">
      <formula>$H$47="超过20%"</formula>
    </cfRule>
  </conditionalFormatting>
  <conditionalFormatting sqref="J46">
    <cfRule type="containsText" dxfId="109" priority="10" stopIfTrue="1" operator="containsText" text="超过">
      <formula>NOT(ISERROR(SEARCH("超过",J46)))</formula>
    </cfRule>
  </conditionalFormatting>
  <conditionalFormatting sqref="J48">
    <cfRule type="containsText" dxfId="108" priority="9" stopIfTrue="1" operator="containsText" text="超过">
      <formula>NOT(ISERROR(SEARCH("超过",J48)))</formula>
    </cfRule>
  </conditionalFormatting>
  <conditionalFormatting sqref="J47">
    <cfRule type="containsText" dxfId="107" priority="8" stopIfTrue="1" operator="containsText" text="超过">
      <formula>NOT(ISERROR(SEARCH("超过",J47)))</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F7:F40 H7:H40 J7:J40">
    <cfRule type="cellIs" dxfId="10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估价对象为北京市房地产，为所有。根据《国有土地使用证》[]，估价对象（分摊）出让国有建设用地使用权面积为0平方米，建筑面积为2389.24平方米。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估价对象为北京市房地产,属开发建设的办公项目，该项目尚在开发建设中。根据《国有土地使用证》[]，估价对象（分摊）出让国有建设用地使用权面积为0平方米，规划建筑面积为2389.24平方米。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2024年6月6日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3333</v>
      </c>
      <c r="C1" s="1223" t="s">
        <v>1660</v>
      </c>
      <c r="D1" s="1224"/>
      <c r="E1" s="3432"/>
      <c r="F1" s="1878"/>
      <c r="G1" s="1226" t="s">
        <v>1765</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1767</v>
      </c>
      <c r="B4" s="356"/>
      <c r="C4" s="3705" t="s">
        <v>1768</v>
      </c>
      <c r="D4" s="3706"/>
      <c r="E4" s="3707" t="s">
        <v>1769</v>
      </c>
      <c r="F4" s="3708"/>
      <c r="G4" s="3705" t="s">
        <v>1770</v>
      </c>
      <c r="H4" s="3706"/>
      <c r="I4" s="3705" t="s">
        <v>1771</v>
      </c>
      <c r="J4" s="3706"/>
      <c r="K4" s="559" t="s">
        <v>1772</v>
      </c>
      <c r="L4" s="2714"/>
      <c r="M4" s="2715"/>
      <c r="N4" s="2715"/>
      <c r="O4" s="2715"/>
      <c r="P4" s="3709" t="s">
        <v>1773</v>
      </c>
      <c r="Q4" s="3710"/>
      <c r="R4" s="3715" t="s">
        <v>1769</v>
      </c>
      <c r="S4" s="3716"/>
      <c r="T4" s="3715" t="s">
        <v>1770</v>
      </c>
      <c r="U4" s="3716"/>
      <c r="V4" s="3700" t="s">
        <v>1771</v>
      </c>
      <c r="W4" s="3700"/>
      <c r="X4" s="1354"/>
      <c r="Y4" s="3715" t="s">
        <v>1773</v>
      </c>
      <c r="Z4" s="3716"/>
      <c r="AA4" s="3702" t="s">
        <v>1769</v>
      </c>
      <c r="AB4" s="3703" t="s">
        <v>1770</v>
      </c>
      <c r="AC4" s="3702" t="s">
        <v>1771</v>
      </c>
    </row>
    <row r="5" spans="1:29" ht="15">
      <c r="A5" s="358"/>
      <c r="B5" s="359"/>
      <c r="C5" s="3723" t="s">
        <v>1671</v>
      </c>
      <c r="D5" s="3724"/>
      <c r="E5" s="3730" t="s">
        <v>1672</v>
      </c>
      <c r="F5" s="3731"/>
      <c r="G5" s="3723" t="s">
        <v>1673</v>
      </c>
      <c r="H5" s="3724"/>
      <c r="I5" s="3723" t="s">
        <v>1674</v>
      </c>
      <c r="J5" s="3724"/>
      <c r="K5" s="559"/>
      <c r="L5" s="2714"/>
      <c r="M5" s="2715"/>
      <c r="N5" s="2715"/>
      <c r="O5" s="2715"/>
      <c r="P5" s="3711"/>
      <c r="Q5" s="3712"/>
      <c r="R5" s="3717"/>
      <c r="S5" s="3718"/>
      <c r="T5" s="3717"/>
      <c r="U5" s="3718"/>
      <c r="V5" s="3700"/>
      <c r="W5" s="3700"/>
      <c r="X5" s="1354"/>
      <c r="Y5" s="3717"/>
      <c r="Z5" s="3718"/>
      <c r="AA5" s="3703"/>
      <c r="AB5" s="3703"/>
      <c r="AC5" s="3703"/>
    </row>
    <row r="6" spans="1:29" ht="15.75" thickBot="1">
      <c r="A6" s="360"/>
      <c r="B6" s="361"/>
      <c r="C6" s="3721" t="s">
        <v>1675</v>
      </c>
      <c r="D6" s="3722"/>
      <c r="E6" s="3728" t="s">
        <v>1675</v>
      </c>
      <c r="F6" s="3729"/>
      <c r="G6" s="3721" t="s">
        <v>1675</v>
      </c>
      <c r="H6" s="3722"/>
      <c r="I6" s="3721" t="s">
        <v>1675</v>
      </c>
      <c r="J6" s="3722"/>
      <c r="K6" s="559" t="s">
        <v>1676</v>
      </c>
      <c r="L6" s="2714"/>
      <c r="M6" s="2715"/>
      <c r="N6" s="2715"/>
      <c r="O6" s="2715"/>
      <c r="P6" s="3713"/>
      <c r="Q6" s="3714"/>
      <c r="R6" s="3717"/>
      <c r="S6" s="3718"/>
      <c r="T6" s="3719"/>
      <c r="U6" s="3720"/>
      <c r="V6" s="3700"/>
      <c r="W6" s="3700"/>
      <c r="X6" s="1354"/>
      <c r="Y6" s="3719"/>
      <c r="Z6" s="3720"/>
      <c r="AA6" s="3704"/>
      <c r="AB6" s="3704"/>
      <c r="AC6" s="3704"/>
    </row>
    <row r="7" spans="1:29" s="108" customFormat="1" ht="15.75" thickBot="1">
      <c r="A7" s="362" t="s">
        <v>1677</v>
      </c>
      <c r="B7" s="363"/>
      <c r="C7" s="364">
        <f>'数据-取费表'!B2</f>
        <v>45449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25" t="s">
        <v>1678</v>
      </c>
      <c r="Q7" s="3727"/>
      <c r="R7" s="700" t="s">
        <v>14</v>
      </c>
      <c r="S7" s="701">
        <f t="shared" ref="S7:S14" si="0">F7</f>
        <v>0</v>
      </c>
      <c r="T7" s="700" t="s">
        <v>14</v>
      </c>
      <c r="U7" s="701">
        <f t="shared" ref="U7:U14" si="1">H7</f>
        <v>0</v>
      </c>
      <c r="V7" s="700" t="s">
        <v>14</v>
      </c>
      <c r="W7" s="701">
        <f t="shared" ref="W7:W14" si="2">J7</f>
        <v>0</v>
      </c>
      <c r="X7" s="702"/>
      <c r="Y7" s="3725" t="s">
        <v>1678</v>
      </c>
      <c r="Z7" s="3726"/>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25" t="s">
        <v>1681</v>
      </c>
      <c r="Q8" s="3726"/>
      <c r="R8" s="700" t="s">
        <v>14</v>
      </c>
      <c r="S8" s="701">
        <f t="shared" si="0"/>
        <v>100</v>
      </c>
      <c r="T8" s="700" t="s">
        <v>14</v>
      </c>
      <c r="U8" s="701">
        <f t="shared" si="1"/>
        <v>100</v>
      </c>
      <c r="V8" s="700" t="s">
        <v>14</v>
      </c>
      <c r="W8" s="701">
        <f t="shared" si="2"/>
        <v>100</v>
      </c>
      <c r="X8" s="702"/>
      <c r="Y8" s="3725" t="s">
        <v>1681</v>
      </c>
      <c r="Z8" s="3726"/>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6" t="s">
        <v>1684</v>
      </c>
      <c r="Q9" s="1342" t="str">
        <f t="shared" ref="Q9:Q14" si="6">B9</f>
        <v>用途</v>
      </c>
      <c r="R9" s="700" t="s">
        <v>14</v>
      </c>
      <c r="S9" s="701">
        <f t="shared" si="0"/>
        <v>100</v>
      </c>
      <c r="T9" s="700" t="s">
        <v>14</v>
      </c>
      <c r="U9" s="701">
        <f t="shared" si="1"/>
        <v>100</v>
      </c>
      <c r="V9" s="700" t="s">
        <v>14</v>
      </c>
      <c r="W9" s="701">
        <f t="shared" si="2"/>
        <v>100</v>
      </c>
      <c r="X9" s="702"/>
      <c r="Y9" s="3585" t="s">
        <v>1685</v>
      </c>
      <c r="Z9" s="52" t="str">
        <f t="shared" ref="Z9:Z14" si="7">Q9</f>
        <v>用途</v>
      </c>
      <c r="AA9" s="703">
        <f t="shared" si="3"/>
        <v>1</v>
      </c>
      <c r="AB9" s="703">
        <f t="shared" si="4"/>
        <v>1</v>
      </c>
      <c r="AC9" s="703">
        <f t="shared" si="5"/>
        <v>1</v>
      </c>
    </row>
    <row r="10" spans="1:29" s="378" customFormat="1" ht="27">
      <c r="A10" s="588"/>
      <c r="B10" s="589" t="s">
        <v>1686</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86"/>
      <c r="Q10" s="1342" t="str">
        <f t="shared" si="6"/>
        <v>土地使用年限（年）</v>
      </c>
      <c r="R10" s="700" t="s">
        <v>14</v>
      </c>
      <c r="S10" s="701">
        <f t="shared" si="0"/>
        <v>100</v>
      </c>
      <c r="T10" s="700" t="s">
        <v>14</v>
      </c>
      <c r="U10" s="701">
        <f t="shared" si="1"/>
        <v>100</v>
      </c>
      <c r="V10" s="700" t="s">
        <v>14</v>
      </c>
      <c r="W10" s="701">
        <f t="shared" si="2"/>
        <v>100</v>
      </c>
      <c r="X10" s="702"/>
      <c r="Y10" s="3585"/>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6"/>
      <c r="Q11" s="1342">
        <f t="shared" si="6"/>
        <v>111</v>
      </c>
      <c r="R11" s="700" t="s">
        <v>14</v>
      </c>
      <c r="S11" s="701">
        <f t="shared" si="0"/>
        <v>100</v>
      </c>
      <c r="T11" s="700" t="s">
        <v>14</v>
      </c>
      <c r="U11" s="701">
        <f t="shared" si="1"/>
        <v>100</v>
      </c>
      <c r="V11" s="700" t="s">
        <v>14</v>
      </c>
      <c r="W11" s="701">
        <f t="shared" si="2"/>
        <v>100</v>
      </c>
      <c r="X11" s="702"/>
      <c r="Y11" s="3585"/>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6"/>
      <c r="Q12" s="1342">
        <f t="shared" si="6"/>
        <v>111</v>
      </c>
      <c r="R12" s="700" t="s">
        <v>14</v>
      </c>
      <c r="S12" s="701">
        <f t="shared" si="0"/>
        <v>100</v>
      </c>
      <c r="T12" s="700" t="s">
        <v>14</v>
      </c>
      <c r="U12" s="701">
        <f t="shared" si="1"/>
        <v>100</v>
      </c>
      <c r="V12" s="700" t="s">
        <v>14</v>
      </c>
      <c r="W12" s="701">
        <f t="shared" si="2"/>
        <v>100</v>
      </c>
      <c r="X12" s="702"/>
      <c r="Y12" s="3585"/>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6"/>
      <c r="Q13" s="1342">
        <f t="shared" si="6"/>
        <v>111</v>
      </c>
      <c r="R13" s="700" t="s">
        <v>14</v>
      </c>
      <c r="S13" s="701">
        <f t="shared" si="0"/>
        <v>100</v>
      </c>
      <c r="T13" s="700" t="s">
        <v>14</v>
      </c>
      <c r="U13" s="701">
        <f t="shared" si="1"/>
        <v>100</v>
      </c>
      <c r="V13" s="700" t="s">
        <v>14</v>
      </c>
      <c r="W13" s="701">
        <f t="shared" si="2"/>
        <v>100</v>
      </c>
      <c r="X13" s="702"/>
      <c r="Y13" s="3585"/>
      <c r="Z13" s="52">
        <f t="shared" si="7"/>
        <v>111</v>
      </c>
      <c r="AA13" s="703">
        <f t="shared" si="3"/>
        <v>1</v>
      </c>
      <c r="AB13" s="703">
        <f t="shared" si="4"/>
        <v>1</v>
      </c>
      <c r="AC13" s="703">
        <f t="shared" si="5"/>
        <v>1</v>
      </c>
    </row>
    <row r="14" spans="1:29" ht="85.5">
      <c r="A14" s="355" t="s">
        <v>1688</v>
      </c>
      <c r="B14" s="576" t="s">
        <v>1831</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3" t="s">
        <v>1689</v>
      </c>
      <c r="Q14" s="1351" t="str">
        <f t="shared" si="6"/>
        <v>交通便捷度</v>
      </c>
      <c r="R14" s="704" t="s">
        <v>14</v>
      </c>
      <c r="S14" s="705">
        <f t="shared" si="0"/>
        <v>100</v>
      </c>
      <c r="T14" s="704" t="s">
        <v>14</v>
      </c>
      <c r="U14" s="705">
        <f t="shared" si="1"/>
        <v>100</v>
      </c>
      <c r="V14" s="704" t="s">
        <v>14</v>
      </c>
      <c r="W14" s="705">
        <f t="shared" si="2"/>
        <v>100</v>
      </c>
      <c r="X14" s="1354"/>
      <c r="Y14" s="3693" t="s">
        <v>1689</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94"/>
      <c r="Q15" s="1351"/>
      <c r="R15" s="704"/>
      <c r="S15" s="705"/>
      <c r="T15" s="704"/>
      <c r="U15" s="705"/>
      <c r="V15" s="704"/>
      <c r="W15" s="705"/>
      <c r="X15" s="1354"/>
      <c r="Y15" s="3694"/>
      <c r="Z15" s="1355"/>
      <c r="AA15" s="1352">
        <v>1</v>
      </c>
      <c r="AB15" s="1352">
        <v>1</v>
      </c>
      <c r="AC15" s="1352">
        <v>1</v>
      </c>
    </row>
    <row r="16" spans="1:29" ht="42.75">
      <c r="A16" s="358"/>
      <c r="B16" s="578" t="s">
        <v>1810</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4"/>
      <c r="Q16" s="1351" t="str">
        <f>B16</f>
        <v>公共配套设施</v>
      </c>
      <c r="R16" s="704" t="s">
        <v>14</v>
      </c>
      <c r="S16" s="705">
        <f>F16</f>
        <v>100</v>
      </c>
      <c r="T16" s="704" t="s">
        <v>14</v>
      </c>
      <c r="U16" s="705">
        <f>H16</f>
        <v>100</v>
      </c>
      <c r="V16" s="704" t="s">
        <v>14</v>
      </c>
      <c r="W16" s="705">
        <f>J16</f>
        <v>100</v>
      </c>
      <c r="X16" s="1354"/>
      <c r="Y16" s="3694"/>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94"/>
      <c r="Q17" s="1351"/>
      <c r="R17" s="704"/>
      <c r="S17" s="705"/>
      <c r="T17" s="704"/>
      <c r="U17" s="705"/>
      <c r="V17" s="704"/>
      <c r="W17" s="705"/>
      <c r="X17" s="1354"/>
      <c r="Y17" s="3694"/>
      <c r="Z17" s="1355"/>
      <c r="AA17" s="1352">
        <v>1</v>
      </c>
      <c r="AB17" s="1352">
        <v>1</v>
      </c>
      <c r="AC17" s="1352">
        <v>1</v>
      </c>
    </row>
    <row r="18" spans="1:29" ht="28.5">
      <c r="A18" s="358"/>
      <c r="B18" s="580" t="s">
        <v>1811</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4"/>
      <c r="Q18" s="1351" t="str">
        <f>B18</f>
        <v>基础设施水平</v>
      </c>
      <c r="R18" s="704" t="s">
        <v>14</v>
      </c>
      <c r="S18" s="705">
        <f>F18</f>
        <v>100</v>
      </c>
      <c r="T18" s="704" t="s">
        <v>14</v>
      </c>
      <c r="U18" s="705">
        <f>H18</f>
        <v>100</v>
      </c>
      <c r="V18" s="704" t="s">
        <v>14</v>
      </c>
      <c r="W18" s="705">
        <f>J18</f>
        <v>100</v>
      </c>
      <c r="X18" s="1354"/>
      <c r="Y18" s="3694"/>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94"/>
      <c r="Q19" s="1351"/>
      <c r="R19" s="704"/>
      <c r="S19" s="705"/>
      <c r="T19" s="704"/>
      <c r="U19" s="705"/>
      <c r="V19" s="704"/>
      <c r="W19" s="705"/>
      <c r="X19" s="1354"/>
      <c r="Y19" s="3694"/>
      <c r="Z19" s="1355"/>
      <c r="AA19" s="1352">
        <v>1</v>
      </c>
      <c r="AB19" s="1352">
        <v>1</v>
      </c>
      <c r="AC19" s="1352">
        <v>1</v>
      </c>
    </row>
    <row r="20" spans="1:29" ht="57">
      <c r="A20" s="358"/>
      <c r="B20" s="578" t="s">
        <v>1832</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4"/>
      <c r="Q20" s="1351" t="str">
        <f>B20</f>
        <v>自然及人文环境</v>
      </c>
      <c r="R20" s="704" t="s">
        <v>14</v>
      </c>
      <c r="S20" s="705">
        <f>F20</f>
        <v>100</v>
      </c>
      <c r="T20" s="704" t="s">
        <v>14</v>
      </c>
      <c r="U20" s="705">
        <f>H20</f>
        <v>100</v>
      </c>
      <c r="V20" s="704" t="s">
        <v>14</v>
      </c>
      <c r="W20" s="705">
        <f>J20</f>
        <v>100</v>
      </c>
      <c r="X20" s="1354"/>
      <c r="Y20" s="3694"/>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94"/>
      <c r="Q21" s="1351"/>
      <c r="R21" s="704"/>
      <c r="S21" s="705"/>
      <c r="T21" s="704"/>
      <c r="U21" s="705"/>
      <c r="V21" s="704"/>
      <c r="W21" s="705"/>
      <c r="X21" s="1354"/>
      <c r="Y21" s="3694"/>
      <c r="Z21" s="1355"/>
      <c r="AA21" s="1352">
        <v>1</v>
      </c>
      <c r="AB21" s="1352">
        <v>1</v>
      </c>
      <c r="AC21" s="1352">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4"/>
      <c r="Q22" s="1351" t="str">
        <f>B22</f>
        <v>楼层</v>
      </c>
      <c r="R22" s="704" t="s">
        <v>14</v>
      </c>
      <c r="S22" s="705">
        <f>F22</f>
        <v>100</v>
      </c>
      <c r="T22" s="704" t="s">
        <v>14</v>
      </c>
      <c r="U22" s="705">
        <f>H22</f>
        <v>100</v>
      </c>
      <c r="V22" s="704" t="s">
        <v>14</v>
      </c>
      <c r="W22" s="705">
        <f>J22</f>
        <v>100</v>
      </c>
      <c r="X22" s="1354"/>
      <c r="Y22" s="3694"/>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4"/>
      <c r="Q23" s="1351">
        <f>B23</f>
        <v>111</v>
      </c>
      <c r="R23" s="704" t="s">
        <v>14</v>
      </c>
      <c r="S23" s="705">
        <f>F23</f>
        <v>100</v>
      </c>
      <c r="T23" s="704" t="s">
        <v>14</v>
      </c>
      <c r="U23" s="705">
        <f>H23</f>
        <v>100</v>
      </c>
      <c r="V23" s="704" t="s">
        <v>14</v>
      </c>
      <c r="W23" s="705">
        <f>J23</f>
        <v>100</v>
      </c>
      <c r="X23" s="1354"/>
      <c r="Y23" s="3694"/>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4"/>
      <c r="Q24" s="1351">
        <f t="shared" ref="Q24:Q36" si="11">B24</f>
        <v>111</v>
      </c>
      <c r="R24" s="704" t="s">
        <v>14</v>
      </c>
      <c r="S24" s="705">
        <f>F24</f>
        <v>100</v>
      </c>
      <c r="T24" s="704" t="s">
        <v>14</v>
      </c>
      <c r="U24" s="705">
        <f>H24</f>
        <v>100</v>
      </c>
      <c r="V24" s="704" t="s">
        <v>14</v>
      </c>
      <c r="W24" s="705">
        <f>J24</f>
        <v>100</v>
      </c>
      <c r="X24" s="1354"/>
      <c r="Y24" s="3694"/>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94"/>
      <c r="Q25" s="1342">
        <f t="shared" si="11"/>
        <v>111</v>
      </c>
      <c r="R25" s="700" t="s">
        <v>14</v>
      </c>
      <c r="S25" s="701">
        <f>F25</f>
        <v>100</v>
      </c>
      <c r="T25" s="700" t="s">
        <v>14</v>
      </c>
      <c r="U25" s="701">
        <f>H25</f>
        <v>100</v>
      </c>
      <c r="V25" s="700" t="s">
        <v>14</v>
      </c>
      <c r="W25" s="701">
        <f>J25</f>
        <v>100</v>
      </c>
      <c r="X25" s="702"/>
      <c r="Y25" s="3694"/>
      <c r="Z25" s="52">
        <f>Q25</f>
        <v>111</v>
      </c>
      <c r="AA25" s="1352">
        <f>D25/F25</f>
        <v>1</v>
      </c>
      <c r="AB25" s="1352">
        <f>D25/H25</f>
        <v>1</v>
      </c>
      <c r="AC25" s="1352">
        <f>D25/J25</f>
        <v>1</v>
      </c>
    </row>
    <row r="26" spans="1:29" ht="28.5">
      <c r="A26" s="599" t="s">
        <v>1692</v>
      </c>
      <c r="B26" s="62" t="s">
        <v>1834</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8" t="s">
        <v>1694</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8" t="s">
        <v>1694</v>
      </c>
      <c r="Z26" s="1355" t="str">
        <f t="shared" ref="Z26:Z36" si="15">Q26</f>
        <v>配套类型</v>
      </c>
      <c r="AA26" s="1352" t="e">
        <f t="shared" si="3"/>
        <v>#DIV/0!</v>
      </c>
      <c r="AB26" s="1352" t="e">
        <f t="shared" si="4"/>
        <v>#DIV/0!</v>
      </c>
      <c r="AC26" s="1352"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98"/>
      <c r="Q27" s="706" t="str">
        <f t="shared" si="11"/>
        <v>项目停车位配比</v>
      </c>
      <c r="R27" s="707" t="s">
        <v>14</v>
      </c>
      <c r="S27" s="708">
        <f t="shared" si="12"/>
        <v>100</v>
      </c>
      <c r="T27" s="707" t="s">
        <v>14</v>
      </c>
      <c r="U27" s="708">
        <f t="shared" si="13"/>
        <v>100</v>
      </c>
      <c r="V27" s="707" t="s">
        <v>14</v>
      </c>
      <c r="W27" s="708">
        <f t="shared" si="14"/>
        <v>100</v>
      </c>
      <c r="X27" s="709"/>
      <c r="Y27" s="3698"/>
      <c r="Z27" s="710" t="str">
        <f t="shared" si="15"/>
        <v>项目停车位配比</v>
      </c>
      <c r="AA27" s="1352">
        <f t="shared" si="3"/>
        <v>1</v>
      </c>
      <c r="AB27" s="1352">
        <f t="shared" si="4"/>
        <v>1</v>
      </c>
      <c r="AC27" s="1352">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8"/>
      <c r="Q28" s="1351" t="str">
        <f t="shared" si="11"/>
        <v>公共部分装修</v>
      </c>
      <c r="R28" s="704" t="s">
        <v>14</v>
      </c>
      <c r="S28" s="705">
        <f t="shared" si="12"/>
        <v>100</v>
      </c>
      <c r="T28" s="704" t="s">
        <v>14</v>
      </c>
      <c r="U28" s="705">
        <f t="shared" si="13"/>
        <v>100</v>
      </c>
      <c r="V28" s="704" t="s">
        <v>14</v>
      </c>
      <c r="W28" s="705">
        <f t="shared" si="14"/>
        <v>100</v>
      </c>
      <c r="X28" s="1354"/>
      <c r="Y28" s="3698"/>
      <c r="Z28" s="1355" t="str">
        <f t="shared" si="15"/>
        <v>公共部分装修</v>
      </c>
      <c r="AA28" s="1352">
        <f t="shared" si="3"/>
        <v>1</v>
      </c>
      <c r="AB28" s="1352">
        <f t="shared" si="4"/>
        <v>1</v>
      </c>
      <c r="AC28" s="1352">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8"/>
      <c r="Q29" s="1351" t="str">
        <f t="shared" si="11"/>
        <v>成新率</v>
      </c>
      <c r="R29" s="704" t="s">
        <v>14</v>
      </c>
      <c r="S29" s="705" t="e">
        <f t="shared" si="12"/>
        <v>#N/A</v>
      </c>
      <c r="T29" s="704" t="s">
        <v>14</v>
      </c>
      <c r="U29" s="705" t="e">
        <f t="shared" si="13"/>
        <v>#N/A</v>
      </c>
      <c r="V29" s="704" t="s">
        <v>14</v>
      </c>
      <c r="W29" s="705" t="e">
        <f t="shared" si="14"/>
        <v>#N/A</v>
      </c>
      <c r="X29" s="1354"/>
      <c r="Y29" s="3698"/>
      <c r="Z29" s="1355" t="str">
        <f t="shared" si="15"/>
        <v>成新率</v>
      </c>
      <c r="AA29" s="1352" t="e">
        <f t="shared" si="3"/>
        <v>#N/A</v>
      </c>
      <c r="AB29" s="1352" t="e">
        <f t="shared" si="4"/>
        <v>#N/A</v>
      </c>
      <c r="AC29" s="1352"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98"/>
      <c r="Q30" s="1351" t="str">
        <f t="shared" si="11"/>
        <v>物业等级</v>
      </c>
      <c r="R30" s="704" t="s">
        <v>14</v>
      </c>
      <c r="S30" s="705">
        <f t="shared" si="12"/>
        <v>100</v>
      </c>
      <c r="T30" s="704" t="s">
        <v>14</v>
      </c>
      <c r="U30" s="705">
        <f t="shared" si="13"/>
        <v>100</v>
      </c>
      <c r="V30" s="704" t="s">
        <v>14</v>
      </c>
      <c r="W30" s="705">
        <f t="shared" si="14"/>
        <v>100</v>
      </c>
      <c r="X30" s="1354"/>
      <c r="Y30" s="3698"/>
      <c r="Z30" s="1355" t="str">
        <f t="shared" si="15"/>
        <v>物业等级</v>
      </c>
      <c r="AA30" s="1352">
        <f t="shared" si="3"/>
        <v>1</v>
      </c>
      <c r="AB30" s="1352">
        <f t="shared" si="4"/>
        <v>1</v>
      </c>
      <c r="AC30" s="1352">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8"/>
      <c r="Q31" s="1342" t="str">
        <f t="shared" si="11"/>
        <v>停车位面积</v>
      </c>
      <c r="R31" s="700" t="s">
        <v>14</v>
      </c>
      <c r="S31" s="701" t="e">
        <f t="shared" si="12"/>
        <v>#N/A</v>
      </c>
      <c r="T31" s="700" t="s">
        <v>14</v>
      </c>
      <c r="U31" s="701" t="e">
        <f t="shared" si="13"/>
        <v>#N/A</v>
      </c>
      <c r="V31" s="700" t="s">
        <v>14</v>
      </c>
      <c r="W31" s="701" t="e">
        <f t="shared" si="14"/>
        <v>#N/A</v>
      </c>
      <c r="X31" s="702"/>
      <c r="Y31" s="3698"/>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8" t="s">
        <v>1694</v>
      </c>
      <c r="Q32" s="1351" t="str">
        <f t="shared" si="11"/>
        <v>车位类型</v>
      </c>
      <c r="R32" s="704" t="s">
        <v>14</v>
      </c>
      <c r="S32" s="705">
        <f t="shared" si="12"/>
        <v>100</v>
      </c>
      <c r="T32" s="704" t="s">
        <v>14</v>
      </c>
      <c r="U32" s="705">
        <f t="shared" si="13"/>
        <v>100</v>
      </c>
      <c r="V32" s="704" t="s">
        <v>14</v>
      </c>
      <c r="W32" s="705">
        <f t="shared" si="14"/>
        <v>100</v>
      </c>
      <c r="X32" s="1354"/>
      <c r="Y32" s="3698" t="s">
        <v>1694</v>
      </c>
      <c r="Z32" s="1355" t="str">
        <f t="shared" si="15"/>
        <v>车位类型</v>
      </c>
      <c r="AA32" s="1352">
        <f t="shared" si="3"/>
        <v>1</v>
      </c>
      <c r="AB32" s="1352">
        <f t="shared" si="4"/>
        <v>1</v>
      </c>
      <c r="AC32" s="1352">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8"/>
      <c r="Q33" s="1351" t="str">
        <f t="shared" si="11"/>
        <v>是否直接入户</v>
      </c>
      <c r="R33" s="704" t="s">
        <v>14</v>
      </c>
      <c r="S33" s="705">
        <f t="shared" si="12"/>
        <v>100</v>
      </c>
      <c r="T33" s="704" t="s">
        <v>14</v>
      </c>
      <c r="U33" s="705">
        <f t="shared" si="13"/>
        <v>100</v>
      </c>
      <c r="V33" s="704" t="s">
        <v>14</v>
      </c>
      <c r="W33" s="705">
        <f t="shared" si="14"/>
        <v>100</v>
      </c>
      <c r="X33" s="1354"/>
      <c r="Y33" s="3698"/>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8"/>
      <c r="Q34" s="1351">
        <f t="shared" si="11"/>
        <v>111</v>
      </c>
      <c r="R34" s="704" t="s">
        <v>14</v>
      </c>
      <c r="S34" s="705">
        <f t="shared" si="12"/>
        <v>100</v>
      </c>
      <c r="T34" s="704" t="s">
        <v>14</v>
      </c>
      <c r="U34" s="705">
        <f t="shared" si="13"/>
        <v>100</v>
      </c>
      <c r="V34" s="704" t="s">
        <v>14</v>
      </c>
      <c r="W34" s="705">
        <f t="shared" si="14"/>
        <v>100</v>
      </c>
      <c r="X34" s="1354"/>
      <c r="Y34" s="3698"/>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8"/>
      <c r="Q35" s="706">
        <f t="shared" si="11"/>
        <v>111</v>
      </c>
      <c r="R35" s="707" t="s">
        <v>14</v>
      </c>
      <c r="S35" s="708">
        <f t="shared" si="12"/>
        <v>100</v>
      </c>
      <c r="T35" s="707" t="s">
        <v>14</v>
      </c>
      <c r="U35" s="708">
        <f t="shared" si="13"/>
        <v>100</v>
      </c>
      <c r="V35" s="707" t="s">
        <v>14</v>
      </c>
      <c r="W35" s="708">
        <f t="shared" si="14"/>
        <v>100</v>
      </c>
      <c r="X35" s="709"/>
      <c r="Y35" s="3698"/>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8"/>
      <c r="Q36" s="1351">
        <f t="shared" si="11"/>
        <v>111</v>
      </c>
      <c r="R36" s="704" t="s">
        <v>14</v>
      </c>
      <c r="S36" s="705">
        <f t="shared" si="12"/>
        <v>100</v>
      </c>
      <c r="T36" s="704" t="s">
        <v>14</v>
      </c>
      <c r="U36" s="705">
        <f t="shared" si="13"/>
        <v>100</v>
      </c>
      <c r="V36" s="704" t="s">
        <v>14</v>
      </c>
      <c r="W36" s="705">
        <f t="shared" si="14"/>
        <v>100</v>
      </c>
      <c r="X36" s="1354"/>
      <c r="Y36" s="3698"/>
      <c r="Z36" s="1355">
        <f t="shared" si="15"/>
        <v>111</v>
      </c>
      <c r="AA36" s="1352">
        <f t="shared" si="3"/>
        <v>1</v>
      </c>
      <c r="AB36" s="1352">
        <f t="shared" si="4"/>
        <v>1</v>
      </c>
      <c r="AC36" s="1352">
        <f t="shared" si="5"/>
        <v>1</v>
      </c>
    </row>
    <row r="37" spans="1:29" ht="15">
      <c r="A37" s="430" t="s">
        <v>1842</v>
      </c>
      <c r="B37" s="1972" t="s">
        <v>3353</v>
      </c>
      <c r="C37" s="1153" t="s">
        <v>0</v>
      </c>
      <c r="D37" s="1154"/>
      <c r="E37" s="1155"/>
      <c r="F37" s="1156"/>
      <c r="G37" s="1157"/>
      <c r="H37" s="1158"/>
      <c r="I37" s="1155"/>
      <c r="J37" s="1158"/>
      <c r="K37" s="567"/>
      <c r="L37" s="2723"/>
      <c r="M37" s="2724"/>
      <c r="N37" s="2715"/>
      <c r="O37" s="2724"/>
      <c r="P37" s="3686" t="str">
        <f>A37</f>
        <v>成交单价</v>
      </c>
      <c r="Q37" s="3686"/>
      <c r="R37" s="3687">
        <f>E37</f>
        <v>0</v>
      </c>
      <c r="S37" s="3687"/>
      <c r="T37" s="3687">
        <f>G37</f>
        <v>0</v>
      </c>
      <c r="U37" s="3687"/>
      <c r="V37" s="3687">
        <f>I37</f>
        <v>0</v>
      </c>
      <c r="W37" s="3687"/>
      <c r="X37" s="689"/>
      <c r="Y37" s="711"/>
      <c r="Z37" s="689"/>
      <c r="AA37" s="689"/>
      <c r="AB37" s="689"/>
      <c r="AC37" s="689"/>
    </row>
    <row r="38" spans="1:29" ht="15.75" thickBot="1">
      <c r="A38" s="437" t="s">
        <v>1843</v>
      </c>
      <c r="B38" s="438" t="str">
        <f>B37</f>
        <v>元/平方米</v>
      </c>
      <c r="C38" s="1159" t="e">
        <f>R39</f>
        <v>#DIV/0!</v>
      </c>
      <c r="D38" s="2316" t="s">
        <v>2135</v>
      </c>
      <c r="E38" s="1160" t="e">
        <f>R38</f>
        <v>#DIV/0!</v>
      </c>
      <c r="F38" s="2317"/>
      <c r="G38" s="1159" t="e">
        <f>T38</f>
        <v>#DIV/0!</v>
      </c>
      <c r="H38" s="2317"/>
      <c r="I38" s="1160" t="e">
        <f>V38</f>
        <v>#DIV/0!</v>
      </c>
      <c r="J38" s="2317"/>
      <c r="K38" s="2319">
        <f>F38+H38+J38</f>
        <v>0</v>
      </c>
      <c r="L38" s="2723"/>
      <c r="M38" s="2724"/>
      <c r="N38" s="2724"/>
      <c r="O38" s="2724"/>
      <c r="P38" s="3686" t="str">
        <f>A38</f>
        <v>比较价值（元/平方米）</v>
      </c>
      <c r="Q38" s="3686"/>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689"/>
      <c r="Y38" s="689"/>
      <c r="Z38" s="689"/>
      <c r="AA38" s="689"/>
      <c r="AB38" s="689"/>
      <c r="AC38" s="689"/>
    </row>
    <row r="39" spans="1:29" ht="15.75" thickBot="1">
      <c r="A39" s="441" t="s">
        <v>1844</v>
      </c>
      <c r="B39" s="442"/>
      <c r="C39" s="1162" t="e">
        <f>R39</f>
        <v>#DIV/0!</v>
      </c>
      <c r="D39" s="1162"/>
      <c r="E39" s="1162"/>
      <c r="F39" s="1162"/>
      <c r="G39" s="1162"/>
      <c r="H39" s="1162"/>
      <c r="I39" s="1162"/>
      <c r="J39" s="1162"/>
      <c r="K39" s="568"/>
      <c r="L39" s="2723"/>
      <c r="M39" s="2724"/>
      <c r="N39" s="2724"/>
      <c r="O39" s="2724"/>
      <c r="P39" s="3688" t="str">
        <f>A39</f>
        <v>估价对象XX用房的比较价值（楼面单价，元/平方米）</v>
      </c>
      <c r="Q39" s="3689"/>
      <c r="R39" s="3769" t="e">
        <f>IF(F1="售价",ROUND(IF(D38="简单平均",AVERAGE(R38:W38),R38*F38+T38*H38+V38*J38),0),ROUND(IF(D38="简单平均",AVERAGE(R38:V38),R38*F38+T38*H38+V38*J38),1))</f>
        <v>#DIV/0!</v>
      </c>
      <c r="S39" s="3769"/>
      <c r="T39" s="3769"/>
      <c r="U39" s="3769"/>
      <c r="V39" s="3769"/>
      <c r="W39" s="3769"/>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1848</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1849</v>
      </c>
      <c r="B48" s="455"/>
      <c r="C48" s="1183" t="str">
        <f>YEAR(C7)&amp;"-"&amp;MONTH(C7)</f>
        <v>2024-6</v>
      </c>
      <c r="D48" s="1184">
        <f>EDATE(C48,-1)</f>
        <v>45413</v>
      </c>
      <c r="E48" s="1184">
        <f t="shared" ref="E48:O48" si="16">EDATE(D48,-1)</f>
        <v>45383</v>
      </c>
      <c r="F48" s="1184">
        <f t="shared" si="16"/>
        <v>45352</v>
      </c>
      <c r="G48" s="1184">
        <f t="shared" si="16"/>
        <v>45323</v>
      </c>
      <c r="H48" s="1184">
        <f t="shared" si="16"/>
        <v>45292</v>
      </c>
      <c r="I48" s="1184">
        <f t="shared" si="16"/>
        <v>45261</v>
      </c>
      <c r="J48" s="1184">
        <f t="shared" si="16"/>
        <v>45231</v>
      </c>
      <c r="K48" s="1184">
        <f t="shared" si="16"/>
        <v>45200</v>
      </c>
      <c r="L48" s="1184">
        <f t="shared" si="16"/>
        <v>45170</v>
      </c>
      <c r="M48" s="1184">
        <f t="shared" si="16"/>
        <v>45139</v>
      </c>
      <c r="N48" s="1184">
        <f t="shared" si="16"/>
        <v>45108</v>
      </c>
      <c r="O48" s="1184">
        <f t="shared" si="16"/>
        <v>45078</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1714</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1679</v>
      </c>
      <c r="B51" s="459"/>
      <c r="C51" s="471" t="s">
        <v>1774</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1717</v>
      </c>
      <c r="B53" s="477" t="s">
        <v>1683</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1686</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1725</v>
      </c>
      <c r="C65" s="527" t="s">
        <v>1719</v>
      </c>
      <c r="D65" s="527" t="s">
        <v>1720</v>
      </c>
      <c r="E65" s="527" t="s">
        <v>1721</v>
      </c>
      <c r="F65" s="527" t="s">
        <v>1722</v>
      </c>
      <c r="G65" s="527" t="s">
        <v>1723</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1811</v>
      </c>
      <c r="C67" s="607" t="s">
        <v>1797</v>
      </c>
      <c r="D67" s="607" t="s">
        <v>1798</v>
      </c>
      <c r="E67" s="607" t="s">
        <v>1799</v>
      </c>
      <c r="F67" s="607" t="s">
        <v>1800</v>
      </c>
      <c r="G67" s="607" t="s">
        <v>1801</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1731</v>
      </c>
      <c r="C69" s="527" t="s">
        <v>1719</v>
      </c>
      <c r="D69" s="527" t="s">
        <v>1720</v>
      </c>
      <c r="E69" s="527" t="s">
        <v>1721</v>
      </c>
      <c r="F69" s="527" t="s">
        <v>1722</v>
      </c>
      <c r="G69" s="527" t="s">
        <v>1723</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1850</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1692</v>
      </c>
      <c r="B79" s="477" t="s">
        <v>1851</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1852</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1738</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1854</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1856</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1857</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9" priority="18" stopIfTrue="1" operator="containsText" text="超过">
      <formula>NOT(ISERROR(SEARCH("超过",F42)))</formula>
    </cfRule>
  </conditionalFormatting>
  <conditionalFormatting sqref="J44">
    <cfRule type="containsText" dxfId="98" priority="17" stopIfTrue="1" operator="containsText" text="超过">
      <formula>NOT(ISERROR(SEARCH("超过",J44)))</formula>
    </cfRule>
  </conditionalFormatting>
  <conditionalFormatting sqref="H44">
    <cfRule type="containsText" dxfId="97" priority="16" stopIfTrue="1" operator="containsText" text="超过">
      <formula>NOT(ISERROR(SEARCH("超过",H44)))</formula>
    </cfRule>
  </conditionalFormatting>
  <conditionalFormatting sqref="F44">
    <cfRule type="containsText" dxfId="96" priority="15" stopIfTrue="1" operator="containsText" text="超过">
      <formula>NOT(ISERROR(SEARCH("超过",F44)))</formula>
    </cfRule>
  </conditionalFormatting>
  <conditionalFormatting sqref="F43 H43 J43">
    <cfRule type="containsText" dxfId="95" priority="14" stopIfTrue="1" operator="containsText" text="超过">
      <formula>NOT(ISERROR(SEARCH("超过",F43)))</formula>
    </cfRule>
  </conditionalFormatting>
  <conditionalFormatting sqref="E42">
    <cfRule type="expression" dxfId="94" priority="13" stopIfTrue="1">
      <formula>$F$42="超过30%"</formula>
    </cfRule>
  </conditionalFormatting>
  <conditionalFormatting sqref="G44">
    <cfRule type="expression" dxfId="93" priority="12" stopIfTrue="1">
      <formula>$H$54+$H$44="超过30%"</formula>
    </cfRule>
  </conditionalFormatting>
  <conditionalFormatting sqref="E43">
    <cfRule type="expression" dxfId="92" priority="11" stopIfTrue="1">
      <formula>$F$43="超过20%"</formula>
    </cfRule>
  </conditionalFormatting>
  <conditionalFormatting sqref="E44">
    <cfRule type="expression" dxfId="91" priority="10" stopIfTrue="1">
      <formula>$F$44="超过30%"</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I42">
    <cfRule type="expression" dxfId="88" priority="7" stopIfTrue="1">
      <formula>$J$52+$J$42="超过30%"</formula>
    </cfRule>
  </conditionalFormatting>
  <conditionalFormatting sqref="I43">
    <cfRule type="expression" dxfId="87" priority="6" stopIfTrue="1">
      <formula>$J$53+$J$43="超过20%"</formula>
    </cfRule>
  </conditionalFormatting>
  <conditionalFormatting sqref="I44">
    <cfRule type="expression" dxfId="86" priority="5" stopIfTrue="1">
      <formula>$J$44="超过30%"</formula>
    </cfRule>
  </conditionalFormatting>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F7:F36 H7:H36 J7:J36">
    <cfRule type="cellIs" dxfId="8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3334</v>
      </c>
      <c r="C1" s="1223" t="s">
        <v>1660</v>
      </c>
      <c r="D1" s="1224"/>
      <c r="E1" s="3432"/>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1767</v>
      </c>
      <c r="B4" s="356"/>
      <c r="C4" s="3705" t="s">
        <v>1768</v>
      </c>
      <c r="D4" s="3706"/>
      <c r="E4" s="3707" t="s">
        <v>1769</v>
      </c>
      <c r="F4" s="3708"/>
      <c r="G4" s="3705" t="s">
        <v>1770</v>
      </c>
      <c r="H4" s="3706"/>
      <c r="I4" s="3705" t="s">
        <v>1771</v>
      </c>
      <c r="J4" s="3706"/>
      <c r="K4" s="559" t="s">
        <v>1772</v>
      </c>
      <c r="L4" s="2714"/>
      <c r="M4" s="2715"/>
      <c r="N4" s="2715"/>
      <c r="O4" s="2715"/>
      <c r="P4" s="3709" t="s">
        <v>1773</v>
      </c>
      <c r="Q4" s="3710"/>
      <c r="R4" s="3715" t="s">
        <v>1769</v>
      </c>
      <c r="S4" s="3716"/>
      <c r="T4" s="3715" t="s">
        <v>1770</v>
      </c>
      <c r="U4" s="3716"/>
      <c r="V4" s="3700" t="s">
        <v>1771</v>
      </c>
      <c r="W4" s="3700"/>
      <c r="X4" s="1354"/>
      <c r="Y4" s="3715" t="s">
        <v>1773</v>
      </c>
      <c r="Z4" s="3716"/>
      <c r="AA4" s="3702" t="s">
        <v>1769</v>
      </c>
      <c r="AB4" s="3703" t="s">
        <v>1770</v>
      </c>
      <c r="AC4" s="3702" t="s">
        <v>1771</v>
      </c>
    </row>
    <row r="5" spans="1:29" ht="15">
      <c r="A5" s="358"/>
      <c r="B5" s="359"/>
      <c r="C5" s="3723" t="s">
        <v>1671</v>
      </c>
      <c r="D5" s="3724"/>
      <c r="E5" s="3730" t="s">
        <v>1672</v>
      </c>
      <c r="F5" s="3731"/>
      <c r="G5" s="3723" t="s">
        <v>1673</v>
      </c>
      <c r="H5" s="3724"/>
      <c r="I5" s="3723" t="s">
        <v>1674</v>
      </c>
      <c r="J5" s="3724"/>
      <c r="K5" s="559"/>
      <c r="L5" s="2714"/>
      <c r="M5" s="2715"/>
      <c r="N5" s="2715"/>
      <c r="O5" s="2715"/>
      <c r="P5" s="3711"/>
      <c r="Q5" s="3712"/>
      <c r="R5" s="3717"/>
      <c r="S5" s="3718"/>
      <c r="T5" s="3717"/>
      <c r="U5" s="3718"/>
      <c r="V5" s="3700"/>
      <c r="W5" s="3700"/>
      <c r="X5" s="1354"/>
      <c r="Y5" s="3717"/>
      <c r="Z5" s="3718"/>
      <c r="AA5" s="3703"/>
      <c r="AB5" s="3703"/>
      <c r="AC5" s="3703"/>
    </row>
    <row r="6" spans="1:29" ht="15.75" thickBot="1">
      <c r="A6" s="360"/>
      <c r="B6" s="361"/>
      <c r="C6" s="3721" t="s">
        <v>1675</v>
      </c>
      <c r="D6" s="3722"/>
      <c r="E6" s="3728" t="s">
        <v>1675</v>
      </c>
      <c r="F6" s="3729"/>
      <c r="G6" s="3721" t="s">
        <v>1675</v>
      </c>
      <c r="H6" s="3722"/>
      <c r="I6" s="3721" t="s">
        <v>1675</v>
      </c>
      <c r="J6" s="3722"/>
      <c r="K6" s="559" t="s">
        <v>1676</v>
      </c>
      <c r="L6" s="2714"/>
      <c r="M6" s="2715"/>
      <c r="N6" s="2715"/>
      <c r="O6" s="2715"/>
      <c r="P6" s="3713"/>
      <c r="Q6" s="3714"/>
      <c r="R6" s="3717"/>
      <c r="S6" s="3718"/>
      <c r="T6" s="3719"/>
      <c r="U6" s="3720"/>
      <c r="V6" s="3700"/>
      <c r="W6" s="3700"/>
      <c r="X6" s="1354"/>
      <c r="Y6" s="3719"/>
      <c r="Z6" s="3720"/>
      <c r="AA6" s="3704"/>
      <c r="AB6" s="3704"/>
      <c r="AC6" s="3704"/>
    </row>
    <row r="7" spans="1:29" s="108" customFormat="1" ht="15.75" thickBot="1">
      <c r="A7" s="362" t="s">
        <v>1677</v>
      </c>
      <c r="B7" s="363"/>
      <c r="C7" s="364">
        <f>'数据-取费表'!B2</f>
        <v>45449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25" t="s">
        <v>1678</v>
      </c>
      <c r="Q7" s="3727"/>
      <c r="R7" s="700" t="s">
        <v>14</v>
      </c>
      <c r="S7" s="701">
        <f t="shared" ref="S7:S14" si="0">F7</f>
        <v>0</v>
      </c>
      <c r="T7" s="700" t="s">
        <v>14</v>
      </c>
      <c r="U7" s="701">
        <f t="shared" ref="U7:U14" si="1">H7</f>
        <v>0</v>
      </c>
      <c r="V7" s="700" t="s">
        <v>14</v>
      </c>
      <c r="W7" s="701">
        <f t="shared" ref="W7:W14" si="2">J7</f>
        <v>0</v>
      </c>
      <c r="X7" s="702"/>
      <c r="Y7" s="3725" t="s">
        <v>1678</v>
      </c>
      <c r="Z7" s="3726"/>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25" t="s">
        <v>1681</v>
      </c>
      <c r="Q8" s="3726"/>
      <c r="R8" s="700" t="s">
        <v>14</v>
      </c>
      <c r="S8" s="701">
        <f t="shared" si="0"/>
        <v>100</v>
      </c>
      <c r="T8" s="700" t="s">
        <v>14</v>
      </c>
      <c r="U8" s="701">
        <f t="shared" si="1"/>
        <v>100</v>
      </c>
      <c r="V8" s="700" t="s">
        <v>14</v>
      </c>
      <c r="W8" s="701">
        <f t="shared" si="2"/>
        <v>100</v>
      </c>
      <c r="X8" s="702"/>
      <c r="Y8" s="3725" t="s">
        <v>1681</v>
      </c>
      <c r="Z8" s="3726"/>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6" t="s">
        <v>1684</v>
      </c>
      <c r="Q9" s="1342" t="str">
        <f t="shared" ref="Q9:Q14" si="6">B9</f>
        <v>用途</v>
      </c>
      <c r="R9" s="700" t="s">
        <v>14</v>
      </c>
      <c r="S9" s="701">
        <f t="shared" si="0"/>
        <v>100</v>
      </c>
      <c r="T9" s="700" t="s">
        <v>14</v>
      </c>
      <c r="U9" s="701">
        <f t="shared" si="1"/>
        <v>100</v>
      </c>
      <c r="V9" s="700" t="s">
        <v>14</v>
      </c>
      <c r="W9" s="701">
        <f t="shared" si="2"/>
        <v>100</v>
      </c>
      <c r="X9" s="702"/>
      <c r="Y9" s="3585" t="s">
        <v>1685</v>
      </c>
      <c r="Z9" s="52" t="str">
        <f t="shared" ref="Z9:Z14" si="7">Q9</f>
        <v>用途</v>
      </c>
      <c r="AA9" s="703">
        <f t="shared" si="3"/>
        <v>1</v>
      </c>
      <c r="AB9" s="703">
        <f t="shared" si="4"/>
        <v>1</v>
      </c>
      <c r="AC9" s="703">
        <f t="shared" si="5"/>
        <v>1</v>
      </c>
    </row>
    <row r="10" spans="1:29" s="378" customFormat="1" ht="27">
      <c r="A10" s="374"/>
      <c r="B10" s="375" t="s">
        <v>1686</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86"/>
      <c r="Q10" s="1342" t="str">
        <f t="shared" si="6"/>
        <v>土地使用年限（年）</v>
      </c>
      <c r="R10" s="700" t="s">
        <v>14</v>
      </c>
      <c r="S10" s="701">
        <f t="shared" si="0"/>
        <v>100</v>
      </c>
      <c r="T10" s="700" t="s">
        <v>14</v>
      </c>
      <c r="U10" s="701">
        <f t="shared" si="1"/>
        <v>100</v>
      </c>
      <c r="V10" s="700" t="s">
        <v>14</v>
      </c>
      <c r="W10" s="701">
        <f t="shared" si="2"/>
        <v>100</v>
      </c>
      <c r="X10" s="702"/>
      <c r="Y10" s="3585"/>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6"/>
      <c r="Q11" s="1342">
        <f t="shared" si="6"/>
        <v>111</v>
      </c>
      <c r="R11" s="700" t="s">
        <v>14</v>
      </c>
      <c r="S11" s="701">
        <f t="shared" si="0"/>
        <v>100</v>
      </c>
      <c r="T11" s="700" t="s">
        <v>14</v>
      </c>
      <c r="U11" s="701">
        <f t="shared" si="1"/>
        <v>100</v>
      </c>
      <c r="V11" s="700" t="s">
        <v>14</v>
      </c>
      <c r="W11" s="701">
        <f t="shared" si="2"/>
        <v>100</v>
      </c>
      <c r="X11" s="702"/>
      <c r="Y11" s="3585"/>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6"/>
      <c r="Q12" s="1342">
        <f t="shared" si="6"/>
        <v>111</v>
      </c>
      <c r="R12" s="700" t="s">
        <v>14</v>
      </c>
      <c r="S12" s="701">
        <f t="shared" si="0"/>
        <v>100</v>
      </c>
      <c r="T12" s="700" t="s">
        <v>14</v>
      </c>
      <c r="U12" s="701">
        <f t="shared" si="1"/>
        <v>100</v>
      </c>
      <c r="V12" s="700" t="s">
        <v>14</v>
      </c>
      <c r="W12" s="701">
        <f t="shared" si="2"/>
        <v>100</v>
      </c>
      <c r="X12" s="702"/>
      <c r="Y12" s="3585"/>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86"/>
      <c r="Q13" s="1342">
        <f t="shared" si="6"/>
        <v>111</v>
      </c>
      <c r="R13" s="700" t="s">
        <v>14</v>
      </c>
      <c r="S13" s="701">
        <f t="shared" si="0"/>
        <v>100</v>
      </c>
      <c r="T13" s="700" t="s">
        <v>14</v>
      </c>
      <c r="U13" s="701">
        <f t="shared" si="1"/>
        <v>100</v>
      </c>
      <c r="V13" s="700" t="s">
        <v>14</v>
      </c>
      <c r="W13" s="701">
        <f t="shared" si="2"/>
        <v>100</v>
      </c>
      <c r="X13" s="702"/>
      <c r="Y13" s="3585"/>
      <c r="Z13" s="52">
        <f t="shared" si="7"/>
        <v>111</v>
      </c>
      <c r="AA13" s="703">
        <f t="shared" si="3"/>
        <v>1</v>
      </c>
      <c r="AB13" s="703">
        <f t="shared" si="4"/>
        <v>1</v>
      </c>
      <c r="AC13" s="703">
        <f t="shared" si="5"/>
        <v>1</v>
      </c>
    </row>
    <row r="14" spans="1:29" ht="85.5">
      <c r="A14" s="391" t="s">
        <v>1688</v>
      </c>
      <c r="B14" s="61" t="s">
        <v>1831</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3" t="s">
        <v>1689</v>
      </c>
      <c r="Q14" s="1351" t="str">
        <f t="shared" si="6"/>
        <v>交通便捷度</v>
      </c>
      <c r="R14" s="704" t="s">
        <v>14</v>
      </c>
      <c r="S14" s="705">
        <f t="shared" si="0"/>
        <v>100</v>
      </c>
      <c r="T14" s="704" t="s">
        <v>14</v>
      </c>
      <c r="U14" s="705">
        <f t="shared" si="1"/>
        <v>100</v>
      </c>
      <c r="V14" s="704" t="s">
        <v>14</v>
      </c>
      <c r="W14" s="705">
        <f t="shared" si="2"/>
        <v>100</v>
      </c>
      <c r="X14" s="1354"/>
      <c r="Y14" s="3693" t="s">
        <v>1689</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4"/>
      <c r="Q15" s="1351"/>
      <c r="R15" s="704"/>
      <c r="S15" s="705"/>
      <c r="T15" s="704"/>
      <c r="U15" s="705"/>
      <c r="V15" s="704"/>
      <c r="W15" s="705"/>
      <c r="X15" s="1354"/>
      <c r="Y15" s="3694"/>
      <c r="Z15" s="1355"/>
      <c r="AA15" s="1352">
        <v>1</v>
      </c>
      <c r="AB15" s="1352">
        <v>1</v>
      </c>
      <c r="AC15" s="1352">
        <v>1</v>
      </c>
    </row>
    <row r="16" spans="1:29" ht="42.75">
      <c r="A16" s="379"/>
      <c r="B16" s="402" t="s">
        <v>1810</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4"/>
      <c r="Q16" s="1351" t="str">
        <f>B16</f>
        <v>公共配套设施</v>
      </c>
      <c r="R16" s="704" t="s">
        <v>14</v>
      </c>
      <c r="S16" s="705">
        <f>F16</f>
        <v>100</v>
      </c>
      <c r="T16" s="704" t="s">
        <v>14</v>
      </c>
      <c r="U16" s="705">
        <f>H16</f>
        <v>100</v>
      </c>
      <c r="V16" s="704" t="s">
        <v>14</v>
      </c>
      <c r="W16" s="705">
        <f>J16</f>
        <v>100</v>
      </c>
      <c r="X16" s="1354"/>
      <c r="Y16" s="369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4"/>
      <c r="Q17" s="1351"/>
      <c r="R17" s="704"/>
      <c r="S17" s="705"/>
      <c r="T17" s="704"/>
      <c r="U17" s="705"/>
      <c r="V17" s="704"/>
      <c r="W17" s="705"/>
      <c r="X17" s="1354"/>
      <c r="Y17" s="3694"/>
      <c r="Z17" s="1355"/>
      <c r="AA17" s="1352">
        <v>1</v>
      </c>
      <c r="AB17" s="1352">
        <v>1</v>
      </c>
      <c r="AC17" s="1352">
        <v>1</v>
      </c>
    </row>
    <row r="18" spans="1:29" ht="28.5">
      <c r="A18" s="379"/>
      <c r="B18" s="1130" t="s">
        <v>1811</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4"/>
      <c r="Q18" s="1351" t="str">
        <f>B18</f>
        <v>基础设施水平</v>
      </c>
      <c r="R18" s="704" t="s">
        <v>14</v>
      </c>
      <c r="S18" s="705">
        <f>F18</f>
        <v>100</v>
      </c>
      <c r="T18" s="704" t="s">
        <v>14</v>
      </c>
      <c r="U18" s="705">
        <f>H18</f>
        <v>100</v>
      </c>
      <c r="V18" s="704" t="s">
        <v>14</v>
      </c>
      <c r="W18" s="705">
        <f>J18</f>
        <v>100</v>
      </c>
      <c r="X18" s="1354"/>
      <c r="Y18" s="3694"/>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94"/>
      <c r="Q19" s="1351"/>
      <c r="R19" s="704"/>
      <c r="S19" s="705"/>
      <c r="T19" s="704"/>
      <c r="U19" s="705"/>
      <c r="V19" s="704"/>
      <c r="W19" s="705"/>
      <c r="X19" s="1354"/>
      <c r="Y19" s="3694"/>
      <c r="Z19" s="1355"/>
      <c r="AA19" s="1352">
        <v>1</v>
      </c>
      <c r="AB19" s="1352">
        <v>1</v>
      </c>
      <c r="AC19" s="1352">
        <v>1</v>
      </c>
    </row>
    <row r="20" spans="1:29" ht="57">
      <c r="A20" s="379"/>
      <c r="B20" s="402" t="s">
        <v>1832</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4"/>
      <c r="Q20" s="1351" t="str">
        <f>B20</f>
        <v>自然及人文环境</v>
      </c>
      <c r="R20" s="704" t="s">
        <v>14</v>
      </c>
      <c r="S20" s="705">
        <f>F20</f>
        <v>100</v>
      </c>
      <c r="T20" s="704" t="s">
        <v>14</v>
      </c>
      <c r="U20" s="705">
        <f>H20</f>
        <v>100</v>
      </c>
      <c r="V20" s="704" t="s">
        <v>14</v>
      </c>
      <c r="W20" s="705">
        <f>J20</f>
        <v>100</v>
      </c>
      <c r="X20" s="1354"/>
      <c r="Y20" s="369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4"/>
      <c r="Q21" s="1351"/>
      <c r="R21" s="704"/>
      <c r="S21" s="705"/>
      <c r="T21" s="704"/>
      <c r="U21" s="705"/>
      <c r="V21" s="704"/>
      <c r="W21" s="705"/>
      <c r="X21" s="1354"/>
      <c r="Y21" s="3694"/>
      <c r="Z21" s="1355"/>
      <c r="AA21" s="1352">
        <v>1</v>
      </c>
      <c r="AB21" s="1352">
        <v>1</v>
      </c>
      <c r="AC21" s="1352">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4"/>
      <c r="Q22" s="1351" t="str">
        <f>B22</f>
        <v>楼层</v>
      </c>
      <c r="R22" s="704" t="s">
        <v>14</v>
      </c>
      <c r="S22" s="705">
        <f>F22</f>
        <v>100</v>
      </c>
      <c r="T22" s="704" t="s">
        <v>14</v>
      </c>
      <c r="U22" s="705">
        <f>H22</f>
        <v>100</v>
      </c>
      <c r="V22" s="704" t="s">
        <v>14</v>
      </c>
      <c r="W22" s="705">
        <f>J22</f>
        <v>100</v>
      </c>
      <c r="X22" s="1354"/>
      <c r="Y22" s="369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4"/>
      <c r="Q23" s="1351">
        <f>B23</f>
        <v>111</v>
      </c>
      <c r="R23" s="704" t="s">
        <v>14</v>
      </c>
      <c r="S23" s="705">
        <f>F23</f>
        <v>100</v>
      </c>
      <c r="T23" s="704" t="s">
        <v>14</v>
      </c>
      <c r="U23" s="705">
        <f>H23</f>
        <v>100</v>
      </c>
      <c r="V23" s="704" t="s">
        <v>14</v>
      </c>
      <c r="W23" s="705">
        <f>J23</f>
        <v>100</v>
      </c>
      <c r="X23" s="1354"/>
      <c r="Y23" s="369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4"/>
      <c r="Q24" s="1351">
        <f t="shared" ref="Q24:Q34" si="11">B24</f>
        <v>111</v>
      </c>
      <c r="R24" s="704" t="s">
        <v>14</v>
      </c>
      <c r="S24" s="705">
        <f>F24</f>
        <v>100</v>
      </c>
      <c r="T24" s="704" t="s">
        <v>14</v>
      </c>
      <c r="U24" s="705">
        <f>H24</f>
        <v>100</v>
      </c>
      <c r="V24" s="704" t="s">
        <v>14</v>
      </c>
      <c r="W24" s="705">
        <f>J24</f>
        <v>100</v>
      </c>
      <c r="X24" s="1354"/>
      <c r="Y24" s="3694"/>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94"/>
      <c r="Q25" s="1342">
        <f t="shared" si="11"/>
        <v>111</v>
      </c>
      <c r="R25" s="700" t="s">
        <v>14</v>
      </c>
      <c r="S25" s="701">
        <f>F25</f>
        <v>100</v>
      </c>
      <c r="T25" s="700" t="s">
        <v>14</v>
      </c>
      <c r="U25" s="701">
        <f>H25</f>
        <v>100</v>
      </c>
      <c r="V25" s="700" t="s">
        <v>14</v>
      </c>
      <c r="W25" s="701">
        <f>J25</f>
        <v>100</v>
      </c>
      <c r="X25" s="702"/>
      <c r="Y25" s="3694"/>
      <c r="Z25" s="52">
        <f>Q25</f>
        <v>111</v>
      </c>
      <c r="AA25" s="1352">
        <f>D25/F25</f>
        <v>1</v>
      </c>
      <c r="AB25" s="1352">
        <f>D25/H25</f>
        <v>1</v>
      </c>
      <c r="AC25" s="1352">
        <f>D25/J25</f>
        <v>1</v>
      </c>
    </row>
    <row r="26" spans="1:29" ht="28.5">
      <c r="A26" s="417" t="s">
        <v>1692</v>
      </c>
      <c r="B26" s="63" t="s">
        <v>1836</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68" t="s">
        <v>1694</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8" t="s">
        <v>1694</v>
      </c>
      <c r="Z26" s="1355" t="str">
        <f t="shared" ref="Z26:Z34" si="15">Q26</f>
        <v>公共部分装修</v>
      </c>
      <c r="AA26" s="1352">
        <f t="shared" si="3"/>
        <v>1</v>
      </c>
      <c r="AB26" s="1352">
        <f t="shared" si="4"/>
        <v>1</v>
      </c>
      <c r="AC26" s="1352">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8"/>
      <c r="Q27" s="706" t="str">
        <f t="shared" si="11"/>
        <v>成新率</v>
      </c>
      <c r="R27" s="707" t="s">
        <v>14</v>
      </c>
      <c r="S27" s="708" t="e">
        <f t="shared" si="12"/>
        <v>#N/A</v>
      </c>
      <c r="T27" s="707" t="s">
        <v>14</v>
      </c>
      <c r="U27" s="708" t="e">
        <f t="shared" si="13"/>
        <v>#N/A</v>
      </c>
      <c r="V27" s="707" t="s">
        <v>14</v>
      </c>
      <c r="W27" s="708" t="e">
        <f t="shared" si="14"/>
        <v>#N/A</v>
      </c>
      <c r="X27" s="709"/>
      <c r="Y27" s="3698"/>
      <c r="Z27" s="710" t="str">
        <f t="shared" si="15"/>
        <v>成新率</v>
      </c>
      <c r="AA27" s="1352" t="e">
        <f t="shared" si="3"/>
        <v>#N/A</v>
      </c>
      <c r="AB27" s="1352" t="e">
        <f t="shared" si="4"/>
        <v>#N/A</v>
      </c>
      <c r="AC27" s="1352"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8"/>
      <c r="Q28" s="1351" t="str">
        <f t="shared" si="11"/>
        <v>物业等级</v>
      </c>
      <c r="R28" s="704" t="s">
        <v>14</v>
      </c>
      <c r="S28" s="705">
        <f t="shared" si="12"/>
        <v>100</v>
      </c>
      <c r="T28" s="704" t="s">
        <v>14</v>
      </c>
      <c r="U28" s="705">
        <f t="shared" si="13"/>
        <v>100</v>
      </c>
      <c r="V28" s="704" t="s">
        <v>14</v>
      </c>
      <c r="W28" s="705">
        <f t="shared" si="14"/>
        <v>100</v>
      </c>
      <c r="X28" s="1354"/>
      <c r="Y28" s="3698"/>
      <c r="Z28" s="1355" t="str">
        <f t="shared" si="15"/>
        <v>物业等级</v>
      </c>
      <c r="AA28" s="1352">
        <f t="shared" si="3"/>
        <v>1</v>
      </c>
      <c r="AB28" s="1352">
        <f t="shared" si="4"/>
        <v>1</v>
      </c>
      <c r="AC28" s="1352">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98"/>
      <c r="Q29" s="1351" t="str">
        <f t="shared" si="11"/>
        <v>有无电梯</v>
      </c>
      <c r="R29" s="704" t="s">
        <v>14</v>
      </c>
      <c r="S29" s="705">
        <f t="shared" si="12"/>
        <v>100</v>
      </c>
      <c r="T29" s="704" t="s">
        <v>14</v>
      </c>
      <c r="U29" s="705">
        <f t="shared" si="13"/>
        <v>100</v>
      </c>
      <c r="V29" s="704" t="s">
        <v>14</v>
      </c>
      <c r="W29" s="705">
        <f t="shared" si="14"/>
        <v>100</v>
      </c>
      <c r="X29" s="1354"/>
      <c r="Y29" s="3698"/>
      <c r="Z29" s="1355" t="str">
        <f t="shared" si="15"/>
        <v>有无电梯</v>
      </c>
      <c r="AA29" s="1352">
        <f t="shared" si="3"/>
        <v>1</v>
      </c>
      <c r="AB29" s="1352">
        <f t="shared" si="4"/>
        <v>1</v>
      </c>
      <c r="AC29" s="1352">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8"/>
      <c r="Q30" s="1351" t="str">
        <f t="shared" si="11"/>
        <v>建筑面积</v>
      </c>
      <c r="R30" s="704" t="s">
        <v>14</v>
      </c>
      <c r="S30" s="705" t="e">
        <f t="shared" si="12"/>
        <v>#N/A</v>
      </c>
      <c r="T30" s="704" t="s">
        <v>14</v>
      </c>
      <c r="U30" s="705" t="e">
        <f t="shared" si="13"/>
        <v>#N/A</v>
      </c>
      <c r="V30" s="704" t="s">
        <v>14</v>
      </c>
      <c r="W30" s="705" t="e">
        <f t="shared" si="14"/>
        <v>#N/A</v>
      </c>
      <c r="X30" s="1354"/>
      <c r="Y30" s="3698"/>
      <c r="Z30" s="1355" t="str">
        <f t="shared" si="15"/>
        <v>建筑面积</v>
      </c>
      <c r="AA30" s="1352" t="e">
        <f t="shared" si="3"/>
        <v>#N/A</v>
      </c>
      <c r="AB30" s="1352" t="e">
        <f t="shared" si="4"/>
        <v>#N/A</v>
      </c>
      <c r="AC30" s="1352"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98"/>
      <c r="Q31" s="1342" t="str">
        <f t="shared" si="11"/>
        <v>是否封闭</v>
      </c>
      <c r="R31" s="700" t="s">
        <v>14</v>
      </c>
      <c r="S31" s="701">
        <f t="shared" si="12"/>
        <v>100</v>
      </c>
      <c r="T31" s="700" t="s">
        <v>14</v>
      </c>
      <c r="U31" s="701">
        <f t="shared" si="13"/>
        <v>100</v>
      </c>
      <c r="V31" s="700" t="s">
        <v>14</v>
      </c>
      <c r="W31" s="701">
        <f t="shared" si="14"/>
        <v>100</v>
      </c>
      <c r="X31" s="702"/>
      <c r="Y31" s="3698"/>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8" t="s">
        <v>1694</v>
      </c>
      <c r="Q32" s="1351">
        <f t="shared" si="11"/>
        <v>111</v>
      </c>
      <c r="R32" s="704" t="s">
        <v>14</v>
      </c>
      <c r="S32" s="705">
        <f t="shared" si="12"/>
        <v>100</v>
      </c>
      <c r="T32" s="704" t="s">
        <v>14</v>
      </c>
      <c r="U32" s="705">
        <f t="shared" si="13"/>
        <v>100</v>
      </c>
      <c r="V32" s="704" t="s">
        <v>14</v>
      </c>
      <c r="W32" s="705">
        <f t="shared" si="14"/>
        <v>100</v>
      </c>
      <c r="X32" s="1354"/>
      <c r="Y32" s="3698" t="s">
        <v>1694</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8"/>
      <c r="Q33" s="1351">
        <f t="shared" si="11"/>
        <v>111</v>
      </c>
      <c r="R33" s="704" t="s">
        <v>14</v>
      </c>
      <c r="S33" s="705">
        <f t="shared" si="12"/>
        <v>100</v>
      </c>
      <c r="T33" s="704" t="s">
        <v>14</v>
      </c>
      <c r="U33" s="705">
        <f t="shared" si="13"/>
        <v>100</v>
      </c>
      <c r="V33" s="704" t="s">
        <v>14</v>
      </c>
      <c r="W33" s="705">
        <f t="shared" si="14"/>
        <v>100</v>
      </c>
      <c r="X33" s="1354"/>
      <c r="Y33" s="3698"/>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8"/>
      <c r="Q34" s="1351">
        <f t="shared" si="11"/>
        <v>111</v>
      </c>
      <c r="R34" s="704" t="s">
        <v>14</v>
      </c>
      <c r="S34" s="705">
        <f t="shared" si="12"/>
        <v>100</v>
      </c>
      <c r="T34" s="704" t="s">
        <v>14</v>
      </c>
      <c r="U34" s="705">
        <f t="shared" si="13"/>
        <v>100</v>
      </c>
      <c r="V34" s="704" t="s">
        <v>14</v>
      </c>
      <c r="W34" s="705">
        <f t="shared" si="14"/>
        <v>100</v>
      </c>
      <c r="X34" s="1354"/>
      <c r="Y34" s="3698"/>
      <c r="Z34" s="1355">
        <f t="shared" si="15"/>
        <v>111</v>
      </c>
      <c r="AA34" s="1352">
        <f t="shared" si="3"/>
        <v>1</v>
      </c>
      <c r="AB34" s="1352">
        <f t="shared" si="4"/>
        <v>1</v>
      </c>
      <c r="AC34" s="1352">
        <f t="shared" si="5"/>
        <v>1</v>
      </c>
    </row>
    <row r="35" spans="1:30" ht="15">
      <c r="A35" s="430" t="s">
        <v>1706</v>
      </c>
      <c r="B35" s="431"/>
      <c r="C35" s="1153" t="s">
        <v>0</v>
      </c>
      <c r="D35" s="1154"/>
      <c r="E35" s="1155"/>
      <c r="F35" s="1156"/>
      <c r="G35" s="1157"/>
      <c r="H35" s="1158"/>
      <c r="I35" s="1155"/>
      <c r="J35" s="1158"/>
      <c r="K35" s="713"/>
      <c r="L35" s="2723"/>
      <c r="M35" s="2724"/>
      <c r="N35" s="2715"/>
      <c r="O35" s="2724"/>
      <c r="P35" s="3686" t="str">
        <f>A35</f>
        <v>成交单价（元/平方米）</v>
      </c>
      <c r="Q35" s="3686"/>
      <c r="R35" s="3687">
        <f>E35</f>
        <v>0</v>
      </c>
      <c r="S35" s="3687"/>
      <c r="T35" s="3687">
        <f>G35</f>
        <v>0</v>
      </c>
      <c r="U35" s="3687"/>
      <c r="V35" s="3687">
        <f>I35</f>
        <v>0</v>
      </c>
      <c r="W35" s="3687"/>
      <c r="X35" s="689"/>
      <c r="Y35" s="711"/>
      <c r="Z35" s="689"/>
      <c r="AA35" s="689"/>
      <c r="AB35" s="689"/>
      <c r="AC35" s="689"/>
    </row>
    <row r="36" spans="1:30" ht="15.75" thickBot="1">
      <c r="A36" s="437" t="s">
        <v>1791</v>
      </c>
      <c r="B36" s="438"/>
      <c r="C36" s="1159" t="e">
        <f>R37</f>
        <v>#DIV/0!</v>
      </c>
      <c r="D36" s="2316" t="s">
        <v>2135</v>
      </c>
      <c r="E36" s="1160" t="e">
        <f>R36</f>
        <v>#DIV/0!</v>
      </c>
      <c r="F36" s="2317"/>
      <c r="G36" s="1159" t="e">
        <f>T36</f>
        <v>#DIV/0!</v>
      </c>
      <c r="H36" s="2317"/>
      <c r="I36" s="1160" t="e">
        <f>V36</f>
        <v>#DIV/0!</v>
      </c>
      <c r="J36" s="2317"/>
      <c r="K36" s="2319">
        <f>F36+H36+J36</f>
        <v>0</v>
      </c>
      <c r="L36" s="2723"/>
      <c r="M36" s="2724"/>
      <c r="N36" s="2715"/>
      <c r="O36" s="2724"/>
      <c r="P36" s="3686" t="str">
        <f>A36</f>
        <v>比较价值（元/平方米）</v>
      </c>
      <c r="Q36" s="3686"/>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689"/>
      <c r="Y36" s="689"/>
      <c r="Z36" s="689"/>
      <c r="AA36" s="689"/>
      <c r="AB36" s="689"/>
      <c r="AC36" s="689"/>
    </row>
    <row r="37" spans="1:30" ht="15.75" thickBot="1">
      <c r="A37" s="441" t="s">
        <v>1792</v>
      </c>
      <c r="B37" s="442"/>
      <c r="C37" s="1162" t="e">
        <f>R37</f>
        <v>#DIV/0!</v>
      </c>
      <c r="D37" s="1162"/>
      <c r="E37" s="1162"/>
      <c r="F37" s="1162"/>
      <c r="G37" s="1162"/>
      <c r="H37" s="1162"/>
      <c r="I37" s="1162"/>
      <c r="J37" s="1162"/>
      <c r="K37" s="714"/>
      <c r="L37" s="2723"/>
      <c r="M37" s="2724"/>
      <c r="N37" s="2724"/>
      <c r="O37" s="2724"/>
      <c r="P37" s="3688" t="str">
        <f>A37</f>
        <v>估价对象XX用房的比较价值（楼面单价，元/平方米）</v>
      </c>
      <c r="Q37" s="3689"/>
      <c r="R37" s="3769" t="e">
        <f>IF(F1="售价",ROUND(IF(D36="简单平均",AVERAGE(R36:W36),R36*F36+T36*H36+V36*J36),0),ROUND(IF(D36="简单平均",AVERAGE(R36:V36),R36*F36+T36*H36+V36*J36),1))</f>
        <v>#DIV/0!</v>
      </c>
      <c r="S37" s="3769"/>
      <c r="T37" s="3769"/>
      <c r="U37" s="3769"/>
      <c r="V37" s="3769"/>
      <c r="W37" s="3769"/>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1796</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1677</v>
      </c>
      <c r="B46" s="455"/>
      <c r="C46" s="1183" t="str">
        <f>YEAR(C7)&amp;"-"&amp;MONTH(C7)</f>
        <v>2024-6</v>
      </c>
      <c r="D46" s="1184">
        <f>EDATE(C46,-1)</f>
        <v>45413</v>
      </c>
      <c r="E46" s="1184">
        <f t="shared" ref="E46:O46" si="16">EDATE(D46,-1)</f>
        <v>45383</v>
      </c>
      <c r="F46" s="1184">
        <f t="shared" si="16"/>
        <v>45352</v>
      </c>
      <c r="G46" s="1184">
        <f t="shared" si="16"/>
        <v>45323</v>
      </c>
      <c r="H46" s="1184">
        <f t="shared" si="16"/>
        <v>45292</v>
      </c>
      <c r="I46" s="1184">
        <f t="shared" si="16"/>
        <v>45261</v>
      </c>
      <c r="J46" s="1184">
        <f t="shared" si="16"/>
        <v>45231</v>
      </c>
      <c r="K46" s="1184">
        <f t="shared" si="16"/>
        <v>45200</v>
      </c>
      <c r="L46" s="1184">
        <f t="shared" si="16"/>
        <v>45170</v>
      </c>
      <c r="M46" s="1184">
        <f t="shared" si="16"/>
        <v>45139</v>
      </c>
      <c r="N46" s="1184">
        <f t="shared" si="16"/>
        <v>45108</v>
      </c>
      <c r="O46" s="1184">
        <f t="shared" si="16"/>
        <v>45078</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1714</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1679</v>
      </c>
      <c r="B49" s="459"/>
      <c r="C49" s="471" t="s">
        <v>1774</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1717</v>
      </c>
      <c r="B51" s="477" t="s">
        <v>1683</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1686</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1861</v>
      </c>
      <c r="C63" s="527" t="s">
        <v>1719</v>
      </c>
      <c r="D63" s="527" t="s">
        <v>1720</v>
      </c>
      <c r="E63" s="527" t="s">
        <v>1721</v>
      </c>
      <c r="F63" s="527" t="s">
        <v>1722</v>
      </c>
      <c r="G63" s="527" t="s">
        <v>1723</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1811</v>
      </c>
      <c r="C65" s="607" t="s">
        <v>1797</v>
      </c>
      <c r="D65" s="607" t="s">
        <v>1798</v>
      </c>
      <c r="E65" s="607" t="s">
        <v>1799</v>
      </c>
      <c r="F65" s="607" t="s">
        <v>1800</v>
      </c>
      <c r="G65" s="607" t="s">
        <v>1801</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1731</v>
      </c>
      <c r="C67" s="527" t="s">
        <v>1719</v>
      </c>
      <c r="D67" s="527" t="s">
        <v>1720</v>
      </c>
      <c r="E67" s="527" t="s">
        <v>1721</v>
      </c>
      <c r="F67" s="527" t="s">
        <v>1722</v>
      </c>
      <c r="G67" s="527" t="s">
        <v>1723</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1850</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1692</v>
      </c>
      <c r="B77" s="477" t="s">
        <v>1738</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1854</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1862</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1864</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1" priority="18" stopIfTrue="1" operator="containsText" text="超过">
      <formula>NOT(ISERROR(SEARCH("超过",F40)))</formula>
    </cfRule>
  </conditionalFormatting>
  <conditionalFormatting sqref="J42">
    <cfRule type="containsText" dxfId="80" priority="17" stopIfTrue="1" operator="containsText" text="超过">
      <formula>NOT(ISERROR(SEARCH("超过",J42)))</formula>
    </cfRule>
  </conditionalFormatting>
  <conditionalFormatting sqref="H42">
    <cfRule type="containsText" dxfId="79" priority="16" stopIfTrue="1" operator="containsText" text="超过">
      <formula>NOT(ISERROR(SEARCH("超过",H42)))</formula>
    </cfRule>
  </conditionalFormatting>
  <conditionalFormatting sqref="F42">
    <cfRule type="containsText" dxfId="78" priority="15" stopIfTrue="1" operator="containsText" text="超过">
      <formula>NOT(ISERROR(SEARCH("超过",F42)))</formula>
    </cfRule>
  </conditionalFormatting>
  <conditionalFormatting sqref="F41 H41 J41">
    <cfRule type="containsText" dxfId="77" priority="14" stopIfTrue="1" operator="containsText" text="超过">
      <formula>NOT(ISERROR(SEARCH("超过",F41)))</formula>
    </cfRule>
  </conditionalFormatting>
  <conditionalFormatting sqref="E40">
    <cfRule type="expression" dxfId="76" priority="13" stopIfTrue="1">
      <formula>$F$40="超过30%"</formula>
    </cfRule>
  </conditionalFormatting>
  <conditionalFormatting sqref="G42">
    <cfRule type="expression" dxfId="75" priority="12" stopIfTrue="1">
      <formula>$H$54+$H$42="超过30%"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G40">
    <cfRule type="expression" dxfId="72" priority="9" stopIfTrue="1">
      <formula>$H$52+$H$40="超过30%"</formula>
    </cfRule>
  </conditionalFormatting>
  <conditionalFormatting sqref="G41">
    <cfRule type="expression" dxfId="71" priority="8" stopIfTrue="1">
      <formula>$H$53+$H$41="超过20%"</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F36">
    <cfRule type="expression" dxfId="67" priority="4">
      <formula>$D$36="简单平均"</formula>
    </cfRule>
  </conditionalFormatting>
  <conditionalFormatting sqref="H36">
    <cfRule type="expression" dxfId="66" priority="3">
      <formula>$D$36="简单平均"</formula>
    </cfRule>
  </conditionalFormatting>
  <conditionalFormatting sqref="J36">
    <cfRule type="expression" dxfId="65" priority="2">
      <formula>$D$36="简单平均"</formula>
    </cfRule>
  </conditionalFormatting>
  <conditionalFormatting sqref="F7:F34 H7:H34 J7:J34">
    <cfRule type="cellIs" dxfId="6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1462</v>
      </c>
      <c r="B3" s="558" t="e">
        <f>ROUND(IF(D3="",B2*10000/'数据-汇总表'!E3,B2*10000/D3),0)</f>
        <v>#DIV/0!</v>
      </c>
      <c r="C3" s="203" t="s">
        <v>1867</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1767</v>
      </c>
      <c r="B4" s="356"/>
      <c r="C4" s="3705" t="s">
        <v>1768</v>
      </c>
      <c r="D4" s="3706"/>
      <c r="E4" s="3707" t="s">
        <v>1769</v>
      </c>
      <c r="F4" s="3708"/>
      <c r="G4" s="3705" t="s">
        <v>1770</v>
      </c>
      <c r="H4" s="3706"/>
      <c r="I4" s="3705" t="s">
        <v>1771</v>
      </c>
      <c r="J4" s="3706"/>
      <c r="K4" s="559" t="s">
        <v>1772</v>
      </c>
      <c r="L4" s="2714"/>
      <c r="M4" s="2715"/>
      <c r="N4" s="2715"/>
      <c r="O4" s="2715"/>
      <c r="P4" s="3709" t="s">
        <v>1773</v>
      </c>
      <c r="Q4" s="3710"/>
      <c r="R4" s="3715" t="s">
        <v>1769</v>
      </c>
      <c r="S4" s="3716"/>
      <c r="T4" s="3715" t="s">
        <v>1770</v>
      </c>
      <c r="U4" s="3716"/>
      <c r="V4" s="3700" t="s">
        <v>1771</v>
      </c>
      <c r="W4" s="3700"/>
      <c r="X4" s="1354"/>
      <c r="Y4" s="3715" t="s">
        <v>1773</v>
      </c>
      <c r="Z4" s="3716"/>
      <c r="AA4" s="3702" t="s">
        <v>1769</v>
      </c>
      <c r="AB4" s="3703" t="s">
        <v>1770</v>
      </c>
      <c r="AC4" s="3702" t="s">
        <v>1771</v>
      </c>
    </row>
    <row r="5" spans="1:30" ht="15">
      <c r="A5" s="358"/>
      <c r="B5" s="359"/>
      <c r="C5" s="3723" t="s">
        <v>1671</v>
      </c>
      <c r="D5" s="3724"/>
      <c r="E5" s="3730" t="s">
        <v>1672</v>
      </c>
      <c r="F5" s="3731"/>
      <c r="G5" s="3723" t="s">
        <v>1673</v>
      </c>
      <c r="H5" s="3724"/>
      <c r="I5" s="3723" t="s">
        <v>1674</v>
      </c>
      <c r="J5" s="3724"/>
      <c r="K5" s="559"/>
      <c r="L5" s="2714"/>
      <c r="M5" s="2715"/>
      <c r="N5" s="2715"/>
      <c r="O5" s="2715"/>
      <c r="P5" s="3711"/>
      <c r="Q5" s="3712"/>
      <c r="R5" s="3717"/>
      <c r="S5" s="3718"/>
      <c r="T5" s="3717"/>
      <c r="U5" s="3718"/>
      <c r="V5" s="3700"/>
      <c r="W5" s="3700"/>
      <c r="X5" s="1354"/>
      <c r="Y5" s="3717"/>
      <c r="Z5" s="3718"/>
      <c r="AA5" s="3703"/>
      <c r="AB5" s="3703"/>
      <c r="AC5" s="3703"/>
    </row>
    <row r="6" spans="1:30" ht="15.75" thickBot="1">
      <c r="A6" s="360"/>
      <c r="B6" s="361"/>
      <c r="C6" s="3721" t="s">
        <v>1675</v>
      </c>
      <c r="D6" s="3722"/>
      <c r="E6" s="3728" t="s">
        <v>1675</v>
      </c>
      <c r="F6" s="3729"/>
      <c r="G6" s="3721" t="s">
        <v>1675</v>
      </c>
      <c r="H6" s="3722"/>
      <c r="I6" s="3721" t="s">
        <v>1675</v>
      </c>
      <c r="J6" s="3722"/>
      <c r="K6" s="559" t="s">
        <v>1676</v>
      </c>
      <c r="L6" s="2714"/>
      <c r="M6" s="2715"/>
      <c r="N6" s="2715"/>
      <c r="O6" s="2715"/>
      <c r="P6" s="3713"/>
      <c r="Q6" s="3714"/>
      <c r="R6" s="3717"/>
      <c r="S6" s="3718"/>
      <c r="T6" s="3719"/>
      <c r="U6" s="3720"/>
      <c r="V6" s="3700"/>
      <c r="W6" s="3700"/>
      <c r="X6" s="1354"/>
      <c r="Y6" s="3719"/>
      <c r="Z6" s="3720"/>
      <c r="AA6" s="3704"/>
      <c r="AB6" s="3704"/>
      <c r="AC6" s="3704"/>
    </row>
    <row r="7" spans="1:30" s="108" customFormat="1" ht="15.75" thickBot="1">
      <c r="A7" s="362" t="s">
        <v>1677</v>
      </c>
      <c r="B7" s="363"/>
      <c r="C7" s="364">
        <f>'数据-取费表'!B2</f>
        <v>45449</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25" t="s">
        <v>1678</v>
      </c>
      <c r="Q7" s="3727"/>
      <c r="R7" s="700" t="s">
        <v>14</v>
      </c>
      <c r="S7" s="701">
        <f t="shared" ref="S7:S15" si="0">F7</f>
        <v>0</v>
      </c>
      <c r="T7" s="700" t="s">
        <v>14</v>
      </c>
      <c r="U7" s="701">
        <f t="shared" ref="U7:U15" si="1">H7</f>
        <v>0</v>
      </c>
      <c r="V7" s="700" t="s">
        <v>14</v>
      </c>
      <c r="W7" s="701">
        <f t="shared" ref="W7:W15" si="2">J7</f>
        <v>0</v>
      </c>
      <c r="X7" s="702"/>
      <c r="Y7" s="3725" t="s">
        <v>1678</v>
      </c>
      <c r="Z7" s="3726"/>
      <c r="AA7" s="703" t="e">
        <f>D7/F7</f>
        <v>#DIV/0!</v>
      </c>
      <c r="AB7" s="703" t="e">
        <f>D7/H7</f>
        <v>#DIV/0!</v>
      </c>
      <c r="AC7" s="703"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25" t="s">
        <v>1681</v>
      </c>
      <c r="Q8" s="3726"/>
      <c r="R8" s="700" t="s">
        <v>14</v>
      </c>
      <c r="S8" s="701">
        <f t="shared" si="0"/>
        <v>0</v>
      </c>
      <c r="T8" s="700" t="s">
        <v>14</v>
      </c>
      <c r="U8" s="701">
        <f t="shared" si="1"/>
        <v>0</v>
      </c>
      <c r="V8" s="700" t="s">
        <v>14</v>
      </c>
      <c r="W8" s="701">
        <f t="shared" si="2"/>
        <v>0</v>
      </c>
      <c r="X8" s="702"/>
      <c r="Y8" s="3725" t="s">
        <v>1681</v>
      </c>
      <c r="Z8" s="3726"/>
      <c r="AA8" s="703" t="e">
        <f t="shared" ref="AA8:AA45" si="3">D8/F8</f>
        <v>#DIV/0!</v>
      </c>
      <c r="AB8" s="703" t="e">
        <f t="shared" ref="AB8:AB45" si="4">D8/H8</f>
        <v>#DIV/0!</v>
      </c>
      <c r="AC8" s="703" t="e">
        <f t="shared" ref="AC8:AC45" si="5">D8/J8</f>
        <v>#DIV/0!</v>
      </c>
    </row>
    <row r="9" spans="1:30" s="108" customFormat="1">
      <c r="A9" s="369" t="s">
        <v>1682</v>
      </c>
      <c r="B9" s="63" t="s">
        <v>1683</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86" t="s">
        <v>1684</v>
      </c>
      <c r="Q9" s="1342" t="str">
        <f t="shared" ref="Q9:Q15" si="6">B9</f>
        <v>用途</v>
      </c>
      <c r="R9" s="700" t="s">
        <v>14</v>
      </c>
      <c r="S9" s="701">
        <f t="shared" si="0"/>
        <v>100</v>
      </c>
      <c r="T9" s="700" t="s">
        <v>14</v>
      </c>
      <c r="U9" s="701">
        <f t="shared" si="1"/>
        <v>100</v>
      </c>
      <c r="V9" s="700" t="s">
        <v>14</v>
      </c>
      <c r="W9" s="701">
        <f t="shared" si="2"/>
        <v>100</v>
      </c>
      <c r="X9" s="702"/>
      <c r="Y9" s="3585"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110</v>
      </c>
      <c r="G10" s="414"/>
      <c r="H10" s="127">
        <f>ROUND(100/'数据-取费表'!G16,0)</f>
        <v>110</v>
      </c>
      <c r="I10" s="414"/>
      <c r="J10" s="127">
        <f>ROUND(100/'数据-取费表'!G16,0)</f>
        <v>110</v>
      </c>
      <c r="K10" s="619"/>
      <c r="L10" s="2718"/>
      <c r="M10" s="2719"/>
      <c r="N10" s="2719"/>
      <c r="O10" s="2772"/>
      <c r="P10" s="3686"/>
      <c r="Q10" s="1342" t="str">
        <f t="shared" si="6"/>
        <v>土地使用年限（年）</v>
      </c>
      <c r="R10" s="700" t="s">
        <v>14</v>
      </c>
      <c r="S10" s="701">
        <f t="shared" si="0"/>
        <v>110</v>
      </c>
      <c r="T10" s="700" t="s">
        <v>14</v>
      </c>
      <c r="U10" s="701">
        <f t="shared" si="1"/>
        <v>110</v>
      </c>
      <c r="V10" s="700" t="s">
        <v>14</v>
      </c>
      <c r="W10" s="701">
        <f t="shared" si="2"/>
        <v>110</v>
      </c>
      <c r="X10" s="702"/>
      <c r="Y10" s="3585"/>
      <c r="Z10" s="52" t="str">
        <f t="shared" si="7"/>
        <v>土地使用年限（年）</v>
      </c>
      <c r="AA10" s="703">
        <f t="shared" si="3"/>
        <v>0.90909090909090906</v>
      </c>
      <c r="AB10" s="703">
        <f t="shared" si="4"/>
        <v>0.90909090909090906</v>
      </c>
      <c r="AC10" s="703">
        <f t="shared" si="5"/>
        <v>0.90909090909090906</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86"/>
      <c r="Q11" s="1342" t="str">
        <f t="shared" si="6"/>
        <v>容积率</v>
      </c>
      <c r="R11" s="700" t="s">
        <v>14</v>
      </c>
      <c r="S11" s="701" t="e">
        <f t="shared" si="0"/>
        <v>#N/A</v>
      </c>
      <c r="T11" s="700" t="s">
        <v>14</v>
      </c>
      <c r="U11" s="701" t="e">
        <f t="shared" si="1"/>
        <v>#N/A</v>
      </c>
      <c r="V11" s="700" t="s">
        <v>14</v>
      </c>
      <c r="W11" s="701" t="e">
        <f t="shared" si="2"/>
        <v>#N/A</v>
      </c>
      <c r="X11" s="702"/>
      <c r="Y11" s="3585"/>
      <c r="Z11" s="52" t="str">
        <f t="shared" si="7"/>
        <v>容积率</v>
      </c>
      <c r="AA11" s="703" t="e">
        <f t="shared" si="3"/>
        <v>#N/A</v>
      </c>
      <c r="AB11" s="703" t="e">
        <f t="shared" si="4"/>
        <v>#N/A</v>
      </c>
      <c r="AC11" s="703" t="e">
        <f t="shared" si="5"/>
        <v>#N/A</v>
      </c>
    </row>
    <row r="12" spans="1:30" s="108" customFormat="1" ht="15">
      <c r="A12" s="382"/>
      <c r="B12" s="1892" t="s">
        <v>1868</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86"/>
      <c r="Q12" s="1342" t="str">
        <f t="shared" si="6"/>
        <v>配建</v>
      </c>
      <c r="R12" s="700" t="s">
        <v>14</v>
      </c>
      <c r="S12" s="701">
        <f t="shared" si="0"/>
        <v>100</v>
      </c>
      <c r="T12" s="700" t="s">
        <v>14</v>
      </c>
      <c r="U12" s="701">
        <f t="shared" si="1"/>
        <v>100</v>
      </c>
      <c r="V12" s="700" t="s">
        <v>14</v>
      </c>
      <c r="W12" s="701">
        <f t="shared" si="2"/>
        <v>100</v>
      </c>
      <c r="X12" s="702"/>
      <c r="Y12" s="3585"/>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86"/>
      <c r="Q13" s="1342">
        <f t="shared" si="6"/>
        <v>111</v>
      </c>
      <c r="R13" s="700" t="s">
        <v>14</v>
      </c>
      <c r="S13" s="701">
        <f t="shared" si="0"/>
        <v>100</v>
      </c>
      <c r="T13" s="700" t="s">
        <v>14</v>
      </c>
      <c r="U13" s="701">
        <f t="shared" si="1"/>
        <v>100</v>
      </c>
      <c r="V13" s="700" t="s">
        <v>14</v>
      </c>
      <c r="W13" s="701">
        <f t="shared" si="2"/>
        <v>100</v>
      </c>
      <c r="X13" s="702"/>
      <c r="Y13" s="3585"/>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86"/>
      <c r="Q14" s="1342">
        <f t="shared" si="6"/>
        <v>111</v>
      </c>
      <c r="R14" s="700" t="s">
        <v>14</v>
      </c>
      <c r="S14" s="701">
        <f t="shared" si="0"/>
        <v>100</v>
      </c>
      <c r="T14" s="700" t="s">
        <v>14</v>
      </c>
      <c r="U14" s="701">
        <f t="shared" si="1"/>
        <v>100</v>
      </c>
      <c r="V14" s="700" t="s">
        <v>14</v>
      </c>
      <c r="W14" s="701">
        <f t="shared" si="2"/>
        <v>100</v>
      </c>
      <c r="X14" s="702"/>
      <c r="Y14" s="3585"/>
      <c r="Z14" s="52">
        <f t="shared" si="7"/>
        <v>111</v>
      </c>
      <c r="AA14" s="703">
        <f>D14/F14</f>
        <v>1</v>
      </c>
      <c r="AB14" s="703">
        <f>D14/H14</f>
        <v>1</v>
      </c>
      <c r="AC14" s="703">
        <f>D14/J14</f>
        <v>1</v>
      </c>
    </row>
    <row r="15" spans="1:30" ht="99.75">
      <c r="A15" s="391" t="s">
        <v>1688</v>
      </c>
      <c r="B15" s="61" t="s">
        <v>1255</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93" t="s">
        <v>1689</v>
      </c>
      <c r="Q15" s="1351" t="str">
        <f t="shared" si="6"/>
        <v>居住社区成熟度</v>
      </c>
      <c r="R15" s="704" t="s">
        <v>14</v>
      </c>
      <c r="S15" s="705">
        <f t="shared" si="0"/>
        <v>100</v>
      </c>
      <c r="T15" s="704" t="s">
        <v>14</v>
      </c>
      <c r="U15" s="705">
        <f t="shared" si="1"/>
        <v>100</v>
      </c>
      <c r="V15" s="704" t="s">
        <v>14</v>
      </c>
      <c r="W15" s="705">
        <f t="shared" si="2"/>
        <v>100</v>
      </c>
      <c r="X15" s="1354"/>
      <c r="Y15" s="3693" t="s">
        <v>1689</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94"/>
      <c r="Q16" s="1351"/>
      <c r="R16" s="704"/>
      <c r="S16" s="705"/>
      <c r="T16" s="704"/>
      <c r="U16" s="705"/>
      <c r="V16" s="704"/>
      <c r="W16" s="705"/>
      <c r="X16" s="1354"/>
      <c r="Y16" s="3694"/>
      <c r="Z16" s="1355"/>
      <c r="AA16" s="1352">
        <v>1</v>
      </c>
      <c r="AB16" s="1352">
        <v>1</v>
      </c>
      <c r="AC16" s="1352">
        <v>1</v>
      </c>
    </row>
    <row r="17" spans="1:29" ht="71.25">
      <c r="A17" s="379"/>
      <c r="B17" s="402" t="s">
        <v>1775</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94"/>
      <c r="Q17" s="1351" t="str">
        <f>B17</f>
        <v>商业繁华度</v>
      </c>
      <c r="R17" s="704" t="s">
        <v>14</v>
      </c>
      <c r="S17" s="705">
        <f>F17</f>
        <v>100</v>
      </c>
      <c r="T17" s="704" t="s">
        <v>14</v>
      </c>
      <c r="U17" s="705">
        <f>H17</f>
        <v>100</v>
      </c>
      <c r="V17" s="704" t="s">
        <v>14</v>
      </c>
      <c r="W17" s="705">
        <f>J17</f>
        <v>100</v>
      </c>
      <c r="X17" s="1354"/>
      <c r="Y17" s="369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94"/>
      <c r="Q18" s="1351"/>
      <c r="R18" s="704"/>
      <c r="S18" s="705"/>
      <c r="T18" s="704"/>
      <c r="U18" s="705"/>
      <c r="V18" s="704"/>
      <c r="W18" s="705"/>
      <c r="X18" s="1354"/>
      <c r="Y18" s="3694"/>
      <c r="Z18" s="1355"/>
      <c r="AA18" s="1352">
        <v>1</v>
      </c>
      <c r="AB18" s="1352">
        <v>1</v>
      </c>
      <c r="AC18" s="1352">
        <v>1</v>
      </c>
    </row>
    <row r="19" spans="1:29" ht="71.25">
      <c r="A19" s="379"/>
      <c r="B19" s="402" t="s">
        <v>1809</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94"/>
      <c r="Q19" s="1351" t="str">
        <f>B19</f>
        <v>办公集聚程度</v>
      </c>
      <c r="R19" s="704" t="s">
        <v>14</v>
      </c>
      <c r="S19" s="705">
        <f>F19</f>
        <v>100</v>
      </c>
      <c r="T19" s="704" t="s">
        <v>14</v>
      </c>
      <c r="U19" s="705">
        <f>H19</f>
        <v>100</v>
      </c>
      <c r="V19" s="704" t="s">
        <v>14</v>
      </c>
      <c r="W19" s="705">
        <f>J19</f>
        <v>100</v>
      </c>
      <c r="X19" s="1354"/>
      <c r="Y19" s="369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94"/>
      <c r="Q20" s="1351"/>
      <c r="R20" s="704"/>
      <c r="S20" s="705"/>
      <c r="T20" s="704"/>
      <c r="U20" s="705"/>
      <c r="V20" s="704"/>
      <c r="W20" s="705"/>
      <c r="X20" s="1354"/>
      <c r="Y20" s="3694"/>
      <c r="Z20" s="1355"/>
      <c r="AA20" s="1352">
        <v>1</v>
      </c>
      <c r="AB20" s="1352">
        <v>1</v>
      </c>
      <c r="AC20" s="1352">
        <v>1</v>
      </c>
    </row>
    <row r="21" spans="1:29" ht="85.5">
      <c r="A21" s="379"/>
      <c r="B21" s="402" t="s">
        <v>1831</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94"/>
      <c r="Q21" s="1351" t="str">
        <f>B21</f>
        <v>交通便捷度</v>
      </c>
      <c r="R21" s="704" t="s">
        <v>14</v>
      </c>
      <c r="S21" s="705">
        <f>F21</f>
        <v>100</v>
      </c>
      <c r="T21" s="704" t="s">
        <v>14</v>
      </c>
      <c r="U21" s="705">
        <f>H21</f>
        <v>100</v>
      </c>
      <c r="V21" s="704" t="s">
        <v>14</v>
      </c>
      <c r="W21" s="705">
        <f>J21</f>
        <v>100</v>
      </c>
      <c r="X21" s="1354"/>
      <c r="Y21" s="3694"/>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94"/>
      <c r="Q22" s="1351"/>
      <c r="R22" s="704"/>
      <c r="S22" s="705"/>
      <c r="T22" s="704"/>
      <c r="U22" s="705"/>
      <c r="V22" s="704"/>
      <c r="W22" s="705"/>
      <c r="X22" s="1354"/>
      <c r="Y22" s="3694"/>
      <c r="Z22" s="1355"/>
      <c r="AA22" s="1352">
        <v>1</v>
      </c>
      <c r="AB22" s="1352">
        <v>1</v>
      </c>
      <c r="AC22" s="1352">
        <v>1</v>
      </c>
    </row>
    <row r="23" spans="1:29" ht="15">
      <c r="A23" s="358"/>
      <c r="B23" s="402" t="s">
        <v>1869</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94"/>
      <c r="Q23" s="1351" t="str">
        <f t="shared" ref="Q23:Q37" si="8">B23</f>
        <v>区域土地利用方向</v>
      </c>
      <c r="R23" s="704" t="s">
        <v>14</v>
      </c>
      <c r="S23" s="705">
        <f>F23</f>
        <v>100</v>
      </c>
      <c r="T23" s="704" t="s">
        <v>14</v>
      </c>
      <c r="U23" s="705">
        <f>H23</f>
        <v>100</v>
      </c>
      <c r="V23" s="704" t="s">
        <v>14</v>
      </c>
      <c r="W23" s="705">
        <f>J23</f>
        <v>100</v>
      </c>
      <c r="X23" s="1354"/>
      <c r="Y23" s="369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94"/>
      <c r="Q24" s="1351"/>
      <c r="R24" s="704"/>
      <c r="S24" s="705"/>
      <c r="T24" s="704"/>
      <c r="U24" s="705"/>
      <c r="V24" s="704"/>
      <c r="W24" s="705"/>
      <c r="X24" s="1354"/>
      <c r="Y24" s="3694"/>
      <c r="Z24" s="1355"/>
      <c r="AA24" s="1352"/>
      <c r="AB24" s="1352"/>
      <c r="AC24" s="1352"/>
    </row>
    <row r="25" spans="1:29" ht="57">
      <c r="A25" s="358"/>
      <c r="B25" s="1130" t="s">
        <v>1870</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94"/>
      <c r="Q25" s="1351" t="str">
        <f t="shared" si="8"/>
        <v>自然及人文环境状况</v>
      </c>
      <c r="R25" s="704" t="s">
        <v>14</v>
      </c>
      <c r="S25" s="705">
        <f>F25</f>
        <v>100</v>
      </c>
      <c r="T25" s="704" t="s">
        <v>14</v>
      </c>
      <c r="U25" s="705">
        <f>H25</f>
        <v>100</v>
      </c>
      <c r="V25" s="704" t="s">
        <v>14</v>
      </c>
      <c r="W25" s="705">
        <f>J25</f>
        <v>100</v>
      </c>
      <c r="X25" s="1354"/>
      <c r="Y25" s="369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94"/>
      <c r="Q26" s="1351"/>
      <c r="R26" s="704"/>
      <c r="S26" s="705"/>
      <c r="T26" s="704"/>
      <c r="U26" s="705"/>
      <c r="V26" s="704"/>
      <c r="W26" s="705"/>
      <c r="X26" s="1354"/>
      <c r="Y26" s="3694"/>
      <c r="Z26" s="1355"/>
      <c r="AA26" s="1352">
        <v>1</v>
      </c>
      <c r="AB26" s="1352">
        <v>1</v>
      </c>
      <c r="AC26" s="1352">
        <v>1</v>
      </c>
    </row>
    <row r="27" spans="1:29" s="108" customFormat="1" ht="42.75">
      <c r="A27" s="596"/>
      <c r="B27" s="1130" t="s">
        <v>1776</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94"/>
      <c r="Q27" s="1342" t="str">
        <f t="shared" si="8"/>
        <v>公共配套设施</v>
      </c>
      <c r="R27" s="700" t="s">
        <v>14</v>
      </c>
      <c r="S27" s="701">
        <f>F27</f>
        <v>100</v>
      </c>
      <c r="T27" s="700" t="s">
        <v>14</v>
      </c>
      <c r="U27" s="701">
        <f>H27</f>
        <v>100</v>
      </c>
      <c r="V27" s="700" t="s">
        <v>14</v>
      </c>
      <c r="W27" s="701">
        <f>J27</f>
        <v>100</v>
      </c>
      <c r="X27" s="702"/>
      <c r="Y27" s="3694"/>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94"/>
      <c r="Q28" s="1342"/>
      <c r="R28" s="700"/>
      <c r="S28" s="701"/>
      <c r="T28" s="700"/>
      <c r="U28" s="701"/>
      <c r="V28" s="700"/>
      <c r="W28" s="701"/>
      <c r="X28" s="702"/>
      <c r="Y28" s="3694"/>
      <c r="Z28" s="52"/>
      <c r="AA28" s="1352">
        <v>1</v>
      </c>
      <c r="AB28" s="1352">
        <v>1</v>
      </c>
      <c r="AC28" s="1352">
        <v>1</v>
      </c>
    </row>
    <row r="29" spans="1:29" s="108" customFormat="1" ht="28.5">
      <c r="A29" s="596"/>
      <c r="B29" s="1130" t="s">
        <v>1777</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94"/>
      <c r="Q29" s="1342" t="str">
        <f t="shared" ref="Q29" si="9">B29</f>
        <v>基础设施水平</v>
      </c>
      <c r="R29" s="700" t="s">
        <v>14</v>
      </c>
      <c r="S29" s="701">
        <f>F29</f>
        <v>100</v>
      </c>
      <c r="T29" s="700" t="s">
        <v>14</v>
      </c>
      <c r="U29" s="701">
        <f>H29</f>
        <v>100</v>
      </c>
      <c r="V29" s="700" t="s">
        <v>14</v>
      </c>
      <c r="W29" s="701">
        <f>J29</f>
        <v>100</v>
      </c>
      <c r="X29" s="702"/>
      <c r="Y29" s="3694"/>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94"/>
      <c r="Q30" s="1342"/>
      <c r="R30" s="700"/>
      <c r="S30" s="701"/>
      <c r="T30" s="700"/>
      <c r="U30" s="701"/>
      <c r="V30" s="700"/>
      <c r="W30" s="701"/>
      <c r="X30" s="702"/>
      <c r="Y30" s="3694"/>
      <c r="Z30" s="52"/>
      <c r="AA30" s="1352">
        <v>1</v>
      </c>
      <c r="AB30" s="1352">
        <v>1</v>
      </c>
      <c r="AC30" s="1352">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94"/>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4"/>
      <c r="Z31" s="1355" t="str">
        <f t="shared" ref="Z31:Z45" si="13">Q31</f>
        <v>临街状况</v>
      </c>
      <c r="AA31" s="1352">
        <f t="shared" si="3"/>
        <v>1</v>
      </c>
      <c r="AB31" s="1352">
        <f t="shared" si="4"/>
        <v>1</v>
      </c>
      <c r="AC31" s="1352">
        <f t="shared" si="5"/>
        <v>1</v>
      </c>
    </row>
    <row r="32" spans="1:29" ht="27">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94"/>
      <c r="Q32" s="1351" t="str">
        <f t="shared" si="8"/>
        <v>毗邻道路的类型与等级</v>
      </c>
      <c r="R32" s="704" t="s">
        <v>14</v>
      </c>
      <c r="S32" s="705">
        <f t="shared" si="10"/>
        <v>100</v>
      </c>
      <c r="T32" s="704" t="s">
        <v>14</v>
      </c>
      <c r="U32" s="705">
        <f t="shared" si="11"/>
        <v>100</v>
      </c>
      <c r="V32" s="704" t="s">
        <v>14</v>
      </c>
      <c r="W32" s="705">
        <f t="shared" si="12"/>
        <v>100</v>
      </c>
      <c r="X32" s="1354"/>
      <c r="Y32" s="369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4"/>
      <c r="Q33" s="1351"/>
      <c r="R33" s="704"/>
      <c r="S33" s="705"/>
      <c r="T33" s="704"/>
      <c r="U33" s="705"/>
      <c r="V33" s="704"/>
      <c r="W33" s="705"/>
      <c r="X33" s="1354"/>
      <c r="Y33" s="3694"/>
      <c r="Z33" s="1355"/>
      <c r="AA33" s="1352">
        <v>1</v>
      </c>
      <c r="AB33" s="1352">
        <v>1</v>
      </c>
      <c r="AC33" s="1352">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94"/>
      <c r="Q34" s="1351" t="str">
        <f t="shared" si="8"/>
        <v>土地级别</v>
      </c>
      <c r="R34" s="704" t="s">
        <v>14</v>
      </c>
      <c r="S34" s="705">
        <f t="shared" si="10"/>
        <v>100</v>
      </c>
      <c r="T34" s="704" t="s">
        <v>14</v>
      </c>
      <c r="U34" s="705">
        <f t="shared" si="11"/>
        <v>100</v>
      </c>
      <c r="V34" s="704" t="s">
        <v>14</v>
      </c>
      <c r="W34" s="705">
        <f t="shared" si="12"/>
        <v>100</v>
      </c>
      <c r="X34" s="1354"/>
      <c r="Y34" s="3694"/>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94"/>
      <c r="Q35" s="1351">
        <f t="shared" si="8"/>
        <v>111</v>
      </c>
      <c r="R35" s="704" t="s">
        <v>14</v>
      </c>
      <c r="S35" s="705">
        <f t="shared" si="10"/>
        <v>100</v>
      </c>
      <c r="T35" s="704" t="s">
        <v>14</v>
      </c>
      <c r="U35" s="705">
        <f t="shared" si="11"/>
        <v>100</v>
      </c>
      <c r="V35" s="704" t="s">
        <v>14</v>
      </c>
      <c r="W35" s="705">
        <f t="shared" si="12"/>
        <v>100</v>
      </c>
      <c r="X35" s="1354"/>
      <c r="Y35" s="3694"/>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68" t="s">
        <v>1694</v>
      </c>
      <c r="Q36" s="1351">
        <f t="shared" si="8"/>
        <v>111</v>
      </c>
      <c r="R36" s="704" t="s">
        <v>14</v>
      </c>
      <c r="S36" s="705">
        <f t="shared" si="10"/>
        <v>100</v>
      </c>
      <c r="T36" s="704" t="s">
        <v>14</v>
      </c>
      <c r="U36" s="705">
        <f t="shared" si="11"/>
        <v>100</v>
      </c>
      <c r="V36" s="704" t="s">
        <v>14</v>
      </c>
      <c r="W36" s="705">
        <f t="shared" si="12"/>
        <v>100</v>
      </c>
      <c r="X36" s="1354"/>
      <c r="Y36" s="3698" t="s">
        <v>1694</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98"/>
      <c r="Q37" s="1351">
        <f t="shared" si="8"/>
        <v>111</v>
      </c>
      <c r="R37" s="707" t="s">
        <v>14</v>
      </c>
      <c r="S37" s="708">
        <f t="shared" si="10"/>
        <v>100</v>
      </c>
      <c r="T37" s="707" t="s">
        <v>14</v>
      </c>
      <c r="U37" s="708">
        <f t="shared" si="11"/>
        <v>100</v>
      </c>
      <c r="V37" s="707" t="s">
        <v>14</v>
      </c>
      <c r="W37" s="708">
        <f t="shared" si="12"/>
        <v>100</v>
      </c>
      <c r="X37" s="709"/>
      <c r="Y37" s="3698"/>
      <c r="Z37" s="710">
        <f t="shared" si="13"/>
        <v>111</v>
      </c>
      <c r="AA37" s="1352">
        <f t="shared" si="3"/>
        <v>1</v>
      </c>
      <c r="AB37" s="1352">
        <f t="shared" si="4"/>
        <v>1</v>
      </c>
      <c r="AC37" s="1352">
        <f t="shared" si="5"/>
        <v>1</v>
      </c>
    </row>
    <row r="38" spans="1:29" ht="15">
      <c r="A38" s="423" t="s">
        <v>1692</v>
      </c>
      <c r="B38" s="407" t="s">
        <v>1872</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98"/>
      <c r="Q38" s="1351" t="str">
        <f>B38</f>
        <v>宗地面积</v>
      </c>
      <c r="R38" s="704" t="s">
        <v>14</v>
      </c>
      <c r="S38" s="705" t="e">
        <f t="shared" si="10"/>
        <v>#N/A</v>
      </c>
      <c r="T38" s="704" t="s">
        <v>14</v>
      </c>
      <c r="U38" s="705" t="e">
        <f t="shared" si="11"/>
        <v>#N/A</v>
      </c>
      <c r="V38" s="704" t="s">
        <v>14</v>
      </c>
      <c r="W38" s="705" t="e">
        <f t="shared" si="12"/>
        <v>#N/A</v>
      </c>
      <c r="X38" s="1354"/>
      <c r="Y38" s="3698"/>
      <c r="Z38" s="1355" t="str">
        <f t="shared" si="13"/>
        <v>宗地面积</v>
      </c>
      <c r="AA38" s="1352" t="e">
        <f t="shared" si="3"/>
        <v>#N/A</v>
      </c>
      <c r="AB38" s="1352" t="e">
        <f t="shared" si="4"/>
        <v>#N/A</v>
      </c>
      <c r="AC38" s="1352" t="e">
        <f t="shared" si="5"/>
        <v>#N/A</v>
      </c>
    </row>
    <row r="39" spans="1:29" ht="15">
      <c r="A39" s="423"/>
      <c r="B39" s="375" t="s">
        <v>1873</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98"/>
      <c r="Q39" s="1351" t="str">
        <f t="shared" ref="Q39:Q45" si="14">B39</f>
        <v>宗地形状</v>
      </c>
      <c r="R39" s="704" t="s">
        <v>14</v>
      </c>
      <c r="S39" s="705">
        <f t="shared" si="10"/>
        <v>100</v>
      </c>
      <c r="T39" s="704" t="s">
        <v>14</v>
      </c>
      <c r="U39" s="705">
        <f t="shared" si="11"/>
        <v>100</v>
      </c>
      <c r="V39" s="704" t="s">
        <v>14</v>
      </c>
      <c r="W39" s="705">
        <f t="shared" si="12"/>
        <v>100</v>
      </c>
      <c r="X39" s="1354"/>
      <c r="Y39" s="3698"/>
      <c r="Z39" s="1355" t="str">
        <f t="shared" si="13"/>
        <v>宗地形状</v>
      </c>
      <c r="AA39" s="1352">
        <f t="shared" si="3"/>
        <v>1</v>
      </c>
      <c r="AB39" s="1352">
        <f t="shared" si="4"/>
        <v>1</v>
      </c>
      <c r="AC39" s="1352">
        <f t="shared" si="5"/>
        <v>1</v>
      </c>
    </row>
    <row r="40" spans="1:29" ht="15">
      <c r="A40" s="423"/>
      <c r="B40" s="375" t="s">
        <v>1874</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98"/>
      <c r="Q40" s="1351" t="str">
        <f t="shared" si="14"/>
        <v>临街宽度及深度</v>
      </c>
      <c r="R40" s="704" t="s">
        <v>14</v>
      </c>
      <c r="S40" s="705">
        <f t="shared" si="10"/>
        <v>100</v>
      </c>
      <c r="T40" s="704" t="s">
        <v>14</v>
      </c>
      <c r="U40" s="705">
        <f t="shared" si="11"/>
        <v>100</v>
      </c>
      <c r="V40" s="704" t="s">
        <v>14</v>
      </c>
      <c r="W40" s="705">
        <f t="shared" si="12"/>
        <v>100</v>
      </c>
      <c r="X40" s="1354"/>
      <c r="Y40" s="3698"/>
      <c r="Z40" s="1355" t="str">
        <f t="shared" si="13"/>
        <v>临街宽度及深度</v>
      </c>
      <c r="AA40" s="1352">
        <f t="shared" si="3"/>
        <v>1</v>
      </c>
      <c r="AB40" s="1352">
        <f t="shared" si="4"/>
        <v>1</v>
      </c>
      <c r="AC40" s="1352">
        <f t="shared" si="5"/>
        <v>1</v>
      </c>
    </row>
    <row r="41" spans="1:29" s="108" customFormat="1" ht="15">
      <c r="A41" s="424"/>
      <c r="B41" s="375" t="s">
        <v>1875</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98"/>
      <c r="Q41" s="1351" t="str">
        <f t="shared" si="14"/>
        <v>宗地开发程度</v>
      </c>
      <c r="R41" s="700" t="s">
        <v>14</v>
      </c>
      <c r="S41" s="701">
        <f t="shared" si="10"/>
        <v>100</v>
      </c>
      <c r="T41" s="700" t="s">
        <v>14</v>
      </c>
      <c r="U41" s="701">
        <f t="shared" si="11"/>
        <v>100</v>
      </c>
      <c r="V41" s="700" t="s">
        <v>14</v>
      </c>
      <c r="W41" s="701">
        <f t="shared" si="12"/>
        <v>100</v>
      </c>
      <c r="X41" s="702"/>
      <c r="Y41" s="3698"/>
      <c r="Z41" s="52" t="str">
        <f t="shared" si="13"/>
        <v>宗地开发程度</v>
      </c>
      <c r="AA41" s="703">
        <f t="shared" si="3"/>
        <v>1</v>
      </c>
      <c r="AB41" s="703">
        <f t="shared" si="4"/>
        <v>1</v>
      </c>
      <c r="AC41" s="703">
        <f t="shared" si="5"/>
        <v>1</v>
      </c>
    </row>
    <row r="42" spans="1:29" ht="15">
      <c r="A42" s="423"/>
      <c r="B42" s="375" t="s">
        <v>1876</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98" t="s">
        <v>1694</v>
      </c>
      <c r="Q42" s="1351" t="str">
        <f t="shared" si="14"/>
        <v>工程地质条件</v>
      </c>
      <c r="R42" s="704" t="s">
        <v>14</v>
      </c>
      <c r="S42" s="705">
        <f t="shared" si="10"/>
        <v>100</v>
      </c>
      <c r="T42" s="704" t="s">
        <v>14</v>
      </c>
      <c r="U42" s="705">
        <f t="shared" si="11"/>
        <v>100</v>
      </c>
      <c r="V42" s="704" t="s">
        <v>14</v>
      </c>
      <c r="W42" s="705">
        <f t="shared" si="12"/>
        <v>100</v>
      </c>
      <c r="X42" s="1354"/>
      <c r="Y42" s="3698" t="s">
        <v>1694</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98"/>
      <c r="Q43" s="1351">
        <f t="shared" si="14"/>
        <v>111</v>
      </c>
      <c r="R43" s="704" t="s">
        <v>14</v>
      </c>
      <c r="S43" s="705">
        <f t="shared" si="10"/>
        <v>100</v>
      </c>
      <c r="T43" s="704" t="s">
        <v>14</v>
      </c>
      <c r="U43" s="705">
        <f t="shared" si="11"/>
        <v>100</v>
      </c>
      <c r="V43" s="704" t="s">
        <v>14</v>
      </c>
      <c r="W43" s="705">
        <f t="shared" si="12"/>
        <v>100</v>
      </c>
      <c r="X43" s="1354"/>
      <c r="Y43" s="3698"/>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98"/>
      <c r="Q44" s="1351">
        <f t="shared" si="14"/>
        <v>111</v>
      </c>
      <c r="R44" s="704" t="s">
        <v>14</v>
      </c>
      <c r="S44" s="705">
        <f t="shared" si="10"/>
        <v>100</v>
      </c>
      <c r="T44" s="704" t="s">
        <v>14</v>
      </c>
      <c r="U44" s="705">
        <f t="shared" si="11"/>
        <v>100</v>
      </c>
      <c r="V44" s="704" t="s">
        <v>14</v>
      </c>
      <c r="W44" s="705">
        <f t="shared" si="12"/>
        <v>100</v>
      </c>
      <c r="X44" s="1354"/>
      <c r="Y44" s="3698"/>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98"/>
      <c r="Q45" s="1351">
        <f t="shared" si="14"/>
        <v>111</v>
      </c>
      <c r="R45" s="707" t="s">
        <v>14</v>
      </c>
      <c r="S45" s="708">
        <f t="shared" si="10"/>
        <v>100</v>
      </c>
      <c r="T45" s="707" t="s">
        <v>14</v>
      </c>
      <c r="U45" s="708">
        <f t="shared" si="11"/>
        <v>100</v>
      </c>
      <c r="V45" s="707" t="s">
        <v>14</v>
      </c>
      <c r="W45" s="708">
        <f t="shared" si="12"/>
        <v>100</v>
      </c>
      <c r="X45" s="709"/>
      <c r="Y45" s="3698"/>
      <c r="Z45" s="710">
        <f t="shared" si="13"/>
        <v>111</v>
      </c>
      <c r="AA45" s="1352">
        <f t="shared" si="3"/>
        <v>1</v>
      </c>
      <c r="AB45" s="1352">
        <f t="shared" si="4"/>
        <v>1</v>
      </c>
      <c r="AC45" s="1352">
        <f t="shared" si="5"/>
        <v>1</v>
      </c>
    </row>
    <row r="46" spans="1:29" ht="15">
      <c r="A46" s="430" t="s">
        <v>1842</v>
      </c>
      <c r="B46" s="1981" t="s">
        <v>1877</v>
      </c>
      <c r="C46" s="629" t="s">
        <v>0</v>
      </c>
      <c r="D46" s="432"/>
      <c r="E46" s="433"/>
      <c r="F46" s="434"/>
      <c r="G46" s="435"/>
      <c r="H46" s="436"/>
      <c r="I46" s="433"/>
      <c r="J46" s="436"/>
      <c r="K46" s="713"/>
      <c r="L46" s="2723"/>
      <c r="M46" s="2724"/>
      <c r="N46" s="2715"/>
      <c r="O46" s="2724"/>
      <c r="P46" s="3686" t="str">
        <f>A46</f>
        <v>成交单价</v>
      </c>
      <c r="Q46" s="3686"/>
      <c r="R46" s="3700">
        <f>E46</f>
        <v>0</v>
      </c>
      <c r="S46" s="3700"/>
      <c r="T46" s="3700">
        <f>G46</f>
        <v>0</v>
      </c>
      <c r="U46" s="3700"/>
      <c r="V46" s="3700">
        <f>I46</f>
        <v>0</v>
      </c>
      <c r="W46" s="3700"/>
      <c r="X46" s="689"/>
      <c r="Y46" s="711"/>
      <c r="Z46" s="689"/>
      <c r="AA46" s="689"/>
      <c r="AB46" s="689"/>
      <c r="AC46" s="689"/>
    </row>
    <row r="47" spans="1:29" ht="15.75" thickBot="1">
      <c r="A47" s="437" t="s">
        <v>1791</v>
      </c>
      <c r="B47" s="630"/>
      <c r="C47" s="440" t="e">
        <f>R48</f>
        <v>#DIV/0!</v>
      </c>
      <c r="D47" s="2316" t="s">
        <v>2135</v>
      </c>
      <c r="E47" s="440" t="e">
        <f>R47</f>
        <v>#DIV/0!</v>
      </c>
      <c r="F47" s="2317"/>
      <c r="G47" s="439" t="e">
        <f>T47</f>
        <v>#DIV/0!</v>
      </c>
      <c r="H47" s="2317"/>
      <c r="I47" s="440" t="e">
        <f>V47</f>
        <v>#DIV/0!</v>
      </c>
      <c r="J47" s="2317"/>
      <c r="K47" s="2319">
        <f>F47+H47+J47</f>
        <v>0</v>
      </c>
      <c r="L47" s="2723"/>
      <c r="M47" s="2724"/>
      <c r="N47" s="2724"/>
      <c r="O47" s="2724"/>
      <c r="P47" s="3686" t="str">
        <f>A47</f>
        <v>比较价值（元/平方米）</v>
      </c>
      <c r="Q47" s="3686"/>
      <c r="R47" s="3770" t="e">
        <f>ROUND(PRODUCT(R46,AA7:AA45),0)</f>
        <v>#DIV/0!</v>
      </c>
      <c r="S47" s="3770"/>
      <c r="T47" s="3770" t="e">
        <f>ROUND(PRODUCT(T46,AB7:AB45),0)</f>
        <v>#DIV/0!</v>
      </c>
      <c r="U47" s="3770"/>
      <c r="V47" s="3770" t="e">
        <f>ROUND(PRODUCT(V46,AC7:AC45),0)</f>
        <v>#DIV/0!</v>
      </c>
      <c r="W47" s="3770"/>
      <c r="X47" s="689"/>
      <c r="Y47" s="689"/>
      <c r="Z47" s="689"/>
      <c r="AA47" s="689"/>
      <c r="AB47" s="689"/>
      <c r="AC47" s="689"/>
    </row>
    <row r="48" spans="1:29" ht="15.75" thickBot="1">
      <c r="A48" s="441" t="s">
        <v>1878</v>
      </c>
      <c r="B48" s="442"/>
      <c r="C48" s="443" t="e">
        <f>R48</f>
        <v>#DIV/0!</v>
      </c>
      <c r="D48" s="443"/>
      <c r="E48" s="443"/>
      <c r="F48" s="443"/>
      <c r="G48" s="443"/>
      <c r="H48" s="443"/>
      <c r="I48" s="443"/>
      <c r="J48" s="443"/>
      <c r="K48" s="714"/>
      <c r="L48" s="2723"/>
      <c r="M48" s="2724"/>
      <c r="N48" s="2724"/>
      <c r="O48" s="2724"/>
      <c r="P48" s="3688" t="str">
        <f>A48</f>
        <v>估价对象XX用房的比较价值（楼面单价，元/平方米）</v>
      </c>
      <c r="Q48" s="3689"/>
      <c r="R48" s="3771" t="e">
        <f>ROUND(IF(D47="简单平均",AVERAGE(R47:W47),R47*F47+T47*H47+V47*J47),0)</f>
        <v>#DIV/0!</v>
      </c>
      <c r="S48" s="3771"/>
      <c r="T48" s="3771"/>
      <c r="U48" s="3771"/>
      <c r="V48" s="3771"/>
      <c r="W48" s="3771"/>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1879</v>
      </c>
      <c r="B55" s="632" t="s">
        <v>1880</v>
      </c>
      <c r="C55" s="1982" t="s">
        <v>1881</v>
      </c>
      <c r="D55" s="1983" t="s">
        <v>1882</v>
      </c>
      <c r="E55" s="633" t="s">
        <v>1883</v>
      </c>
      <c r="F55" s="889" t="s">
        <v>1884</v>
      </c>
      <c r="G55" s="3705" t="s">
        <v>1885</v>
      </c>
      <c r="H55" s="3772"/>
      <c r="I55" s="135" t="s">
        <v>1886</v>
      </c>
      <c r="J55" s="1984">
        <f>项目基本情况!F35</f>
        <v>0</v>
      </c>
      <c r="K55" s="1985" t="s">
        <v>1887</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1888</v>
      </c>
      <c r="B56" s="636" t="e">
        <f>C48</f>
        <v>#DIV/0!</v>
      </c>
      <c r="C56" s="637">
        <v>1</v>
      </c>
      <c r="D56" s="943">
        <v>1</v>
      </c>
      <c r="E56" s="637">
        <f>'数据-汇总表'!E8+'数据-汇总表'!E9</f>
        <v>1911.3919999999998</v>
      </c>
      <c r="F56" s="885" t="e">
        <f t="shared" ref="F56:F64" si="15">ROUND(B56*E56/10000,0)</f>
        <v>#DIV/0!</v>
      </c>
      <c r="G56" s="3701"/>
      <c r="H56" s="3686"/>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1889</v>
      </c>
      <c r="B57" s="218" t="e">
        <f>ROUND($C$48*C57*D57,0)</f>
        <v>#DIV/0!</v>
      </c>
      <c r="C57" s="171">
        <f t="shared" ref="C57:C64" si="16">IF($C$55="北京市系数",I57,J57)</f>
        <v>0.6</v>
      </c>
      <c r="D57" s="944">
        <v>0.25</v>
      </c>
      <c r="E57" s="641"/>
      <c r="F57" s="885" t="e">
        <f t="shared" si="15"/>
        <v>#DIV/0!</v>
      </c>
      <c r="G57" s="3005" t="s">
        <v>1890</v>
      </c>
      <c r="H57" s="886" t="str">
        <f>项目基本情况!B37</f>
        <v>四级</v>
      </c>
      <c r="I57" s="890">
        <f>SUMIF(修正!A57:A68,H57,修正!B57:B68)</f>
        <v>0.6</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1891</v>
      </c>
      <c r="B58" s="218" t="e">
        <f t="shared" ref="B58:B64" si="17">ROUND($C$48*C58*D58,0)</f>
        <v>#DIV/0!</v>
      </c>
      <c r="C58" s="171">
        <f t="shared" si="16"/>
        <v>0.3</v>
      </c>
      <c r="D58" s="944">
        <v>0.25</v>
      </c>
      <c r="E58" s="641"/>
      <c r="F58" s="885" t="e">
        <f t="shared" si="15"/>
        <v>#DIV/0!</v>
      </c>
      <c r="G58" s="3006"/>
      <c r="H58" s="886" t="str">
        <f>项目基本情况!B37</f>
        <v>四级</v>
      </c>
      <c r="I58" s="890">
        <f>SUMIF(修正!A57:A68,H58,修正!C57:C68)</f>
        <v>0.3</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1892</v>
      </c>
      <c r="B59" s="218" t="e">
        <f t="shared" si="17"/>
        <v>#DIV/0!</v>
      </c>
      <c r="C59" s="171">
        <f t="shared" si="16"/>
        <v>0.25</v>
      </c>
      <c r="D59" s="944">
        <v>0.25</v>
      </c>
      <c r="E59" s="641"/>
      <c r="F59" s="885" t="e">
        <f t="shared" si="15"/>
        <v>#DIV/0!</v>
      </c>
      <c r="G59" s="3006"/>
      <c r="H59" s="886" t="str">
        <f>项目基本情况!B37</f>
        <v>四级</v>
      </c>
      <c r="I59" s="890">
        <f>SUMIF(修正!A57:A68,H59,修正!D57:D68)</f>
        <v>0.25</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1893</v>
      </c>
      <c r="B60" s="218" t="e">
        <f t="shared" si="17"/>
        <v>#DIV/0!</v>
      </c>
      <c r="C60" s="171">
        <f t="shared" si="16"/>
        <v>0</v>
      </c>
      <c r="D60" s="944">
        <v>0.25</v>
      </c>
      <c r="E60" s="217">
        <f>'数据-汇总表'!E11</f>
        <v>0</v>
      </c>
      <c r="F60" s="885" t="e">
        <f t="shared" si="15"/>
        <v>#DIV/0!</v>
      </c>
      <c r="G60" s="1986" t="s">
        <v>1894</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1895</v>
      </c>
      <c r="B61" s="218" t="e">
        <f t="shared" si="17"/>
        <v>#DIV/0!</v>
      </c>
      <c r="C61" s="171">
        <f t="shared" si="16"/>
        <v>0</v>
      </c>
      <c r="D61" s="944">
        <v>0.25</v>
      </c>
      <c r="E61" s="217">
        <f>'数据-汇总表'!E12</f>
        <v>0</v>
      </c>
      <c r="F61" s="885" t="e">
        <f t="shared" si="15"/>
        <v>#DIV/0!</v>
      </c>
      <c r="G61" s="891" t="s">
        <v>1896</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1897</v>
      </c>
      <c r="B62" s="218" t="e">
        <f t="shared" si="17"/>
        <v>#DIV/0!</v>
      </c>
      <c r="C62" s="171">
        <f t="shared" si="16"/>
        <v>0</v>
      </c>
      <c r="D62" s="944">
        <v>0.25</v>
      </c>
      <c r="E62" s="217">
        <f>'数据-汇总表'!E13</f>
        <v>0</v>
      </c>
      <c r="F62" s="885" t="e">
        <f t="shared" si="15"/>
        <v>#DIV/0!</v>
      </c>
      <c r="G62" s="891" t="s">
        <v>1898</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1899</v>
      </c>
      <c r="B63" s="218" t="e">
        <f t="shared" si="17"/>
        <v>#DIV/0!</v>
      </c>
      <c r="C63" s="171">
        <f t="shared" si="16"/>
        <v>0.15</v>
      </c>
      <c r="D63" s="944">
        <v>0.25</v>
      </c>
      <c r="E63" s="217">
        <f>'数据-汇总表'!E14</f>
        <v>0</v>
      </c>
      <c r="F63" s="885" t="e">
        <f t="shared" si="15"/>
        <v>#DIV/0!</v>
      </c>
      <c r="G63" s="1986" t="s">
        <v>1890</v>
      </c>
      <c r="H63" s="886" t="str">
        <f>项目基本情况!B37</f>
        <v>四级</v>
      </c>
      <c r="I63" s="890">
        <f>SUMIF(修正!A57:A68,H63,修正!G57:G68)</f>
        <v>0.15</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1900</v>
      </c>
      <c r="B64" s="218" t="e">
        <f t="shared" si="17"/>
        <v>#DIV/0!</v>
      </c>
      <c r="C64" s="171">
        <f t="shared" si="16"/>
        <v>0</v>
      </c>
      <c r="D64" s="944">
        <v>0.25</v>
      </c>
      <c r="E64" s="217">
        <f>'数据-汇总表'!E15</f>
        <v>0</v>
      </c>
      <c r="F64" s="885" t="e">
        <f t="shared" si="15"/>
        <v>#DIV/0!</v>
      </c>
      <c r="G64" s="1987" t="s">
        <v>1894</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1901</v>
      </c>
      <c r="B65" s="643" t="s">
        <v>22</v>
      </c>
      <c r="C65" s="643" t="s">
        <v>23</v>
      </c>
      <c r="D65" s="643" t="s">
        <v>392</v>
      </c>
      <c r="E65" s="643">
        <f>IF(B46="楼面地价",SUM(E56:E64),'数据-汇总表'!D3)</f>
        <v>1911.3919999999998</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2024-6-1</v>
      </c>
      <c r="D67" s="691">
        <f>EDATE(C67,-3)</f>
        <v>45352</v>
      </c>
      <c r="E67" s="691">
        <f>EDATE(D67,-3)</f>
        <v>45261</v>
      </c>
      <c r="F67" s="691">
        <f t="shared" ref="F67:O67" si="18">EDATE(E67,-3)</f>
        <v>45170</v>
      </c>
      <c r="G67" s="691">
        <f t="shared" si="18"/>
        <v>45078</v>
      </c>
      <c r="H67" s="691">
        <f t="shared" si="18"/>
        <v>44986</v>
      </c>
      <c r="I67" s="691">
        <f t="shared" si="18"/>
        <v>44896</v>
      </c>
      <c r="J67" s="691">
        <f t="shared" si="18"/>
        <v>44805</v>
      </c>
      <c r="K67" s="691">
        <f t="shared" si="18"/>
        <v>44713</v>
      </c>
      <c r="L67" s="691">
        <f t="shared" si="18"/>
        <v>44621</v>
      </c>
      <c r="M67" s="691">
        <f t="shared" si="18"/>
        <v>44531</v>
      </c>
      <c r="N67" s="691">
        <f t="shared" si="18"/>
        <v>44440</v>
      </c>
      <c r="O67" s="691">
        <f t="shared" si="18"/>
        <v>44348</v>
      </c>
      <c r="P67" s="2724"/>
      <c r="Q67" s="2724"/>
      <c r="R67" s="2724"/>
      <c r="S67" s="2724"/>
      <c r="T67" s="2724"/>
      <c r="U67" s="2724"/>
      <c r="V67" s="2724"/>
      <c r="W67" s="2724"/>
      <c r="X67" s="2724"/>
      <c r="Y67" s="2724"/>
      <c r="Z67" s="2724"/>
      <c r="AA67" s="2724"/>
      <c r="AB67" s="2724"/>
      <c r="AC67" s="2724"/>
    </row>
    <row r="68" spans="1:29" ht="21.75" thickBot="1">
      <c r="A68" s="693" t="s">
        <v>1796</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1902</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1714</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1679</v>
      </c>
      <c r="B72" s="459"/>
      <c r="C72" s="471" t="s">
        <v>1774</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1717</v>
      </c>
      <c r="B74" s="477" t="s">
        <v>1683</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1686</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1688</v>
      </c>
      <c r="B87" s="477" t="s">
        <v>1718</v>
      </c>
      <c r="C87" s="522" t="s">
        <v>1719</v>
      </c>
      <c r="D87" s="522" t="s">
        <v>1720</v>
      </c>
      <c r="E87" s="522" t="s">
        <v>1721</v>
      </c>
      <c r="F87" s="522" t="s">
        <v>1722</v>
      </c>
      <c r="G87" s="522" t="s">
        <v>1723</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1904</v>
      </c>
      <c r="C89" s="527" t="s">
        <v>1719</v>
      </c>
      <c r="D89" s="527" t="s">
        <v>1720</v>
      </c>
      <c r="E89" s="527" t="s">
        <v>1721</v>
      </c>
      <c r="F89" s="527" t="s">
        <v>1722</v>
      </c>
      <c r="G89" s="527" t="s">
        <v>1723</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1819</v>
      </c>
      <c r="C91" s="527" t="s">
        <v>1719</v>
      </c>
      <c r="D91" s="527" t="s">
        <v>1720</v>
      </c>
      <c r="E91" s="527" t="s">
        <v>1721</v>
      </c>
      <c r="F91" s="527" t="s">
        <v>1722</v>
      </c>
      <c r="G91" s="527" t="s">
        <v>1723</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1724</v>
      </c>
      <c r="C93" s="527" t="s">
        <v>1719</v>
      </c>
      <c r="D93" s="527" t="s">
        <v>1720</v>
      </c>
      <c r="E93" s="527" t="s">
        <v>1721</v>
      </c>
      <c r="F93" s="527" t="s">
        <v>1722</v>
      </c>
      <c r="G93" s="527" t="s">
        <v>1723</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1905</v>
      </c>
      <c r="C95" s="527" t="s">
        <v>1719</v>
      </c>
      <c r="D95" s="527" t="s">
        <v>1720</v>
      </c>
      <c r="E95" s="527" t="s">
        <v>1721</v>
      </c>
      <c r="F95" s="527" t="s">
        <v>1722</v>
      </c>
      <c r="G95" s="527" t="s">
        <v>1723</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1813</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1871</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1912</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1913</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1914</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1915</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1923</v>
      </c>
      <c r="B1" s="197"/>
      <c r="C1" s="201" t="s">
        <v>1924</v>
      </c>
      <c r="D1" s="342">
        <f>SUM(D33:D34,D37:D42)</f>
        <v>1911.3919999999998</v>
      </c>
      <c r="E1" s="1994"/>
      <c r="F1" s="1994"/>
      <c r="G1" s="1994"/>
      <c r="H1" s="1994"/>
      <c r="I1" s="1994"/>
      <c r="J1" s="1994"/>
      <c r="K1" s="1118"/>
      <c r="L1" s="1995" t="s">
        <v>1925</v>
      </c>
      <c r="M1" s="862">
        <f>SUMPRODUCT((区片价!B5:B9=I2)*(区片价!C3:G3=E2)*(区片价!C5:G9))</f>
        <v>0</v>
      </c>
      <c r="N1" s="865">
        <f>SUMPRODUCT((因素修正幅度!B5:B9=I2)*(因素修正幅度!C3:G3=E2)*(因素修正幅度!C5:G9))</f>
        <v>0</v>
      </c>
      <c r="O1" s="1996"/>
      <c r="P1" s="1996"/>
      <c r="Q1" s="1118"/>
      <c r="R1" s="1211" t="s">
        <v>1926</v>
      </c>
      <c r="S1" s="1211" t="s">
        <v>1927</v>
      </c>
      <c r="T1" s="1211" t="s">
        <v>1928</v>
      </c>
      <c r="U1" s="1211" t="s">
        <v>1929</v>
      </c>
      <c r="V1" s="1211" t="s">
        <v>1930</v>
      </c>
      <c r="W1" s="1215"/>
      <c r="X1" s="1215"/>
      <c r="Y1" s="1215"/>
      <c r="Z1" s="1215"/>
      <c r="AA1" s="1215"/>
      <c r="AB1" s="1215"/>
      <c r="AC1" s="1216"/>
      <c r="AD1" s="1217"/>
      <c r="AE1" s="1217"/>
      <c r="AF1" s="1217"/>
      <c r="AG1" s="1217"/>
      <c r="AH1" s="1217"/>
      <c r="AI1" s="1217"/>
      <c r="AJ1" s="1218"/>
    </row>
    <row r="2" spans="1:36" ht="15.75">
      <c r="A2" s="201" t="s">
        <v>1931</v>
      </c>
      <c r="B2" s="204">
        <f>C30</f>
        <v>363</v>
      </c>
      <c r="C2" s="1998" t="s">
        <v>1932</v>
      </c>
      <c r="D2" s="1999" t="s">
        <v>1933</v>
      </c>
      <c r="E2" s="3421" t="s">
        <v>3</v>
      </c>
      <c r="F2" s="1999" t="s">
        <v>1934</v>
      </c>
      <c r="G2" s="2000" t="str">
        <f>IF(E2="商业",项目基本情况!B37,IF(E2="办公",项目基本情况!C37,IF(E2="住宅",项目基本情况!D37,IF(E2="工业",项目基本情况!E37,项目基本情况!F37))))</f>
        <v>六级</v>
      </c>
      <c r="H2" s="1999" t="s">
        <v>1935</v>
      </c>
      <c r="I2" s="2000" t="str">
        <f>IF(E2="商业",项目基本情况!B38,IF(E2="办公",项目基本情况!C38,IF(E2="住宅",项目基本情况!D38,IF(E2="工业",项目基本情况!E38,项目基本情况!F38))))</f>
        <v>Ⅵ-BDA东</v>
      </c>
      <c r="J2" s="2001"/>
      <c r="K2" s="1118"/>
      <c r="L2" s="2002" t="s">
        <v>1936</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3091</v>
      </c>
      <c r="U2" s="1212">
        <f>'数据-基础表'!I13</f>
        <v>1911.3919999999998</v>
      </c>
      <c r="V2" s="3360">
        <f>ROUND(T2*U2/10000,0)</f>
        <v>591</v>
      </c>
      <c r="W2" s="1215"/>
      <c r="X2" s="1215"/>
      <c r="Y2" s="1215"/>
      <c r="Z2" s="1215"/>
      <c r="AA2" s="1215"/>
      <c r="AB2" s="1215"/>
      <c r="AC2" s="1216"/>
      <c r="AD2" s="1217"/>
      <c r="AE2" s="1217"/>
      <c r="AF2" s="1217"/>
      <c r="AG2" s="1217"/>
      <c r="AH2" s="1217"/>
      <c r="AI2" s="1217"/>
      <c r="AJ2" s="1218"/>
    </row>
    <row r="3" spans="1:36" ht="15.75">
      <c r="A3" s="203" t="s">
        <v>1937</v>
      </c>
      <c r="B3" s="204">
        <f>ROUND(B2*10000/D1,0)</f>
        <v>1899</v>
      </c>
      <c r="C3" s="1998" t="s">
        <v>1938</v>
      </c>
      <c r="D3" s="1999" t="s">
        <v>1939</v>
      </c>
      <c r="E3" s="3419" t="s">
        <v>2480</v>
      </c>
      <c r="F3" s="2003" t="s">
        <v>3457</v>
      </c>
      <c r="G3" s="751">
        <f>IF(F3="宗地容积率",'数据-汇总表'!I4,IF(F3="估价对象容积率",'数据-汇总表'!I6,'数据-汇总表'!I7))</f>
        <v>1.5</v>
      </c>
      <c r="H3" s="170" t="s">
        <v>1940</v>
      </c>
      <c r="I3" s="774">
        <v>1</v>
      </c>
      <c r="J3" s="2001" t="s">
        <v>1941</v>
      </c>
      <c r="K3" s="1118"/>
      <c r="L3" s="2002" t="s">
        <v>1942</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2436</v>
      </c>
      <c r="U3" s="1212">
        <f>'数据-基础表'!I14</f>
        <v>0</v>
      </c>
      <c r="V3" s="3360">
        <f t="shared" ref="V3:V16" si="1">ROUND(T3*U3/10000,0)</f>
        <v>0</v>
      </c>
      <c r="W3" s="1215"/>
      <c r="X3" s="1215"/>
      <c r="Y3" s="1215"/>
      <c r="Z3" s="1215"/>
      <c r="AA3" s="1215"/>
      <c r="AB3" s="1215"/>
      <c r="AC3" s="1216"/>
      <c r="AD3" s="1217"/>
      <c r="AE3" s="1217"/>
      <c r="AF3" s="1217"/>
      <c r="AG3" s="1217"/>
      <c r="AH3" s="1217"/>
      <c r="AI3" s="1217"/>
      <c r="AJ3" s="1218"/>
    </row>
    <row r="4" spans="1:36" ht="15.75">
      <c r="A4" s="3780"/>
      <c r="B4" s="3781"/>
      <c r="C4" s="3781"/>
      <c r="D4" s="3782"/>
      <c r="E4" s="3782"/>
      <c r="F4" s="3782"/>
      <c r="G4" s="3782"/>
      <c r="H4" s="3782"/>
      <c r="I4" s="3782"/>
      <c r="J4" s="3783"/>
      <c r="K4" s="1118"/>
      <c r="L4" s="2002" t="s">
        <v>1943</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2059</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1944</v>
      </c>
      <c r="C5" s="752">
        <f>ROUND(IF(E2="商业",C6*C7*C17+C20,(IF(E2="住宅",C6*C13*C17+C20,IF(E2="办公",C6*C12*C17+C20,C6+C20)))),0)</f>
        <v>2050</v>
      </c>
      <c r="D5" s="1338">
        <f>ROUND(C6*C17+C20,0)</f>
        <v>2050</v>
      </c>
      <c r="E5" s="1338"/>
      <c r="F5" s="2006"/>
      <c r="G5" s="2007"/>
      <c r="H5" s="2007"/>
      <c r="I5" s="2007"/>
      <c r="J5" s="2008"/>
      <c r="K5" s="2009"/>
      <c r="L5" s="2002" t="s">
        <v>1945</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1816</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1946</v>
      </c>
      <c r="B6" s="2015" t="s">
        <v>1947</v>
      </c>
      <c r="C6" s="753">
        <f>SUMIF(L1:L12,G2,M1:M12)</f>
        <v>2050</v>
      </c>
      <c r="D6" s="2016"/>
      <c r="E6" s="2017"/>
      <c r="F6" s="2017"/>
      <c r="G6" s="2018"/>
      <c r="H6" s="2018"/>
      <c r="I6" s="2018"/>
      <c r="J6" s="2019"/>
      <c r="K6" s="1383"/>
      <c r="L6" s="2002" t="s">
        <v>1948</v>
      </c>
      <c r="M6" s="863">
        <f>SUMPRODUCT((区片价!B127:B189=I2)*(区片价!C3:G3=E2)*(区片价!C127:G189))</f>
        <v>2050</v>
      </c>
      <c r="N6" s="865">
        <f>SUMPRODUCT((因素修正幅度!B127:B189=I2)*(因素修正幅度!C3:G3=E2)*(因素修正幅度!C127:G189))</f>
        <v>0.05</v>
      </c>
      <c r="O6" s="1118"/>
      <c r="P6" s="1118"/>
      <c r="Q6" s="1118"/>
      <c r="R6" s="1211">
        <v>5</v>
      </c>
      <c r="S6" s="3360">
        <f>ROUND(SUMPRODUCT((B106:B110=R6)*(C105:N105=G2)*(C106:N110)),4)</f>
        <v>0.84799999999999998</v>
      </c>
      <c r="T6" s="3360">
        <f t="shared" si="0"/>
        <v>1745</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3238</v>
      </c>
      <c r="B7" s="2020" t="s">
        <v>1949</v>
      </c>
      <c r="C7" s="754">
        <f>IF(C8="不临65条商业街",1,ROUND(1+(1.6*E8+1.2*E9+0.8*E10+0.4*E11)*C9,4))</f>
        <v>1</v>
      </c>
      <c r="D7" s="2021" t="s">
        <v>1950</v>
      </c>
      <c r="E7" s="775"/>
      <c r="F7" s="2022"/>
      <c r="G7" s="2023"/>
      <c r="H7" s="2023"/>
      <c r="I7" s="2023"/>
      <c r="J7" s="2024"/>
      <c r="K7" s="1383"/>
      <c r="L7" s="2002" t="s">
        <v>1951</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1952</v>
      </c>
      <c r="X7" s="1213" t="str">
        <f>G2</f>
        <v>六级</v>
      </c>
      <c r="Y7" s="1213" t="s">
        <v>1953</v>
      </c>
      <c r="Z7" s="1214">
        <f>G3</f>
        <v>1.5</v>
      </c>
      <c r="AA7" s="1215"/>
      <c r="AB7" s="1215"/>
      <c r="AC7" s="1216"/>
      <c r="AD7" s="1217"/>
      <c r="AE7" s="1217"/>
      <c r="AF7" s="1217"/>
      <c r="AG7" s="1217"/>
      <c r="AH7" s="1217"/>
      <c r="AI7" s="1217"/>
      <c r="AJ7" s="1218"/>
    </row>
    <row r="8" spans="1:36" ht="25.5">
      <c r="A8" s="3298"/>
      <c r="B8" s="170" t="s">
        <v>1954</v>
      </c>
      <c r="C8" s="2025" t="s">
        <v>3439</v>
      </c>
      <c r="D8" s="755" t="s">
        <v>112</v>
      </c>
      <c r="E8" s="756" t="e">
        <f>ROUND(C11/E7,4)</f>
        <v>#DIV/0!</v>
      </c>
      <c r="F8" s="2026" t="s">
        <v>1955</v>
      </c>
      <c r="G8" s="2027"/>
      <c r="H8" s="2027"/>
      <c r="I8" s="2027"/>
      <c r="J8" s="2028"/>
      <c r="K8" s="1118"/>
      <c r="L8" s="2002" t="s">
        <v>1956</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77" t="s">
        <v>1957</v>
      </c>
      <c r="X8" s="3778"/>
      <c r="Y8" s="1219" t="s">
        <v>1958</v>
      </c>
      <c r="Z8" s="1219" t="s">
        <v>1959</v>
      </c>
      <c r="AA8" s="1219" t="s">
        <v>1960</v>
      </c>
      <c r="AB8" s="1219" t="s">
        <v>1961</v>
      </c>
      <c r="AC8" s="1219" t="s">
        <v>1962</v>
      </c>
      <c r="AD8" s="1219" t="s">
        <v>1963</v>
      </c>
      <c r="AE8" s="1219" t="s">
        <v>1964</v>
      </c>
      <c r="AF8" s="1219" t="s">
        <v>1965</v>
      </c>
      <c r="AG8" s="1219" t="s">
        <v>1966</v>
      </c>
      <c r="AH8" s="1219" t="s">
        <v>1967</v>
      </c>
      <c r="AI8" s="1219" t="s">
        <v>1968</v>
      </c>
      <c r="AJ8" s="1219" t="s">
        <v>1969</v>
      </c>
    </row>
    <row r="9" spans="1:36" ht="15">
      <c r="A9" s="3298"/>
      <c r="B9" s="170" t="s">
        <v>1970</v>
      </c>
      <c r="C9" s="757">
        <f>SUMIF(修正!C71:C138,C8,修正!E71:E138)</f>
        <v>0</v>
      </c>
      <c r="D9" s="171" t="s">
        <v>113</v>
      </c>
      <c r="E9" s="171" t="e">
        <f>ROUND(C11/E7,4)</f>
        <v>#DIV/0!</v>
      </c>
      <c r="F9" s="2026" t="s">
        <v>1971</v>
      </c>
      <c r="G9" s="2027"/>
      <c r="H9" s="2027"/>
      <c r="I9" s="2027"/>
      <c r="J9" s="2028"/>
      <c r="K9" s="1118"/>
      <c r="L9" s="2002" t="s">
        <v>1972</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79"/>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1973</v>
      </c>
      <c r="C10" s="171">
        <f>SUMIF(修正!C71:C138,C8,修正!F71:F138)</f>
        <v>0</v>
      </c>
      <c r="D10" s="171" t="s">
        <v>114</v>
      </c>
      <c r="E10" s="171" t="e">
        <f>ROUND(C11/E7,4)</f>
        <v>#DIV/0!</v>
      </c>
      <c r="F10" s="2026" t="s">
        <v>1974</v>
      </c>
      <c r="G10" s="2027"/>
      <c r="H10" s="2027"/>
      <c r="I10" s="2027"/>
      <c r="J10" s="2028"/>
      <c r="K10" s="1118"/>
      <c r="L10" s="2002" t="s">
        <v>1975</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7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1976</v>
      </c>
      <c r="C11" s="758">
        <f>C10/4</f>
        <v>0</v>
      </c>
      <c r="D11" s="758" t="s">
        <v>115</v>
      </c>
      <c r="E11" s="758" t="e">
        <f>ROUND(C11/E7,4)</f>
        <v>#DIV/0!</v>
      </c>
      <c r="F11" s="2030" t="s">
        <v>1977</v>
      </c>
      <c r="G11" s="2031"/>
      <c r="H11" s="2031"/>
      <c r="I11" s="2031"/>
      <c r="J11" s="2032"/>
      <c r="K11" s="1118"/>
      <c r="L11" s="2002" t="s">
        <v>1978</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3239</v>
      </c>
      <c r="B12" s="3304" t="s">
        <v>3240</v>
      </c>
      <c r="C12" s="3305">
        <v>1</v>
      </c>
      <c r="D12" s="3306" t="s">
        <v>3241</v>
      </c>
      <c r="E12" s="3307" t="s">
        <v>3242</v>
      </c>
      <c r="F12" s="3308"/>
      <c r="G12" s="3309"/>
      <c r="H12" s="3309"/>
      <c r="I12" s="3309"/>
      <c r="J12" s="3310"/>
      <c r="K12" s="1118"/>
      <c r="L12" s="2038" t="s">
        <v>1981</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3243</v>
      </c>
      <c r="B13" s="2033" t="s">
        <v>1979</v>
      </c>
      <c r="C13" s="754">
        <f>ROUND(C16*D16*E16*F16*G16*H16*I16*J16,4)</f>
        <v>0</v>
      </c>
      <c r="D13" s="2034" t="s">
        <v>1980</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1982</v>
      </c>
      <c r="C14" s="2040" t="s">
        <v>1983</v>
      </c>
      <c r="D14" s="1349" t="s">
        <v>1984</v>
      </c>
      <c r="E14" s="27" t="s">
        <v>1985</v>
      </c>
      <c r="F14" s="3311" t="s">
        <v>3244</v>
      </c>
      <c r="G14" s="3311" t="s">
        <v>3244</v>
      </c>
      <c r="H14" s="3311" t="s">
        <v>3244</v>
      </c>
      <c r="I14" s="3311" t="s">
        <v>3244</v>
      </c>
      <c r="J14" s="3311" t="s">
        <v>3244</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3245</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1986</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3249</v>
      </c>
      <c r="E18" s="3328"/>
      <c r="F18" s="3323" t="s">
        <v>3252</v>
      </c>
      <c r="G18" s="3327">
        <f>ROUND(1-(1/(POWER(1+G24,E18))),4)</f>
        <v>0</v>
      </c>
      <c r="H18" s="3323" t="s">
        <v>3254</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3250</v>
      </c>
      <c r="E19" s="3337"/>
      <c r="F19" s="3338" t="s">
        <v>3253</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84" t="s">
        <v>3255</v>
      </c>
      <c r="B20" s="167" t="s">
        <v>1991</v>
      </c>
      <c r="C20" s="3324">
        <f>ROUND(IF(F21="与级别开发程度一致",0,(G21-E21)/C21),0)</f>
        <v>0</v>
      </c>
      <c r="D20" s="3340" t="s">
        <v>1995</v>
      </c>
      <c r="E20" s="3341"/>
      <c r="F20" s="3790" t="s">
        <v>1992</v>
      </c>
      <c r="G20" s="3791"/>
      <c r="H20" s="3325" t="s">
        <v>3384</v>
      </c>
      <c r="I20" s="3325" t="s">
        <v>3385</v>
      </c>
      <c r="J20" s="3326" t="s">
        <v>3386</v>
      </c>
      <c r="K20" s="2046" t="s">
        <v>3387</v>
      </c>
      <c r="L20" s="2046" t="s">
        <v>3388</v>
      </c>
      <c r="M20" s="2046" t="s">
        <v>3441</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85"/>
      <c r="B21" s="2163" t="s">
        <v>1994</v>
      </c>
      <c r="C21" s="2164">
        <f>IF(E3="M4科研用地",SUMPRODUCT((修正!A2:A7=E3)*(修正!B1:M1=G2)*(修正!B2:M7)),SUMPRODUCT((修正!A2:A7=E2)*(修正!B1:M1=G2)*(修正!B2:M7)))</f>
        <v>1.2</v>
      </c>
      <c r="D21" s="187" t="str">
        <f>IF(OR(G2="八级",G2="九级",G2="十级",G2="十一级",G2="十二级"),"五通一平","七通一平")</f>
        <v>七通一平</v>
      </c>
      <c r="E21" s="2154">
        <f>SUMPRODUCT((修正!B1:M1=G2)*(修正!B17:M17))</f>
        <v>315</v>
      </c>
      <c r="F21" s="2155" t="s">
        <v>3458</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1997</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1998</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3" t="s">
        <v>1999</v>
      </c>
      <c r="E23" s="760">
        <v>44197</v>
      </c>
      <c r="F23" s="2053" t="s">
        <v>2000</v>
      </c>
      <c r="G23" s="761">
        <f>'数据-取费表'!B2</f>
        <v>45449</v>
      </c>
      <c r="H23" s="3342" t="s">
        <v>3256</v>
      </c>
      <c r="I23" s="3343" t="str">
        <f>IF(H23="季度增幅（自定义）",SUMIF(N25:N28,E2,O25:O28),"")</f>
        <v/>
      </c>
      <c r="J23" s="3445" t="s">
        <v>3464</v>
      </c>
      <c r="K23" s="1124"/>
      <c r="L23" s="2054" t="s">
        <v>2001</v>
      </c>
      <c r="M23" s="1327">
        <f>ROUND(SUMIF(地价!B2:G2,E2,地价!B16:G16),0)</f>
        <v>318</v>
      </c>
      <c r="N23" s="2055" t="s">
        <v>2002</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2003</v>
      </c>
      <c r="C24" s="763">
        <f>ROUND(POWER(1+G24,J24-I24)*(POWER(1+G24,I24)-1)/(POWER(1+G24,J24)-1),4)</f>
        <v>0.91169999999999995</v>
      </c>
      <c r="D24" s="2059" t="s">
        <v>2004</v>
      </c>
      <c r="E24" s="1334">
        <f>存贷款利率!E24/100</f>
        <v>4.3499999999999997E-2</v>
      </c>
      <c r="F24" s="2059" t="s">
        <v>1996</v>
      </c>
      <c r="G24" s="767">
        <f>SUMIF(M30:Q30,E2,M33:Q33)</f>
        <v>0.05</v>
      </c>
      <c r="H24" s="2059" t="s">
        <v>2005</v>
      </c>
      <c r="I24" s="768">
        <f>SUMIF('数据-取费表'!C6:C15,E2,'数据-取费表'!F6:F15)/COUNTIF('数据-取费表'!C6:C15,E2)</f>
        <v>36.58</v>
      </c>
      <c r="J24" s="769">
        <f>IF(E2="住宅",70,IF(E2="商业",40,50))</f>
        <v>50</v>
      </c>
      <c r="K24" s="1124"/>
      <c r="L24" s="2060" t="s">
        <v>2006</v>
      </c>
      <c r="M24" s="1328">
        <f>ROUND(SUMPRODUCT((地价!A4:A16=YEAR(G23)&amp;"-"&amp;ROUNDUP(MONTH(G23)/3,0))*(地价!B2:G2=E2)*(地价!B4:G16)),0)</f>
        <v>0</v>
      </c>
      <c r="N24" s="2061" t="s">
        <v>2007</v>
      </c>
      <c r="O24" s="2062" t="s">
        <v>2008</v>
      </c>
      <c r="P24" s="2063" t="s">
        <v>2009</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3440</v>
      </c>
      <c r="C25" s="770">
        <f>IF(B25="容积率修正",IF(G3&lt;10,D26,J26),C27)</f>
        <v>0.92379999999999995</v>
      </c>
      <c r="D25" s="2066"/>
      <c r="E25" s="2066"/>
      <c r="F25" s="2066"/>
      <c r="G25" s="2066"/>
      <c r="H25" s="2066"/>
      <c r="I25" s="2066"/>
      <c r="J25" s="2067"/>
      <c r="K25" s="1124"/>
      <c r="L25" s="2787"/>
      <c r="M25" s="2787"/>
      <c r="N25" s="2068" t="s">
        <v>2010</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2011</v>
      </c>
      <c r="B26" s="2069" t="s">
        <v>2012</v>
      </c>
      <c r="C26" s="3344" t="s">
        <v>3257</v>
      </c>
      <c r="D26" s="1351">
        <f>IF(E26=G26,F26,IF(G3&lt;10,ROUND(F26+(H26-F26)*(G3-E26)/(G26-E26),4),"——"))</f>
        <v>0.92379999999999995</v>
      </c>
      <c r="E26" s="751">
        <f>ROUNDDOWN(G3,1)</f>
        <v>1.5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0.92379999999999995</v>
      </c>
      <c r="G26" s="751">
        <f>ROUNDUP(G3,1)</f>
        <v>1.5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0.92379999999999995</v>
      </c>
      <c r="I26" s="3344" t="s">
        <v>3258</v>
      </c>
      <c r="J26" s="771" t="str">
        <f>IF(G3&gt;=10,D115,"——")</f>
        <v>——</v>
      </c>
      <c r="K26" s="1124"/>
      <c r="L26" s="2787"/>
      <c r="M26" s="2787"/>
      <c r="N26" s="2068" t="s">
        <v>2013</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2014</v>
      </c>
      <c r="B27" s="2070" t="s">
        <v>2015</v>
      </c>
      <c r="C27" s="840">
        <f>ROUND(IF(I3&lt;6,SUMPRODUCT((B106:B110=I3)*(C105:N105=G2)*(C106:N110)),SUMIF(C105:N105,G2,C112:N112)),4)</f>
        <v>1.5019</v>
      </c>
      <c r="D27" s="2045"/>
      <c r="E27" s="2045"/>
      <c r="F27" s="2071"/>
      <c r="G27" s="2072"/>
      <c r="H27" s="2073"/>
      <c r="I27" s="2074"/>
      <c r="J27" s="2075"/>
      <c r="K27" s="1118"/>
      <c r="L27" s="1996"/>
      <c r="M27" s="1996"/>
      <c r="N27" s="2068" t="s">
        <v>2016</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2017</v>
      </c>
      <c r="C28" s="759">
        <f>SUMIF(A47:A101,E2,B47:B101)</f>
        <v>1.0251999999999999</v>
      </c>
      <c r="D28" s="2051"/>
      <c r="E28" s="2076"/>
      <c r="F28" s="2076"/>
      <c r="G28" s="2076"/>
      <c r="H28" s="2076"/>
      <c r="I28" s="2076"/>
      <c r="J28" s="2077"/>
      <c r="K28" s="1124"/>
      <c r="L28" s="2787"/>
      <c r="M28" s="2787"/>
      <c r="N28" s="2078"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2019</v>
      </c>
      <c r="C29" s="764"/>
      <c r="D29" s="2023"/>
      <c r="E29" s="2023"/>
      <c r="F29" s="2080"/>
      <c r="G29" s="2023"/>
      <c r="H29" s="2023"/>
      <c r="I29" s="2023"/>
      <c r="J29" s="2024"/>
      <c r="K29" s="1118"/>
      <c r="L29" s="1996"/>
      <c r="M29" s="1996"/>
      <c r="N29" s="2784" t="s">
        <v>2020</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2021</v>
      </c>
      <c r="C30" s="2320">
        <f>IF(B25="容积率修正",E33+SUM(E37:E42),SUM(V2:V16)+SUM(E37:E42))</f>
        <v>363</v>
      </c>
      <c r="D30" s="2082"/>
      <c r="E30" s="2045"/>
      <c r="F30" s="2083"/>
      <c r="G30" s="2045"/>
      <c r="H30" s="2045"/>
      <c r="I30" s="2045"/>
      <c r="J30" s="2084"/>
      <c r="K30" s="1118"/>
      <c r="L30" s="3350" t="s">
        <v>1933</v>
      </c>
      <c r="M30" s="3351" t="s">
        <v>1987</v>
      </c>
      <c r="N30" s="3351" t="s">
        <v>1988</v>
      </c>
      <c r="O30" s="3351" t="s">
        <v>1989</v>
      </c>
      <c r="P30" s="3351" t="s">
        <v>1990</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2022</v>
      </c>
      <c r="C31" s="765">
        <f>E34+SUM(I37:I42)</f>
        <v>0</v>
      </c>
      <c r="D31" s="2086"/>
      <c r="E31" s="2087"/>
      <c r="F31" s="2088"/>
      <c r="G31" s="2087"/>
      <c r="H31" s="2087"/>
      <c r="I31" s="2087"/>
      <c r="J31" s="2089"/>
      <c r="K31" s="1118"/>
      <c r="L31" s="3352" t="s">
        <v>1993</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2023</v>
      </c>
      <c r="C32" s="2092" t="s">
        <v>2024</v>
      </c>
      <c r="D32" s="2092" t="s">
        <v>2025</v>
      </c>
      <c r="E32" s="2093" t="s">
        <v>2026</v>
      </c>
      <c r="F32" s="2094"/>
      <c r="G32" s="2036"/>
      <c r="H32" s="2036"/>
      <c r="I32" s="2036"/>
      <c r="J32" s="2037"/>
      <c r="K32" s="1118"/>
      <c r="L32" s="3353" t="s">
        <v>1996</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2027</v>
      </c>
      <c r="C33" s="175">
        <f>ROUND(C5*C22*C23*C24*C25*C28,0)</f>
        <v>1901</v>
      </c>
      <c r="D33" s="2097">
        <f>'数据-汇总表'!F19</f>
        <v>1911.3919999999998</v>
      </c>
      <c r="E33" s="772">
        <f>ROUND(C33*D33/10000,0)</f>
        <v>363</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2028</v>
      </c>
      <c r="C34" s="187">
        <f>ROUND(IF(E2="工业",C33*M42,IF(B25="楼层修正",SUM(V2:V16)*M41*10000/D34,C33*M41)),0)</f>
        <v>285</v>
      </c>
      <c r="D34" s="2102"/>
      <c r="E34" s="772">
        <f>ROUND(IF(B25="楼层修正",SUM(V2:V16)*M40,C34*D34/10000),0)</f>
        <v>0</v>
      </c>
      <c r="F34" s="2103" t="s">
        <v>2029</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2030</v>
      </c>
      <c r="C35" s="3346" t="s">
        <v>3261</v>
      </c>
      <c r="D35" s="2036"/>
      <c r="E35" s="2108"/>
      <c r="F35" s="2108"/>
      <c r="G35" s="2034" t="s">
        <v>2031</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2024</v>
      </c>
      <c r="D36" s="447" t="s">
        <v>2025</v>
      </c>
      <c r="E36" s="447" t="s">
        <v>2026</v>
      </c>
      <c r="F36" s="342" t="s">
        <v>2032</v>
      </c>
      <c r="G36" s="2111" t="s">
        <v>2024</v>
      </c>
      <c r="H36" s="2111" t="s">
        <v>2025</v>
      </c>
      <c r="I36" s="2111" t="s">
        <v>2026</v>
      </c>
      <c r="J36" s="243"/>
      <c r="K36" s="3356" t="s">
        <v>3265</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8"/>
      <c r="B37" s="2112" t="s">
        <v>2033</v>
      </c>
      <c r="C37" s="175">
        <f>ROUND(D5*C22*C23*C24*C28*F37,0)</f>
        <v>1235</v>
      </c>
      <c r="D37" s="2097"/>
      <c r="E37" s="171">
        <f>ROUND(C37*D37/10000,0)</f>
        <v>0</v>
      </c>
      <c r="F37" s="171">
        <f>SUMIF(修正!A57:A68,G2,修正!B57:B68)</f>
        <v>0.6</v>
      </c>
      <c r="G37" s="171">
        <f>ROUND(IF(E2="工业",C37*$M$42,C37*$M$41),0)</f>
        <v>185</v>
      </c>
      <c r="H37" s="171">
        <f>D37</f>
        <v>0</v>
      </c>
      <c r="I37" s="171">
        <f>ROUND(G37*H37/10000,0)</f>
        <v>0</v>
      </c>
      <c r="J37" s="3011"/>
      <c r="K37" s="3358" t="s">
        <v>3266</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9"/>
      <c r="B38" s="2040" t="s">
        <v>2034</v>
      </c>
      <c r="C38" s="175">
        <f>ROUND(D5*C22*C23*C24*C28*F38,0)</f>
        <v>617</v>
      </c>
      <c r="D38" s="2097"/>
      <c r="E38" s="171">
        <f t="shared" ref="E38:E42" si="4">ROUND(C38*D38/10000,0)</f>
        <v>0</v>
      </c>
      <c r="F38" s="171">
        <f>SUMIF(修正!A57:A68,G2,修正!C57:C68)</f>
        <v>0.3</v>
      </c>
      <c r="G38" s="171">
        <f>ROUND(IF(E2="工业",C38*$M$42,C38*$M$41),0)</f>
        <v>93</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9"/>
      <c r="B39" s="2040" t="s">
        <v>3259</v>
      </c>
      <c r="C39" s="175">
        <f>ROUND(D5*C22*C23*C24*C28*F39,0)</f>
        <v>515</v>
      </c>
      <c r="D39" s="2097"/>
      <c r="E39" s="171">
        <f t="shared" si="4"/>
        <v>0</v>
      </c>
      <c r="F39" s="171">
        <f>SUMIF(修正!A57:A68,G2,修正!D57:D68)</f>
        <v>0.25</v>
      </c>
      <c r="G39" s="171">
        <f>ROUND(IF(E2="工业",C39*$M$42,C39*$M$41),0)</f>
        <v>77</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2035</v>
      </c>
      <c r="C40" s="171">
        <f>ROUND(D5*C22*C23*C24*C28*F40,0)</f>
        <v>515</v>
      </c>
      <c r="D40" s="2097"/>
      <c r="E40" s="171">
        <f t="shared" si="4"/>
        <v>0</v>
      </c>
      <c r="F40" s="175">
        <f>SUMIF(修正!A57:A68,G2,修正!E57:E68)</f>
        <v>0.25</v>
      </c>
      <c r="G40" s="171">
        <f>ROUND(IF(E2="工业",C40*$M$42,C40*$M$41),0)</f>
        <v>77</v>
      </c>
      <c r="H40" s="171">
        <f t="shared" si="5"/>
        <v>0</v>
      </c>
      <c r="I40" s="171">
        <f t="shared" si="6"/>
        <v>0</v>
      </c>
      <c r="J40" s="2113"/>
      <c r="L40" s="2115" t="s">
        <v>2036</v>
      </c>
      <c r="M40" s="2116"/>
      <c r="Z40" s="1119"/>
      <c r="AA40" s="1119"/>
      <c r="AB40" s="1119"/>
      <c r="AC40" s="1119"/>
      <c r="AD40" s="1119"/>
      <c r="AE40" s="1119"/>
      <c r="AF40" s="1119"/>
      <c r="AG40" s="1119"/>
      <c r="AH40" s="1119"/>
      <c r="AI40" s="1119"/>
      <c r="AJ40" s="1119"/>
    </row>
    <row r="41" spans="1:37" s="1118" customFormat="1">
      <c r="A41" s="2114"/>
      <c r="B41" s="2040" t="s">
        <v>2037</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2038</v>
      </c>
      <c r="C42" s="187">
        <f>ROUND(D5*C22*C23*C44*C28*F42,0)</f>
        <v>0</v>
      </c>
      <c r="D42" s="2102"/>
      <c r="E42" s="187">
        <f t="shared" si="4"/>
        <v>0</v>
      </c>
      <c r="F42" s="766">
        <f>SUMIF(修正!A57:A68,G2,修正!G57:G68)</f>
        <v>0.15</v>
      </c>
      <c r="G42" s="187">
        <f>ROUND(IF(E2="工业",C42*$M$42,C42*$M$41),0)</f>
        <v>0</v>
      </c>
      <c r="H42" s="187">
        <f t="shared" si="5"/>
        <v>0</v>
      </c>
      <c r="I42" s="187">
        <f t="shared" si="6"/>
        <v>0</v>
      </c>
      <c r="J42" s="2119"/>
      <c r="L42" s="2120" t="s">
        <v>1990</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2119</v>
      </c>
      <c r="C44" s="342">
        <f>ROUND(POWER(1+E44,H44-G44)*(POWER(1+E44,G44)-1)/(POWER(1+E44,H44)-1),4)</f>
        <v>0</v>
      </c>
      <c r="D44" s="171" t="s">
        <v>1996</v>
      </c>
      <c r="E44" s="2152">
        <f>G24</f>
        <v>0.05</v>
      </c>
      <c r="F44" s="171" t="s">
        <v>2005</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2039</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2040</v>
      </c>
      <c r="B48" s="2126" t="e">
        <f>1+E50</f>
        <v>#VALUE!</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2041</v>
      </c>
      <c r="B49" s="1350" t="s">
        <v>2042</v>
      </c>
      <c r="C49" s="1350" t="s">
        <v>2043</v>
      </c>
      <c r="D49" s="1350" t="s">
        <v>2044</v>
      </c>
      <c r="E49" s="742" t="s">
        <v>2045</v>
      </c>
      <c r="F49" s="2130" t="s">
        <v>2046</v>
      </c>
      <c r="G49" s="1350" t="s">
        <v>310</v>
      </c>
      <c r="H49" s="2131" t="s">
        <v>2047</v>
      </c>
      <c r="I49" s="1350" t="s">
        <v>2048</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38.25">
      <c r="A50" s="2129" t="s">
        <v>2049</v>
      </c>
      <c r="B50" s="2132" t="str">
        <f>估价对象房地状况!C4</f>
        <v>估价对象位于XX商圈，周边商业氛围成熟，人流量大，商业繁华度好</v>
      </c>
      <c r="C50" s="2043" t="s">
        <v>3401</v>
      </c>
      <c r="D50" s="1064" t="e">
        <f t="shared" ref="D50:D58" si="7">SUMIF($J$49:$N$49,C50,J50:N50)</f>
        <v>#VALUE!</v>
      </c>
      <c r="E50" s="743" t="e">
        <f>ROUND(SUM(D50:D58),4)</f>
        <v>#VALUE!</v>
      </c>
      <c r="F50" s="1813" t="str">
        <f>IF(E2="商业",SUMIF(L1:L12,G2,N1:N12),"——")</f>
        <v>——</v>
      </c>
      <c r="G50" s="1062" t="str">
        <f t="shared" ref="G50:G58" si="8">H50</f>
        <v>——</v>
      </c>
      <c r="H50" s="1065" t="str">
        <f t="shared" ref="H50:H58" si="9">IFERROR(ROUNDDOWN($F$50*I50/2,4),"——")</f>
        <v>——</v>
      </c>
      <c r="I50" s="3366">
        <v>0.3</v>
      </c>
      <c r="J50" s="1063" t="e">
        <f t="shared" ref="J50:J58" si="10">K50+$G50</f>
        <v>#VALUE!</v>
      </c>
      <c r="K50" s="1063" t="e">
        <f t="shared" ref="K50:K58" si="11">$L50+$G50</f>
        <v>#VALUE!</v>
      </c>
      <c r="L50" s="1063">
        <v>0</v>
      </c>
      <c r="M50" s="1063" t="e">
        <f t="shared" ref="M50:N58" si="12">L50-$G50</f>
        <v>#VALUE!</v>
      </c>
      <c r="N50" s="1063" t="e">
        <f t="shared" si="12"/>
        <v>#VALUE!</v>
      </c>
      <c r="AA50" s="1119"/>
      <c r="AB50" s="1119"/>
      <c r="AC50" s="1119"/>
      <c r="AD50" s="1119"/>
      <c r="AE50" s="1119"/>
      <c r="AF50" s="1119"/>
      <c r="AG50" s="1119"/>
      <c r="AH50" s="1119"/>
      <c r="AI50" s="1119"/>
      <c r="AJ50" s="1119"/>
      <c r="AK50" s="1119"/>
    </row>
    <row r="51" spans="1:37" s="1118" customFormat="1" ht="38.25">
      <c r="A51" s="2129" t="s">
        <v>2050</v>
      </c>
      <c r="B51" s="2133" t="str">
        <f>估价对象房地状况!C18</f>
        <v>估价对象周边道路状况、公共交通通达情况、停车便捷程度，综合评价交通便捷度较好</v>
      </c>
      <c r="C51" s="2043" t="s">
        <v>3401</v>
      </c>
      <c r="D51" s="1064" t="e">
        <f t="shared" si="7"/>
        <v>#VALUE!</v>
      </c>
      <c r="E51" s="744"/>
      <c r="F51" s="1813"/>
      <c r="G51" s="1062" t="str">
        <f t="shared" si="8"/>
        <v>——</v>
      </c>
      <c r="H51" s="1065" t="str">
        <f t="shared" si="9"/>
        <v>——</v>
      </c>
      <c r="I51" s="3366">
        <v>0.22</v>
      </c>
      <c r="J51" s="1063" t="e">
        <f t="shared" si="10"/>
        <v>#VALUE!</v>
      </c>
      <c r="K51" s="1063" t="e">
        <f t="shared" si="11"/>
        <v>#VALUE!</v>
      </c>
      <c r="L51" s="1063">
        <v>0</v>
      </c>
      <c r="M51" s="1063" t="e">
        <f t="shared" si="12"/>
        <v>#VALUE!</v>
      </c>
      <c r="N51" s="1063" t="e">
        <f t="shared" si="12"/>
        <v>#VALUE!</v>
      </c>
      <c r="AA51" s="1119"/>
      <c r="AB51" s="1119"/>
      <c r="AC51" s="1119"/>
      <c r="AD51" s="1119"/>
      <c r="AE51" s="1119"/>
      <c r="AF51" s="1119"/>
      <c r="AG51" s="1119"/>
      <c r="AH51" s="1119"/>
      <c r="AI51" s="1119"/>
      <c r="AJ51" s="1119"/>
      <c r="AK51" s="1119"/>
    </row>
    <row r="52" spans="1:37" s="1118" customFormat="1" ht="36">
      <c r="A52" s="3368" t="s">
        <v>3269</v>
      </c>
      <c r="B52" s="2133">
        <f>估价对象房地状况!C19</f>
        <v>0</v>
      </c>
      <c r="C52" s="2043" t="s">
        <v>3401</v>
      </c>
      <c r="D52" s="1064" t="e">
        <f t="shared" si="7"/>
        <v>#VALUE!</v>
      </c>
      <c r="E52" s="744"/>
      <c r="F52" s="1813"/>
      <c r="G52" s="1062" t="str">
        <f t="shared" si="8"/>
        <v>——</v>
      </c>
      <c r="H52" s="1065" t="str">
        <f t="shared" si="9"/>
        <v>——</v>
      </c>
      <c r="I52" s="3366">
        <v>0.12</v>
      </c>
      <c r="J52" s="1063" t="e">
        <f t="shared" si="10"/>
        <v>#VALUE!</v>
      </c>
      <c r="K52" s="1063" t="e">
        <f t="shared" si="11"/>
        <v>#VALUE!</v>
      </c>
      <c r="L52" s="1063">
        <v>0</v>
      </c>
      <c r="M52" s="1063" t="e">
        <f t="shared" si="12"/>
        <v>#VALUE!</v>
      </c>
      <c r="N52" s="1063" t="e">
        <f t="shared" si="12"/>
        <v>#VALUE!</v>
      </c>
      <c r="AA52" s="1119"/>
      <c r="AB52" s="1119"/>
      <c r="AC52" s="1119"/>
      <c r="AD52" s="1119"/>
      <c r="AE52" s="1119"/>
      <c r="AF52" s="1119"/>
      <c r="AG52" s="1119"/>
      <c r="AH52" s="1119"/>
      <c r="AI52" s="1119"/>
      <c r="AJ52" s="1119"/>
      <c r="AK52" s="1119"/>
    </row>
    <row r="53" spans="1:37" s="1118" customFormat="1" ht="36.75">
      <c r="A53" s="2129" t="s">
        <v>2051</v>
      </c>
      <c r="B53" s="2134" t="s">
        <v>2052</v>
      </c>
      <c r="C53" s="2043" t="s">
        <v>3401</v>
      </c>
      <c r="D53" s="1064" t="e">
        <f t="shared" si="7"/>
        <v>#VALUE!</v>
      </c>
      <c r="E53" s="744"/>
      <c r="F53" s="1813"/>
      <c r="G53" s="1062" t="str">
        <f t="shared" si="8"/>
        <v>——</v>
      </c>
      <c r="H53" s="1065" t="str">
        <f t="shared" si="9"/>
        <v>——</v>
      </c>
      <c r="I53" s="3366">
        <v>0.05</v>
      </c>
      <c r="J53" s="1063" t="e">
        <f t="shared" si="10"/>
        <v>#VALUE!</v>
      </c>
      <c r="K53" s="1063" t="e">
        <f t="shared" si="11"/>
        <v>#VALUE!</v>
      </c>
      <c r="L53" s="1063">
        <v>0</v>
      </c>
      <c r="M53" s="1063" t="e">
        <f t="shared" si="12"/>
        <v>#VALUE!</v>
      </c>
      <c r="N53" s="1063" t="e">
        <f t="shared" si="12"/>
        <v>#VALUE!</v>
      </c>
      <c r="AA53" s="1119"/>
      <c r="AB53" s="1119"/>
      <c r="AC53" s="1119"/>
      <c r="AD53" s="1119"/>
      <c r="AE53" s="1119"/>
      <c r="AF53" s="1119"/>
      <c r="AG53" s="1119"/>
      <c r="AH53" s="1119"/>
      <c r="AI53" s="1119"/>
      <c r="AJ53" s="1119"/>
      <c r="AK53" s="1119"/>
    </row>
    <row r="54" spans="1:37" s="1118" customFormat="1" ht="24">
      <c r="A54" s="2129" t="s">
        <v>2053</v>
      </c>
      <c r="B54" s="2133">
        <f>估价对象房地状况!C24</f>
        <v>0</v>
      </c>
      <c r="C54" s="2043" t="s">
        <v>3401</v>
      </c>
      <c r="D54" s="1064" t="e">
        <f t="shared" si="7"/>
        <v>#VALUE!</v>
      </c>
      <c r="E54" s="744"/>
      <c r="F54" s="1813"/>
      <c r="G54" s="1062" t="str">
        <f t="shared" si="8"/>
        <v>——</v>
      </c>
      <c r="H54" s="1065" t="str">
        <f t="shared" si="9"/>
        <v>——</v>
      </c>
      <c r="I54" s="3366">
        <v>0.08</v>
      </c>
      <c r="J54" s="1063" t="e">
        <f t="shared" si="10"/>
        <v>#VALUE!</v>
      </c>
      <c r="K54" s="1063" t="e">
        <f t="shared" si="11"/>
        <v>#VALUE!</v>
      </c>
      <c r="L54" s="1063">
        <v>0</v>
      </c>
      <c r="M54" s="1063" t="e">
        <f t="shared" si="12"/>
        <v>#VALUE!</v>
      </c>
      <c r="N54" s="1063" t="e">
        <f t="shared" si="12"/>
        <v>#VALUE!</v>
      </c>
      <c r="AA54" s="1119"/>
      <c r="AB54" s="1119"/>
      <c r="AC54" s="1119"/>
      <c r="AD54" s="1119"/>
      <c r="AE54" s="1119"/>
      <c r="AF54" s="1119"/>
      <c r="AG54" s="1119"/>
      <c r="AH54" s="1119"/>
      <c r="AI54" s="1119"/>
      <c r="AJ54" s="1119"/>
      <c r="AK54" s="1119"/>
    </row>
    <row r="55" spans="1:37" s="1118" customFormat="1" ht="24">
      <c r="A55" s="2129" t="s">
        <v>2054</v>
      </c>
      <c r="B55" s="2135" t="s">
        <v>2055</v>
      </c>
      <c r="C55" s="2043" t="s">
        <v>3401</v>
      </c>
      <c r="D55" s="1064" t="e">
        <f t="shared" si="7"/>
        <v>#VALUE!</v>
      </c>
      <c r="E55" s="744"/>
      <c r="F55" s="1813"/>
      <c r="G55" s="1062" t="str">
        <f t="shared" si="8"/>
        <v>——</v>
      </c>
      <c r="H55" s="1065" t="str">
        <f t="shared" si="9"/>
        <v>——</v>
      </c>
      <c r="I55" s="3366">
        <v>0.05</v>
      </c>
      <c r="J55" s="1063" t="e">
        <f t="shared" si="10"/>
        <v>#VALUE!</v>
      </c>
      <c r="K55" s="1063" t="e">
        <f t="shared" si="11"/>
        <v>#VALUE!</v>
      </c>
      <c r="L55" s="1063">
        <v>0</v>
      </c>
      <c r="M55" s="1063" t="e">
        <f t="shared" si="12"/>
        <v>#VALUE!</v>
      </c>
      <c r="N55" s="1063" t="e">
        <f t="shared" si="12"/>
        <v>#VALUE!</v>
      </c>
      <c r="AA55" s="1119"/>
      <c r="AB55" s="1119"/>
      <c r="AC55" s="1119"/>
      <c r="AD55" s="1119"/>
      <c r="AE55" s="1119"/>
      <c r="AF55" s="1119"/>
      <c r="AG55" s="1119"/>
      <c r="AH55" s="1119"/>
      <c r="AI55" s="1119"/>
      <c r="AJ55" s="1119"/>
      <c r="AK55" s="1119"/>
    </row>
    <row r="56" spans="1:37" s="1118" customFormat="1" ht="25.5">
      <c r="A56" s="2136" t="s">
        <v>2056</v>
      </c>
      <c r="B56" s="1325" t="str">
        <f>估价对象房地状况!C21</f>
        <v>估价对象所在区域公共配套设施齐备情况</v>
      </c>
      <c r="C56" s="2043" t="s">
        <v>3401</v>
      </c>
      <c r="D56" s="1064" t="e">
        <f t="shared" si="7"/>
        <v>#VALUE!</v>
      </c>
      <c r="E56" s="744"/>
      <c r="F56" s="1813"/>
      <c r="G56" s="1062" t="str">
        <f t="shared" si="8"/>
        <v>——</v>
      </c>
      <c r="H56" s="1065" t="str">
        <f t="shared" si="9"/>
        <v>——</v>
      </c>
      <c r="I56" s="3366">
        <v>0.05</v>
      </c>
      <c r="J56" s="1063" t="e">
        <f t="shared" si="10"/>
        <v>#VALUE!</v>
      </c>
      <c r="K56" s="1063" t="e">
        <f t="shared" si="11"/>
        <v>#VALUE!</v>
      </c>
      <c r="L56" s="1063">
        <v>0</v>
      </c>
      <c r="M56" s="1063" t="e">
        <f t="shared" si="12"/>
        <v>#VALUE!</v>
      </c>
      <c r="N56" s="1063" t="e">
        <f t="shared" si="12"/>
        <v>#VALUE!</v>
      </c>
      <c r="AA56" s="1119"/>
      <c r="AB56" s="1119"/>
      <c r="AC56" s="1119"/>
      <c r="AD56" s="1119"/>
      <c r="AE56" s="1119"/>
      <c r="AF56" s="1119"/>
      <c r="AG56" s="1119"/>
      <c r="AH56" s="1119"/>
      <c r="AI56" s="1119"/>
      <c r="AJ56" s="1119"/>
      <c r="AK56" s="1119"/>
    </row>
    <row r="57" spans="1:37" s="1118" customFormat="1" ht="25.5">
      <c r="A57" s="2136" t="s">
        <v>2057</v>
      </c>
      <c r="B57" s="2133" t="str">
        <f>估价对象房地状况!C22</f>
        <v>估价对象所在区域基础设施水平</v>
      </c>
      <c r="C57" s="2043" t="s">
        <v>3400</v>
      </c>
      <c r="D57" s="1064" t="e">
        <f t="shared" si="7"/>
        <v>#VALUE!</v>
      </c>
      <c r="E57" s="744"/>
      <c r="F57" s="1813"/>
      <c r="G57" s="1062" t="str">
        <f t="shared" si="8"/>
        <v>——</v>
      </c>
      <c r="H57" s="1065" t="str">
        <f t="shared" si="9"/>
        <v>——</v>
      </c>
      <c r="I57" s="3366">
        <v>0.08</v>
      </c>
      <c r="J57" s="1063" t="e">
        <f t="shared" si="10"/>
        <v>#VALUE!</v>
      </c>
      <c r="K57" s="1063" t="e">
        <f t="shared" si="11"/>
        <v>#VALUE!</v>
      </c>
      <c r="L57" s="1063">
        <v>0</v>
      </c>
      <c r="M57" s="1063" t="e">
        <f t="shared" si="12"/>
        <v>#VALUE!</v>
      </c>
      <c r="N57" s="1063" t="e">
        <f t="shared" si="12"/>
        <v>#VALUE!</v>
      </c>
      <c r="AA57" s="1119"/>
      <c r="AB57" s="1119"/>
      <c r="AC57" s="1119"/>
      <c r="AD57" s="1119"/>
      <c r="AE57" s="1119"/>
      <c r="AF57" s="1119"/>
      <c r="AG57" s="1119"/>
      <c r="AH57" s="1119"/>
      <c r="AI57" s="1119"/>
      <c r="AJ57" s="1119"/>
      <c r="AK57" s="1119"/>
    </row>
    <row r="58" spans="1:37" s="1118" customFormat="1" ht="26.25" thickBot="1">
      <c r="A58" s="2137" t="s">
        <v>2058</v>
      </c>
      <c r="B58" s="2138" t="str">
        <f>估价对象房地状况!C20</f>
        <v>区域自然环境：；人文环境；综合评价环境状况一般</v>
      </c>
      <c r="C58" s="2043" t="s">
        <v>3401</v>
      </c>
      <c r="D58" s="1064" t="e">
        <f t="shared" si="7"/>
        <v>#VALUE!</v>
      </c>
      <c r="E58" s="745"/>
      <c r="F58" s="1813"/>
      <c r="G58" s="1062" t="str">
        <f t="shared" si="8"/>
        <v>——</v>
      </c>
      <c r="H58" s="1065" t="str">
        <f t="shared" si="9"/>
        <v>——</v>
      </c>
      <c r="I58" s="3367">
        <v>0.05</v>
      </c>
      <c r="J58" s="1063" t="e">
        <f t="shared" si="10"/>
        <v>#VALUE!</v>
      </c>
      <c r="K58" s="1063" t="e">
        <f t="shared" si="11"/>
        <v>#VALUE!</v>
      </c>
      <c r="L58" s="1063">
        <v>0</v>
      </c>
      <c r="M58" s="1063" t="e">
        <f t="shared" si="12"/>
        <v>#VALUE!</v>
      </c>
      <c r="N58" s="1063" t="e">
        <f t="shared" si="12"/>
        <v>#VALUE!</v>
      </c>
      <c r="AA58" s="1119"/>
      <c r="AB58" s="1119"/>
      <c r="AC58" s="1119"/>
      <c r="AD58" s="1119"/>
      <c r="AE58" s="1119"/>
      <c r="AF58" s="1119"/>
      <c r="AG58" s="1119"/>
      <c r="AH58" s="1119"/>
      <c r="AI58" s="1119"/>
      <c r="AJ58" s="1119"/>
      <c r="AK58" s="1119"/>
    </row>
    <row r="59" spans="1:37" s="1118" customFormat="1" ht="15">
      <c r="A59" s="2125" t="s">
        <v>2059</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2041</v>
      </c>
      <c r="B60" s="1350"/>
      <c r="C60" s="1350" t="s">
        <v>2043</v>
      </c>
      <c r="D60" s="1350" t="s">
        <v>2044</v>
      </c>
      <c r="E60" s="742" t="s">
        <v>2045</v>
      </c>
      <c r="F60" s="2130" t="s">
        <v>2060</v>
      </c>
      <c r="G60" s="1350" t="s">
        <v>310</v>
      </c>
      <c r="H60" s="2131" t="s">
        <v>2047</v>
      </c>
      <c r="I60" s="1350" t="s">
        <v>2048</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38.25">
      <c r="A61" s="2129" t="s">
        <v>2061</v>
      </c>
      <c r="B61" s="2132" t="str">
        <f>估价对象房地状况!C17</f>
        <v>估价对象位于XX商圈，周边办公楼项目较多，入驻率高，办公集聚程度较好</v>
      </c>
      <c r="C61" s="2043" t="s">
        <v>3401</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6">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2050</v>
      </c>
      <c r="B62" s="2133" t="str">
        <f>估价对象房地状况!C18</f>
        <v>估价对象周边道路状况、公共交通通达情况、停车便捷程度，综合评价交通便捷度较好</v>
      </c>
      <c r="C62" s="2043" t="s">
        <v>3401</v>
      </c>
      <c r="D62" s="1064">
        <f t="shared" si="13"/>
        <v>1.67E-2</v>
      </c>
      <c r="E62" s="744"/>
      <c r="F62" s="1813"/>
      <c r="G62" s="1062">
        <v>1.67E-2</v>
      </c>
      <c r="H62" s="1065" t="str">
        <f t="shared" si="14"/>
        <v>——</v>
      </c>
      <c r="I62" s="3366">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8" t="s">
        <v>3269</v>
      </c>
      <c r="B63" s="2133">
        <f>估价对象房地状况!C19</f>
        <v>0</v>
      </c>
      <c r="C63" s="2043" t="s">
        <v>3401</v>
      </c>
      <c r="D63" s="1064">
        <f t="shared" si="13"/>
        <v>7.0000000000000001E-3</v>
      </c>
      <c r="E63" s="744"/>
      <c r="F63" s="1813"/>
      <c r="G63" s="1062">
        <v>7.0000000000000001E-3</v>
      </c>
      <c r="H63" s="1065" t="str">
        <f t="shared" si="14"/>
        <v>——</v>
      </c>
      <c r="I63" s="3366">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2051</v>
      </c>
      <c r="B64" s="2134" t="s">
        <v>2052</v>
      </c>
      <c r="C64" s="2043" t="s">
        <v>3402</v>
      </c>
      <c r="D64" s="1064">
        <f t="shared" si="13"/>
        <v>0</v>
      </c>
      <c r="E64" s="744"/>
      <c r="F64" s="1813"/>
      <c r="G64" s="1062">
        <v>3.2000000000000002E-3</v>
      </c>
      <c r="H64" s="1065" t="str">
        <f t="shared" si="14"/>
        <v>——</v>
      </c>
      <c r="I64" s="3366">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2053</v>
      </c>
      <c r="B65" s="2133">
        <f>估价对象房地状况!C24</f>
        <v>0</v>
      </c>
      <c r="C65" s="2043" t="s">
        <v>3403</v>
      </c>
      <c r="D65" s="1064">
        <f t="shared" si="13"/>
        <v>-3.2000000000000002E-3</v>
      </c>
      <c r="E65" s="744"/>
      <c r="F65" s="1813"/>
      <c r="G65" s="1062">
        <v>3.2000000000000002E-3</v>
      </c>
      <c r="H65" s="1065" t="str">
        <f t="shared" si="14"/>
        <v>——</v>
      </c>
      <c r="I65" s="3366">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2054</v>
      </c>
      <c r="B66" s="2135" t="s">
        <v>2055</v>
      </c>
      <c r="C66" s="2043" t="s">
        <v>3401</v>
      </c>
      <c r="D66" s="1064">
        <f t="shared" si="13"/>
        <v>3.8E-3</v>
      </c>
      <c r="E66" s="744"/>
      <c r="F66" s="1813"/>
      <c r="G66" s="1062">
        <v>3.8E-3</v>
      </c>
      <c r="H66" s="1065" t="str">
        <f t="shared" si="14"/>
        <v>——</v>
      </c>
      <c r="I66" s="3366">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2056</v>
      </c>
      <c r="B67" s="1325" t="str">
        <f>估价对象房地状况!C21</f>
        <v>估价对象所在区域公共配套设施齐备情况</v>
      </c>
      <c r="C67" s="2043" t="s">
        <v>3401</v>
      </c>
      <c r="D67" s="1064">
        <f t="shared" si="13"/>
        <v>3.8E-3</v>
      </c>
      <c r="E67" s="744"/>
      <c r="F67" s="1813"/>
      <c r="G67" s="1062">
        <v>3.8E-3</v>
      </c>
      <c r="H67" s="1065" t="str">
        <f t="shared" si="14"/>
        <v>——</v>
      </c>
      <c r="I67" s="3366">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2057</v>
      </c>
      <c r="B68" s="1325" t="str">
        <f>估价对象房地状况!C22</f>
        <v>估价对象所在区域基础设施水平</v>
      </c>
      <c r="C68" s="2043" t="s">
        <v>3400</v>
      </c>
      <c r="D68" s="1064">
        <f t="shared" si="13"/>
        <v>1.1599999999999999E-2</v>
      </c>
      <c r="E68" s="744"/>
      <c r="F68" s="1813"/>
      <c r="G68" s="1062">
        <v>5.7999999999999996E-3</v>
      </c>
      <c r="H68" s="1065" t="str">
        <f t="shared" si="14"/>
        <v>——</v>
      </c>
      <c r="I68" s="3366">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2058</v>
      </c>
      <c r="B69" s="2139" t="str">
        <f>估价对象房地状况!C20</f>
        <v>区域自然环境：；人文环境；综合评价环境状况一般</v>
      </c>
      <c r="C69" s="2043" t="s">
        <v>3401</v>
      </c>
      <c r="D69" s="1064">
        <f t="shared" si="13"/>
        <v>4.4999999999999997E-3</v>
      </c>
      <c r="E69" s="745"/>
      <c r="F69" s="1813"/>
      <c r="G69" s="1062">
        <v>4.4999999999999997E-3</v>
      </c>
      <c r="H69" s="1065" t="str">
        <f t="shared" si="14"/>
        <v>——</v>
      </c>
      <c r="I69" s="3367">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2062</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2041</v>
      </c>
      <c r="B71" s="1350"/>
      <c r="C71" s="1350" t="s">
        <v>2043</v>
      </c>
      <c r="D71" s="1350" t="s">
        <v>2044</v>
      </c>
      <c r="E71" s="742" t="s">
        <v>2045</v>
      </c>
      <c r="F71" s="2130" t="s">
        <v>2060</v>
      </c>
      <c r="G71" s="1350" t="s">
        <v>310</v>
      </c>
      <c r="H71" s="2131" t="s">
        <v>2047</v>
      </c>
      <c r="I71" s="1350" t="s">
        <v>2048</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51">
      <c r="A72" s="2129" t="s">
        <v>2063</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2050</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3269</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2064</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2056</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2057</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2054</v>
      </c>
      <c r="B78" s="2135" t="s">
        <v>2055</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2058</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2065</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2066</v>
      </c>
      <c r="B81" s="2126">
        <f>1+E83</f>
        <v>1.0251999999999999</v>
      </c>
      <c r="C81" s="740"/>
      <c r="D81" s="740"/>
      <c r="E81" s="741"/>
      <c r="F81" s="2128"/>
      <c r="G81" s="3"/>
      <c r="H81" s="3"/>
      <c r="I81" s="3"/>
      <c r="J81" s="4"/>
      <c r="K81" s="4"/>
      <c r="L81" s="4"/>
      <c r="M81" s="4"/>
      <c r="N81" s="4"/>
      <c r="Z81" s="1997"/>
      <c r="AA81" s="2052"/>
      <c r="AG81" s="1120"/>
      <c r="AK81" s="2052"/>
    </row>
    <row r="82" spans="1:37" ht="24.75">
      <c r="A82" s="2129" t="s">
        <v>2041</v>
      </c>
      <c r="B82" s="1350"/>
      <c r="C82" s="1350" t="s">
        <v>2043</v>
      </c>
      <c r="D82" s="1350" t="s">
        <v>2044</v>
      </c>
      <c r="E82" s="742" t="s">
        <v>2045</v>
      </c>
      <c r="F82" s="2130" t="s">
        <v>2060</v>
      </c>
      <c r="G82" s="1350" t="s">
        <v>310</v>
      </c>
      <c r="H82" s="2131" t="s">
        <v>2047</v>
      </c>
      <c r="I82" s="1350" t="s">
        <v>2048</v>
      </c>
      <c r="J82" s="552" t="s">
        <v>1719</v>
      </c>
      <c r="K82" s="552" t="s">
        <v>1720</v>
      </c>
      <c r="L82" s="552" t="s">
        <v>1721</v>
      </c>
      <c r="M82" s="552" t="s">
        <v>1722</v>
      </c>
      <c r="N82" s="552" t="s">
        <v>1723</v>
      </c>
      <c r="Z82" s="1997"/>
      <c r="AA82" s="2052"/>
      <c r="AG82" s="1120"/>
      <c r="AK82" s="2052"/>
    </row>
    <row r="83" spans="1:37" ht="38.25">
      <c r="A83" s="2129" t="s">
        <v>2067</v>
      </c>
      <c r="B83" s="2133" t="str">
        <f>估价对象房地状况!G15</f>
        <v>估价对象位于XX开发区，园区建设成熟度XX，产业集聚程度XX</v>
      </c>
      <c r="C83" s="2043" t="s">
        <v>3401</v>
      </c>
      <c r="D83" s="1064">
        <f t="shared" ref="D83:D90" si="23">SUMIF($J$82:$N$82,C83,J83:N83)</f>
        <v>6.4999999999999997E-3</v>
      </c>
      <c r="E83" s="743">
        <f>ROUND(SUM(D83:D90),4)</f>
        <v>2.52E-2</v>
      </c>
      <c r="F83" s="1813">
        <f>IF(E2="工业",SUMIF(L1:L12,G2,N1:N12),"——")</f>
        <v>0.05</v>
      </c>
      <c r="G83" s="1062">
        <f>H83</f>
        <v>6.4999999999999997E-3</v>
      </c>
      <c r="H83" s="1065">
        <f t="shared" ref="H83:H90" si="24">IFERROR(ROUNDDOWN($F$83*I83/2,4),"——")</f>
        <v>6.4999999999999997E-3</v>
      </c>
      <c r="I83" s="3366">
        <v>0.26</v>
      </c>
      <c r="J83" s="1063">
        <f t="shared" ref="J83:J90" si="25">K83+$G83</f>
        <v>1.2999999999999999E-2</v>
      </c>
      <c r="K83" s="1063">
        <f t="shared" ref="K83:K90" si="26">$L83+$G83</f>
        <v>6.4999999999999997E-3</v>
      </c>
      <c r="L83" s="1063">
        <v>0</v>
      </c>
      <c r="M83" s="1063">
        <f t="shared" ref="M83:N90" si="27">L83-$G83</f>
        <v>-6.4999999999999997E-3</v>
      </c>
      <c r="N83" s="1063">
        <f t="shared" si="27"/>
        <v>-1.2999999999999999E-2</v>
      </c>
      <c r="Z83" s="1997"/>
      <c r="AA83" s="2052"/>
      <c r="AG83" s="1120"/>
      <c r="AK83" s="2052"/>
    </row>
    <row r="84" spans="1:37" ht="38.25">
      <c r="A84" s="2129" t="s">
        <v>2050</v>
      </c>
      <c r="B84" s="2133" t="str">
        <f>估价对象房地状况!G16</f>
        <v>估价对象周边道路状况、公共交通通达情况、停车便捷程度，综合评价交通便捷度较好</v>
      </c>
      <c r="C84" s="2043" t="s">
        <v>3401</v>
      </c>
      <c r="D84" s="1064">
        <f t="shared" si="23"/>
        <v>7.4999999999999997E-3</v>
      </c>
      <c r="E84" s="746"/>
      <c r="F84" s="1813"/>
      <c r="G84" s="1062">
        <f t="shared" ref="G84:G90" si="28">H84</f>
        <v>7.4999999999999997E-3</v>
      </c>
      <c r="H84" s="1065">
        <f t="shared" si="24"/>
        <v>7.4999999999999997E-3</v>
      </c>
      <c r="I84" s="3366">
        <v>0.3</v>
      </c>
      <c r="J84" s="1063">
        <f t="shared" si="25"/>
        <v>1.4999999999999999E-2</v>
      </c>
      <c r="K84" s="1063">
        <f t="shared" si="26"/>
        <v>7.4999999999999997E-3</v>
      </c>
      <c r="L84" s="1063">
        <v>0</v>
      </c>
      <c r="M84" s="1063">
        <f t="shared" si="27"/>
        <v>-7.4999999999999997E-3</v>
      </c>
      <c r="N84" s="1063">
        <f t="shared" si="27"/>
        <v>-1.4999999999999999E-2</v>
      </c>
      <c r="Z84" s="1997"/>
      <c r="AA84" s="2052"/>
      <c r="AG84" s="1120"/>
      <c r="AK84" s="2052"/>
    </row>
    <row r="85" spans="1:37" ht="36">
      <c r="A85" s="3368" t="s">
        <v>3270</v>
      </c>
      <c r="B85" s="2133">
        <f>估价对象房地状况!G17</f>
        <v>0</v>
      </c>
      <c r="C85" s="2043" t="s">
        <v>3401</v>
      </c>
      <c r="D85" s="1064">
        <f t="shared" si="23"/>
        <v>2.5000000000000001E-3</v>
      </c>
      <c r="E85" s="746"/>
      <c r="F85" s="1813"/>
      <c r="G85" s="1062">
        <f t="shared" si="28"/>
        <v>2.5000000000000001E-3</v>
      </c>
      <c r="H85" s="1065">
        <f t="shared" si="24"/>
        <v>2.5000000000000001E-3</v>
      </c>
      <c r="I85" s="3366">
        <v>0.1</v>
      </c>
      <c r="J85" s="1063">
        <f t="shared" si="25"/>
        <v>5.0000000000000001E-3</v>
      </c>
      <c r="K85" s="1063">
        <f t="shared" si="26"/>
        <v>2.5000000000000001E-3</v>
      </c>
      <c r="L85" s="1063">
        <v>0</v>
      </c>
      <c r="M85" s="1063">
        <f t="shared" si="27"/>
        <v>-2.5000000000000001E-3</v>
      </c>
      <c r="N85" s="1063">
        <f t="shared" si="27"/>
        <v>-5.0000000000000001E-3</v>
      </c>
      <c r="Z85" s="1997"/>
      <c r="AA85" s="2052"/>
      <c r="AG85" s="1120"/>
      <c r="AK85" s="2052"/>
    </row>
    <row r="86" spans="1:37" ht="14.25">
      <c r="A86" s="2129" t="s">
        <v>2064</v>
      </c>
      <c r="B86" s="2133">
        <f>估价对象房地状况!G22</f>
        <v>0</v>
      </c>
      <c r="C86" s="2043" t="s">
        <v>3402</v>
      </c>
      <c r="D86" s="1064">
        <f t="shared" si="23"/>
        <v>0</v>
      </c>
      <c r="E86" s="746"/>
      <c r="F86" s="1813"/>
      <c r="G86" s="1062">
        <f t="shared" si="28"/>
        <v>1.1999999999999999E-3</v>
      </c>
      <c r="H86" s="1065">
        <f t="shared" si="24"/>
        <v>1.1999999999999999E-3</v>
      </c>
      <c r="I86" s="3366">
        <v>0.05</v>
      </c>
      <c r="J86" s="1063">
        <f t="shared" si="25"/>
        <v>2.3999999999999998E-3</v>
      </c>
      <c r="K86" s="1063">
        <f t="shared" si="26"/>
        <v>1.1999999999999999E-3</v>
      </c>
      <c r="L86" s="1063">
        <v>0</v>
      </c>
      <c r="M86" s="1063">
        <f t="shared" si="27"/>
        <v>-1.1999999999999999E-3</v>
      </c>
      <c r="N86" s="1063">
        <f t="shared" si="27"/>
        <v>-2.3999999999999998E-3</v>
      </c>
      <c r="Z86" s="1997"/>
      <c r="AA86" s="2052"/>
      <c r="AG86" s="1120"/>
      <c r="AK86" s="2052"/>
    </row>
    <row r="87" spans="1:37" ht="25.5">
      <c r="A87" s="2129" t="s">
        <v>2056</v>
      </c>
      <c r="B87" s="1325" t="str">
        <f>估价对象房地状况!G19</f>
        <v>估价对象所在区域公共配套设施齐备情况</v>
      </c>
      <c r="C87" s="2043" t="s">
        <v>3402</v>
      </c>
      <c r="D87" s="1064">
        <f t="shared" si="23"/>
        <v>0</v>
      </c>
      <c r="E87" s="746"/>
      <c r="F87" s="1813"/>
      <c r="G87" s="1062">
        <f t="shared" si="28"/>
        <v>1.5E-3</v>
      </c>
      <c r="H87" s="1065">
        <f t="shared" si="24"/>
        <v>1.5E-3</v>
      </c>
      <c r="I87" s="3366">
        <v>0.06</v>
      </c>
      <c r="J87" s="1063">
        <f t="shared" si="25"/>
        <v>3.0000000000000001E-3</v>
      </c>
      <c r="K87" s="1063">
        <f t="shared" si="26"/>
        <v>1.5E-3</v>
      </c>
      <c r="L87" s="1063">
        <v>0</v>
      </c>
      <c r="M87" s="1063">
        <f t="shared" si="27"/>
        <v>-1.5E-3</v>
      </c>
      <c r="N87" s="1063">
        <f t="shared" si="27"/>
        <v>-3.0000000000000001E-3</v>
      </c>
    </row>
    <row r="88" spans="1:37" ht="25.5">
      <c r="A88" s="2129" t="s">
        <v>2057</v>
      </c>
      <c r="B88" s="1325" t="str">
        <f>估价对象房地状况!G20</f>
        <v>估价对象所在区域基础设施水平</v>
      </c>
      <c r="C88" s="2043" t="s">
        <v>3400</v>
      </c>
      <c r="D88" s="1064">
        <f t="shared" si="23"/>
        <v>6.0000000000000001E-3</v>
      </c>
      <c r="E88" s="746"/>
      <c r="F88" s="1813"/>
      <c r="G88" s="1062">
        <f t="shared" si="28"/>
        <v>3.0000000000000001E-3</v>
      </c>
      <c r="H88" s="1065">
        <f t="shared" si="24"/>
        <v>3.0000000000000001E-3</v>
      </c>
      <c r="I88" s="3366">
        <v>0.12</v>
      </c>
      <c r="J88" s="1063">
        <f t="shared" si="25"/>
        <v>6.0000000000000001E-3</v>
      </c>
      <c r="K88" s="1063">
        <f t="shared" si="26"/>
        <v>3.0000000000000001E-3</v>
      </c>
      <c r="L88" s="1063">
        <v>0</v>
      </c>
      <c r="M88" s="1063">
        <f t="shared" si="27"/>
        <v>-3.0000000000000001E-3</v>
      </c>
      <c r="N88" s="1063">
        <f t="shared" si="27"/>
        <v>-6.0000000000000001E-3</v>
      </c>
    </row>
    <row r="89" spans="1:37" ht="24">
      <c r="A89" s="2129" t="s">
        <v>2054</v>
      </c>
      <c r="B89" s="2135" t="s">
        <v>2068</v>
      </c>
      <c r="C89" s="2043" t="s">
        <v>3401</v>
      </c>
      <c r="D89" s="1064">
        <f t="shared" si="23"/>
        <v>1.5E-3</v>
      </c>
      <c r="E89" s="746"/>
      <c r="F89" s="1813"/>
      <c r="G89" s="1062">
        <f t="shared" si="28"/>
        <v>1.5E-3</v>
      </c>
      <c r="H89" s="1065">
        <f t="shared" si="24"/>
        <v>1.5E-3</v>
      </c>
      <c r="I89" s="3366">
        <v>0.06</v>
      </c>
      <c r="J89" s="1063">
        <f t="shared" si="25"/>
        <v>3.0000000000000001E-3</v>
      </c>
      <c r="K89" s="1063">
        <f t="shared" si="26"/>
        <v>1.5E-3</v>
      </c>
      <c r="L89" s="1063">
        <v>0</v>
      </c>
      <c r="M89" s="1063">
        <f t="shared" si="27"/>
        <v>-1.5E-3</v>
      </c>
      <c r="N89" s="1063">
        <f t="shared" si="27"/>
        <v>-3.0000000000000001E-3</v>
      </c>
    </row>
    <row r="90" spans="1:37" ht="39" thickBot="1">
      <c r="A90" s="2137" t="s">
        <v>2069</v>
      </c>
      <c r="B90" s="2142" t="str">
        <f>估价对象房地状况!G18</f>
        <v>该园区内是否有污染型企业，绿化情况，卫生条件，整体环境状况判断</v>
      </c>
      <c r="C90" s="2043" t="s">
        <v>3401</v>
      </c>
      <c r="D90" s="1064">
        <f t="shared" si="23"/>
        <v>1.1999999999999999E-3</v>
      </c>
      <c r="E90" s="747"/>
      <c r="F90" s="1813"/>
      <c r="G90" s="1062">
        <f t="shared" si="28"/>
        <v>1.1999999999999999E-3</v>
      </c>
      <c r="H90" s="1065">
        <f t="shared" si="24"/>
        <v>1.1999999999999999E-3</v>
      </c>
      <c r="I90" s="3367">
        <v>0.05</v>
      </c>
      <c r="J90" s="1063">
        <f t="shared" si="25"/>
        <v>2.3999999999999998E-3</v>
      </c>
      <c r="K90" s="1063">
        <f t="shared" si="26"/>
        <v>1.1999999999999999E-3</v>
      </c>
      <c r="L90" s="1063">
        <v>0</v>
      </c>
      <c r="M90" s="1063">
        <f t="shared" si="27"/>
        <v>-1.1999999999999999E-3</v>
      </c>
      <c r="N90" s="1063">
        <f t="shared" si="27"/>
        <v>-2.3999999999999998E-3</v>
      </c>
    </row>
    <row r="91" spans="1:37" ht="15">
      <c r="A91" s="3376" t="s">
        <v>2613</v>
      </c>
      <c r="B91" s="3377">
        <f>1+E93</f>
        <v>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3273</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3269</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3274</v>
      </c>
      <c r="B96" s="3384" t="s">
        <v>3285</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3275</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3276</v>
      </c>
      <c r="B98" s="3385" t="s">
        <v>3286</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3277</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3278</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3279</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786" t="s">
        <v>3294</v>
      </c>
      <c r="B103" s="3786"/>
      <c r="C103" s="3786"/>
      <c r="D103" s="3786"/>
      <c r="E103" s="3786"/>
      <c r="F103" s="3786"/>
      <c r="G103" s="3786"/>
      <c r="H103" s="3786"/>
      <c r="I103" s="3786"/>
      <c r="J103" s="3786"/>
      <c r="K103" s="3389"/>
      <c r="L103" s="3389"/>
      <c r="M103" s="3389"/>
      <c r="N103" s="3389"/>
    </row>
    <row r="104" spans="1:14">
      <c r="A104" s="3787" t="s">
        <v>3295</v>
      </c>
      <c r="B104" s="3787" t="s">
        <v>3296</v>
      </c>
      <c r="C104" s="3390" t="s">
        <v>3297</v>
      </c>
      <c r="D104" s="3391"/>
      <c r="E104" s="3391"/>
      <c r="F104" s="3391"/>
      <c r="G104" s="3391"/>
      <c r="H104" s="3391"/>
      <c r="I104" s="3391"/>
      <c r="J104" s="3392"/>
      <c r="K104" s="3393"/>
      <c r="L104" s="3393"/>
      <c r="M104" s="3393"/>
      <c r="N104" s="3393"/>
    </row>
    <row r="105" spans="1:14">
      <c r="A105" s="3787"/>
      <c r="B105" s="3787"/>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73"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4"/>
      <c r="B111" s="3394" t="s">
        <v>3268</v>
      </c>
      <c r="C111" s="3395">
        <f>$I$3</f>
        <v>1</v>
      </c>
      <c r="D111" s="3395">
        <f t="shared" ref="D111:M111" si="34">$I$3</f>
        <v>1</v>
      </c>
      <c r="E111" s="3395">
        <f t="shared" si="34"/>
        <v>1</v>
      </c>
      <c r="F111" s="3395">
        <f t="shared" si="34"/>
        <v>1</v>
      </c>
      <c r="G111" s="3395">
        <f t="shared" si="34"/>
        <v>1</v>
      </c>
      <c r="H111" s="3395">
        <f t="shared" si="34"/>
        <v>1</v>
      </c>
      <c r="I111" s="3395">
        <f t="shared" si="34"/>
        <v>1</v>
      </c>
      <c r="J111" s="3395">
        <f t="shared" si="34"/>
        <v>1</v>
      </c>
      <c r="K111" s="3395">
        <f t="shared" si="34"/>
        <v>1</v>
      </c>
      <c r="L111" s="3395">
        <f t="shared" si="34"/>
        <v>1</v>
      </c>
      <c r="M111" s="3395">
        <f t="shared" si="34"/>
        <v>1</v>
      </c>
      <c r="N111" s="3395">
        <f>$I$3</f>
        <v>1</v>
      </c>
    </row>
    <row r="112" spans="1:14">
      <c r="A112" s="3775"/>
      <c r="B112" s="3394">
        <v>6</v>
      </c>
      <c r="C112" s="3387">
        <f>(-0.5556*(C111^2)-0.2719*C111+8944)*(10^(-4))</f>
        <v>0.89431725000000006</v>
      </c>
      <c r="D112" s="3387">
        <f>(-0.5556*(D111^2)-0.2719*D111+8944)*(10^(-4))</f>
        <v>0.89431725000000006</v>
      </c>
      <c r="E112" s="3387">
        <f>(-0.7912*(E111^2)-11.3794*E111+8482)*(10^(-4))</f>
        <v>0.84698294000000007</v>
      </c>
      <c r="F112" s="3387">
        <f t="shared" ref="F112:I112" si="35">(-0.7912*(F111^2)-11.3794*F111+8482)*(10^(-4))</f>
        <v>0.84698294000000007</v>
      </c>
      <c r="G112" s="3387">
        <f t="shared" si="35"/>
        <v>0.84698294000000007</v>
      </c>
      <c r="H112" s="3387">
        <f t="shared" si="35"/>
        <v>0.84698294000000007</v>
      </c>
      <c r="I112" s="3387">
        <f t="shared" si="35"/>
        <v>0.84698294000000007</v>
      </c>
      <c r="J112" s="3387">
        <f>(-0.989*(J111^2)-63.78*J111+7771)*(10^(-4))</f>
        <v>0.77062310000000001</v>
      </c>
      <c r="K112" s="3387">
        <f t="shared" ref="K112:N112" si="36">(-0.989*(K111^2)-63.78*K111+7771)*(10^(-4))</f>
        <v>0.77062310000000001</v>
      </c>
      <c r="L112" s="3387">
        <f t="shared" si="36"/>
        <v>0.77062310000000001</v>
      </c>
      <c r="M112" s="3387">
        <f t="shared" si="36"/>
        <v>0.77062310000000001</v>
      </c>
      <c r="N112" s="3387">
        <f t="shared" si="36"/>
        <v>0.77062310000000001</v>
      </c>
    </row>
    <row r="113" spans="1:14">
      <c r="A113" s="3776" t="s">
        <v>3311</v>
      </c>
      <c r="B113" s="3776"/>
      <c r="C113" s="3776"/>
      <c r="D113" s="3776"/>
      <c r="E113" s="3776"/>
      <c r="F113" s="3776"/>
      <c r="G113" s="3776"/>
      <c r="H113" s="3776"/>
      <c r="I113" s="3776"/>
      <c r="J113" s="377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1.5</v>
      </c>
      <c r="C116" s="3399" t="s">
        <v>3313</v>
      </c>
      <c r="D116" s="3400">
        <f>SUMPRODUCT((A118:A122=F116)*(B117:M117=H116)*B118:M122)</f>
        <v>0.63419999999999999</v>
      </c>
      <c r="E116" s="1999" t="s">
        <v>3314</v>
      </c>
      <c r="F116" s="3401" t="str">
        <f>E2</f>
        <v>工业</v>
      </c>
      <c r="G116" s="1999" t="s">
        <v>3315</v>
      </c>
      <c r="H116" s="3401" t="str">
        <f>G2</f>
        <v>六级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0.98029999999999995</v>
      </c>
      <c r="C118" s="3387">
        <f>B118</f>
        <v>0.98029999999999995</v>
      </c>
      <c r="D118" s="3387">
        <f>ROUND(0.949-0.014*B116,4)</f>
        <v>0.92800000000000005</v>
      </c>
      <c r="E118" s="3387">
        <f>D118</f>
        <v>0.92800000000000005</v>
      </c>
      <c r="F118" s="3387">
        <f>E118</f>
        <v>0.92800000000000005</v>
      </c>
      <c r="G118" s="3387">
        <f>F118</f>
        <v>0.92800000000000005</v>
      </c>
      <c r="H118" s="3387">
        <f>G118</f>
        <v>0.92800000000000005</v>
      </c>
      <c r="I118" s="3387">
        <f>ROUND(0.8486-0.018*B116,4)</f>
        <v>0.8216</v>
      </c>
      <c r="J118" s="3387">
        <f t="shared" ref="J118:M122" si="37">I118</f>
        <v>0.8216</v>
      </c>
      <c r="K118" s="3387">
        <f t="shared" si="37"/>
        <v>0.8216</v>
      </c>
      <c r="L118" s="3387">
        <f t="shared" si="37"/>
        <v>0.8216</v>
      </c>
      <c r="M118" s="3410">
        <f t="shared" si="37"/>
        <v>0.8216</v>
      </c>
      <c r="N118" s="3397"/>
    </row>
    <row r="119" spans="1:14">
      <c r="A119" s="3409" t="s">
        <v>3329</v>
      </c>
      <c r="B119" s="3387">
        <f>ROUND(0.993-0.0112*B116,4)</f>
        <v>0.97619999999999996</v>
      </c>
      <c r="C119" s="3387">
        <f>B119</f>
        <v>0.97619999999999996</v>
      </c>
      <c r="D119" s="3387">
        <f>ROUND(0.9415-0.0142*B116,4)</f>
        <v>0.92020000000000002</v>
      </c>
      <c r="E119" s="3387">
        <f t="shared" ref="E119:H120" si="38">D119</f>
        <v>0.92020000000000002</v>
      </c>
      <c r="F119" s="3387">
        <f t="shared" si="38"/>
        <v>0.92020000000000002</v>
      </c>
      <c r="G119" s="3387">
        <f t="shared" si="38"/>
        <v>0.92020000000000002</v>
      </c>
      <c r="H119" s="3387">
        <f t="shared" si="38"/>
        <v>0.92020000000000002</v>
      </c>
      <c r="I119" s="3387">
        <f>ROUND(0.838-0.0182*B116,4)</f>
        <v>0.81069999999999998</v>
      </c>
      <c r="J119" s="3387">
        <f t="shared" si="37"/>
        <v>0.81069999999999998</v>
      </c>
      <c r="K119" s="3387">
        <f t="shared" si="37"/>
        <v>0.81069999999999998</v>
      </c>
      <c r="L119" s="3387">
        <f t="shared" si="37"/>
        <v>0.81069999999999998</v>
      </c>
      <c r="M119" s="3410">
        <f t="shared" si="37"/>
        <v>0.81069999999999998</v>
      </c>
      <c r="N119" s="3397"/>
    </row>
    <row r="120" spans="1:14">
      <c r="A120" s="3409" t="s">
        <v>3330</v>
      </c>
      <c r="B120" s="3387">
        <f>ROUND(0.9448-0.0115*B116,4)</f>
        <v>0.92759999999999998</v>
      </c>
      <c r="C120" s="3387">
        <f>B120</f>
        <v>0.92759999999999998</v>
      </c>
      <c r="D120" s="3387">
        <f>ROUND(0.937-0.0145*B116,4)</f>
        <v>0.9153</v>
      </c>
      <c r="E120" s="3387">
        <f t="shared" si="38"/>
        <v>0.9153</v>
      </c>
      <c r="F120" s="3387">
        <f t="shared" si="38"/>
        <v>0.9153</v>
      </c>
      <c r="G120" s="3387">
        <f t="shared" si="38"/>
        <v>0.9153</v>
      </c>
      <c r="H120" s="3387">
        <f t="shared" si="38"/>
        <v>0.9153</v>
      </c>
      <c r="I120" s="3387">
        <f>ROUND(0.7965-0.0185*B116,4)</f>
        <v>0.76880000000000004</v>
      </c>
      <c r="J120" s="3387">
        <f t="shared" si="37"/>
        <v>0.76880000000000004</v>
      </c>
      <c r="K120" s="3387">
        <f t="shared" si="37"/>
        <v>0.76880000000000004</v>
      </c>
      <c r="L120" s="3387">
        <f t="shared" si="37"/>
        <v>0.76880000000000004</v>
      </c>
      <c r="M120" s="3410">
        <f t="shared" si="37"/>
        <v>0.76880000000000004</v>
      </c>
      <c r="N120" s="3397"/>
    </row>
    <row r="121" spans="1:14" ht="13.5" thickBot="1">
      <c r="A121" s="3411" t="s">
        <v>3331</v>
      </c>
      <c r="B121" s="3412">
        <f>ROUND(0.7836-0.012*B116,4)</f>
        <v>0.76559999999999995</v>
      </c>
      <c r="C121" s="3412">
        <f>B121</f>
        <v>0.76559999999999995</v>
      </c>
      <c r="D121" s="3412">
        <f>ROUND(0.753-0.015*B116,4)</f>
        <v>0.73050000000000004</v>
      </c>
      <c r="E121" s="3412">
        <f>D121</f>
        <v>0.73050000000000004</v>
      </c>
      <c r="F121" s="3412">
        <f>E121</f>
        <v>0.73050000000000004</v>
      </c>
      <c r="G121" s="3412">
        <f>ROUND(0.6612-0.018*B116,4)</f>
        <v>0.63419999999999999</v>
      </c>
      <c r="H121" s="3412">
        <f>G121</f>
        <v>0.63419999999999999</v>
      </c>
      <c r="I121" s="3412">
        <f>ROUND(0.5905-0.019*B116,4)</f>
        <v>0.56200000000000006</v>
      </c>
      <c r="J121" s="3412">
        <f t="shared" si="37"/>
        <v>0.56200000000000006</v>
      </c>
      <c r="K121" s="3412">
        <f t="shared" si="37"/>
        <v>0.56200000000000006</v>
      </c>
      <c r="L121" s="3412">
        <f t="shared" si="37"/>
        <v>0.56200000000000006</v>
      </c>
      <c r="M121" s="3413">
        <f t="shared" si="37"/>
        <v>0.56200000000000006</v>
      </c>
      <c r="N121" s="3397"/>
    </row>
    <row r="122" spans="1:14">
      <c r="A122" s="3414" t="s">
        <v>2613</v>
      </c>
      <c r="B122" s="3387">
        <f>ROUND(0.9404-0.0106*B116,4)</f>
        <v>0.92449999999999999</v>
      </c>
      <c r="C122" s="3387">
        <f>B122</f>
        <v>0.92449999999999999</v>
      </c>
      <c r="D122" s="3387">
        <f>ROUND(0.8955-0.0135*B116,4)</f>
        <v>0.87529999999999997</v>
      </c>
      <c r="E122" s="3387">
        <f t="shared" ref="E122:H122" si="39">D122</f>
        <v>0.87529999999999997</v>
      </c>
      <c r="F122" s="3387">
        <f t="shared" si="39"/>
        <v>0.87529999999999997</v>
      </c>
      <c r="G122" s="3387">
        <f t="shared" si="39"/>
        <v>0.87529999999999997</v>
      </c>
      <c r="H122" s="3387">
        <f t="shared" si="39"/>
        <v>0.87529999999999997</v>
      </c>
      <c r="I122" s="3387">
        <f>ROUND(0.7632-0.0166*B116,4)</f>
        <v>0.73829999999999996</v>
      </c>
      <c r="J122" s="3387">
        <f t="shared" si="37"/>
        <v>0.73829999999999996</v>
      </c>
      <c r="K122" s="3387">
        <f t="shared" si="37"/>
        <v>0.73829999999999996</v>
      </c>
      <c r="L122" s="3387">
        <f t="shared" si="37"/>
        <v>0.73829999999999996</v>
      </c>
      <c r="M122" s="3410">
        <f t="shared" si="37"/>
        <v>0.73829999999999996</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5" priority="6" stopIfTrue="1" operator="notEqual">
      <formula>"——"</formula>
    </cfRule>
  </conditionalFormatting>
  <conditionalFormatting sqref="F61">
    <cfRule type="cellIs" dxfId="44" priority="5" stopIfTrue="1" operator="notEqual">
      <formula>"——"</formula>
    </cfRule>
  </conditionalFormatting>
  <conditionalFormatting sqref="F72">
    <cfRule type="cellIs" dxfId="43" priority="4" stopIfTrue="1" operator="notEqual">
      <formula>"——"</formula>
    </cfRule>
  </conditionalFormatting>
  <conditionalFormatting sqref="F83">
    <cfRule type="cellIs" dxfId="42" priority="3" stopIfTrue="1" operator="notEqual">
      <formula>"——"</formula>
    </cfRule>
  </conditionalFormatting>
  <conditionalFormatting sqref="H50:H58 H61:H69 H72:H80 H83:H91">
    <cfRule type="cellIs" dxfId="41" priority="2" operator="notEqual">
      <formula>"——"</formula>
    </cfRule>
  </conditionalFormatting>
  <conditionalFormatting sqref="H93:H101">
    <cfRule type="cellIs" dxfId="4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zoomScaleSheetLayoutView="100" workbookViewId="0">
      <selection activeCell="J17" sqref="J1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2">
        <f>'数据-汇总表'!E19</f>
        <v>2389.2399999999998</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1767</v>
      </c>
      <c r="B4" s="356"/>
      <c r="C4" s="3705" t="s">
        <v>1768</v>
      </c>
      <c r="D4" s="3706"/>
      <c r="E4" s="3707" t="s">
        <v>1769</v>
      </c>
      <c r="F4" s="3708"/>
      <c r="G4" s="3705" t="s">
        <v>1770</v>
      </c>
      <c r="H4" s="3706"/>
      <c r="I4" s="3705" t="s">
        <v>1771</v>
      </c>
      <c r="J4" s="3706"/>
      <c r="K4" s="559" t="s">
        <v>1772</v>
      </c>
      <c r="L4" s="2714"/>
      <c r="M4" s="2715"/>
      <c r="N4" s="2715"/>
      <c r="O4" s="2715"/>
      <c r="P4" s="3709" t="s">
        <v>1773</v>
      </c>
      <c r="Q4" s="3710"/>
      <c r="R4" s="3715" t="s">
        <v>1769</v>
      </c>
      <c r="S4" s="3716"/>
      <c r="T4" s="3715" t="s">
        <v>1770</v>
      </c>
      <c r="U4" s="3716"/>
      <c r="V4" s="3700" t="s">
        <v>1771</v>
      </c>
      <c r="W4" s="3700"/>
      <c r="X4" s="1354"/>
      <c r="Y4" s="3715" t="s">
        <v>1773</v>
      </c>
      <c r="Z4" s="3716"/>
      <c r="AA4" s="3702" t="s">
        <v>1769</v>
      </c>
      <c r="AB4" s="3703" t="s">
        <v>1770</v>
      </c>
      <c r="AC4" s="3702" t="s">
        <v>1771</v>
      </c>
    </row>
    <row r="5" spans="1:29" ht="15">
      <c r="A5" s="358"/>
      <c r="B5" s="359"/>
      <c r="C5" s="3723" t="s">
        <v>1671</v>
      </c>
      <c r="D5" s="3724"/>
      <c r="E5" s="3730">
        <f>案例信息!A3</f>
        <v>0</v>
      </c>
      <c r="F5" s="3731"/>
      <c r="G5" s="3723">
        <f>案例信息!A4</f>
        <v>0</v>
      </c>
      <c r="H5" s="3724"/>
      <c r="I5" s="3723">
        <f>案例信息!A5</f>
        <v>0</v>
      </c>
      <c r="J5" s="3724"/>
      <c r="K5" s="559"/>
      <c r="L5" s="2714"/>
      <c r="M5" s="2715"/>
      <c r="N5" s="2715"/>
      <c r="O5" s="2715"/>
      <c r="P5" s="3711"/>
      <c r="Q5" s="3712"/>
      <c r="R5" s="3717"/>
      <c r="S5" s="3718"/>
      <c r="T5" s="3717"/>
      <c r="U5" s="3718"/>
      <c r="V5" s="3700"/>
      <c r="W5" s="3700"/>
      <c r="X5" s="1354"/>
      <c r="Y5" s="3717"/>
      <c r="Z5" s="3718"/>
      <c r="AA5" s="3703"/>
      <c r="AB5" s="3703"/>
      <c r="AC5" s="3703"/>
    </row>
    <row r="6" spans="1:29" ht="15.75" thickBot="1">
      <c r="A6" s="360"/>
      <c r="B6" s="361"/>
      <c r="C6" s="3792" t="s">
        <v>1917</v>
      </c>
      <c r="D6" s="3793"/>
      <c r="E6" s="3794" t="s">
        <v>1917</v>
      </c>
      <c r="F6" s="3795"/>
      <c r="G6" s="3792" t="s">
        <v>1917</v>
      </c>
      <c r="H6" s="3793"/>
      <c r="I6" s="3792" t="s">
        <v>1917</v>
      </c>
      <c r="J6" s="3793"/>
      <c r="K6" s="559" t="s">
        <v>1676</v>
      </c>
      <c r="L6" s="2714"/>
      <c r="M6" s="2715"/>
      <c r="N6" s="2715"/>
      <c r="O6" s="2715"/>
      <c r="P6" s="3713"/>
      <c r="Q6" s="3714"/>
      <c r="R6" s="3717"/>
      <c r="S6" s="3718"/>
      <c r="T6" s="3719"/>
      <c r="U6" s="3720"/>
      <c r="V6" s="3700"/>
      <c r="W6" s="3700"/>
      <c r="X6" s="1354"/>
      <c r="Y6" s="3719"/>
      <c r="Z6" s="3720"/>
      <c r="AA6" s="3704"/>
      <c r="AB6" s="3704"/>
      <c r="AC6" s="3704"/>
    </row>
    <row r="7" spans="1:29" s="108" customFormat="1" ht="15.75" thickBot="1">
      <c r="A7" s="362" t="s">
        <v>1677</v>
      </c>
      <c r="B7" s="363"/>
      <c r="C7" s="364">
        <f>'数据-取费表'!B2</f>
        <v>45449</v>
      </c>
      <c r="D7" s="365">
        <v>100</v>
      </c>
      <c r="E7" s="366">
        <f>案例信息!K3</f>
        <v>0</v>
      </c>
      <c r="F7" s="367">
        <f>SUMIF(65:65,YEAR(E7)&amp;"-"&amp;INT((MONTH(E7)+2)/3),66:66)</f>
        <v>0</v>
      </c>
      <c r="G7" s="1973">
        <f>案例信息!K4</f>
        <v>0</v>
      </c>
      <c r="H7" s="365">
        <f>SUMIF(65:65,YEAR(G7)&amp;"-"&amp;INT((MONTH(G7)+2)/3),66:66)</f>
        <v>0</v>
      </c>
      <c r="I7" s="1973">
        <f>案例信息!K5</f>
        <v>0</v>
      </c>
      <c r="J7" s="365">
        <f>SUMIF(65:65,YEAR(I7)&amp;"-"&amp;INT((MONTH(I7)+2)/3),66:66)</f>
        <v>0</v>
      </c>
      <c r="K7" s="560"/>
      <c r="L7" s="2716"/>
      <c r="M7" s="2717"/>
      <c r="N7" s="2717"/>
      <c r="O7" s="2717"/>
      <c r="P7" s="3725" t="s">
        <v>1678</v>
      </c>
      <c r="Q7" s="3727"/>
      <c r="R7" s="700" t="s">
        <v>14</v>
      </c>
      <c r="S7" s="701">
        <f t="shared" ref="S7:S15" si="0">F7</f>
        <v>0</v>
      </c>
      <c r="T7" s="700" t="s">
        <v>14</v>
      </c>
      <c r="U7" s="701">
        <f t="shared" ref="U7:U15" si="1">H7</f>
        <v>0</v>
      </c>
      <c r="V7" s="700" t="s">
        <v>14</v>
      </c>
      <c r="W7" s="701">
        <f t="shared" ref="W7:W15" si="2">J7</f>
        <v>0</v>
      </c>
      <c r="X7" s="702"/>
      <c r="Y7" s="3725" t="s">
        <v>1678</v>
      </c>
      <c r="Z7" s="3726"/>
      <c r="AA7" s="703" t="e">
        <f>D7/F7</f>
        <v>#DIV/0!</v>
      </c>
      <c r="AB7" s="703" t="e">
        <f>D7/H7</f>
        <v>#DIV/0!</v>
      </c>
      <c r="AC7" s="703" t="e">
        <f>D7/J7</f>
        <v>#DIV/0!</v>
      </c>
    </row>
    <row r="8" spans="1:29" s="108" customFormat="1" ht="15.75" thickBot="1">
      <c r="A8" s="362" t="s">
        <v>1679</v>
      </c>
      <c r="B8" s="363"/>
      <c r="C8" s="368" t="s">
        <v>1680</v>
      </c>
      <c r="D8" s="365">
        <v>100</v>
      </c>
      <c r="E8" s="368" t="s">
        <v>1680</v>
      </c>
      <c r="F8" s="367">
        <f>SUMIF(68:68,E8,69:69)-SUMIF(68:68,C8,69:69)+100</f>
        <v>100</v>
      </c>
      <c r="G8" s="368" t="s">
        <v>1680</v>
      </c>
      <c r="H8" s="365">
        <f>SUMIF(68:68,G8,69:69)-SUMIF(68:68,C8,69:69)+100</f>
        <v>100</v>
      </c>
      <c r="I8" s="368" t="s">
        <v>1680</v>
      </c>
      <c r="J8" s="365">
        <f>SUMIF(68:68,I8,69:69)-SUMIF(68:68,C8,69:69)+100</f>
        <v>100</v>
      </c>
      <c r="K8" s="560"/>
      <c r="L8" s="2716"/>
      <c r="M8" s="2717"/>
      <c r="N8" s="2717"/>
      <c r="O8" s="2717"/>
      <c r="P8" s="3725" t="s">
        <v>1681</v>
      </c>
      <c r="Q8" s="3726"/>
      <c r="R8" s="700" t="s">
        <v>14</v>
      </c>
      <c r="S8" s="701">
        <f t="shared" si="0"/>
        <v>100</v>
      </c>
      <c r="T8" s="700" t="s">
        <v>14</v>
      </c>
      <c r="U8" s="701">
        <f t="shared" si="1"/>
        <v>100</v>
      </c>
      <c r="V8" s="700" t="s">
        <v>14</v>
      </c>
      <c r="W8" s="701">
        <f t="shared" si="2"/>
        <v>100</v>
      </c>
      <c r="X8" s="702"/>
      <c r="Y8" s="3725" t="s">
        <v>1681</v>
      </c>
      <c r="Z8" s="3726"/>
      <c r="AA8" s="703">
        <f t="shared" ref="AA8:AA40" si="3">D8/F8</f>
        <v>1</v>
      </c>
      <c r="AB8" s="703">
        <f t="shared" ref="AB8:AB40" si="4">D8/H8</f>
        <v>1</v>
      </c>
      <c r="AC8" s="703">
        <f t="shared" ref="AC8:AC40" si="5">D8/J8</f>
        <v>1</v>
      </c>
    </row>
    <row r="9" spans="1:29" s="108" customFormat="1">
      <c r="A9" s="369" t="s">
        <v>1682</v>
      </c>
      <c r="B9" s="63" t="s">
        <v>1683</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686" t="s">
        <v>1684</v>
      </c>
      <c r="Q9" s="1342" t="str">
        <f t="shared" ref="Q9:Q15" si="6">B9</f>
        <v>用途</v>
      </c>
      <c r="R9" s="700" t="s">
        <v>14</v>
      </c>
      <c r="S9" s="701">
        <f t="shared" si="0"/>
        <v>100</v>
      </c>
      <c r="T9" s="700" t="s">
        <v>14</v>
      </c>
      <c r="U9" s="701">
        <f t="shared" si="1"/>
        <v>100</v>
      </c>
      <c r="V9" s="700" t="s">
        <v>14</v>
      </c>
      <c r="W9" s="701">
        <f t="shared" si="2"/>
        <v>100</v>
      </c>
      <c r="X9" s="702"/>
      <c r="Y9" s="3585"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110</v>
      </c>
      <c r="G10" s="383"/>
      <c r="H10" s="127">
        <f>ROUND(100/'数据-取费表'!G16,0)</f>
        <v>110</v>
      </c>
      <c r="I10" s="383"/>
      <c r="J10" s="127">
        <f>ROUND(100/'数据-取费表'!G16,0)</f>
        <v>110</v>
      </c>
      <c r="K10" s="619"/>
      <c r="L10" s="2718"/>
      <c r="M10" s="2719"/>
      <c r="N10" s="2719"/>
      <c r="O10" s="2772"/>
      <c r="P10" s="3686"/>
      <c r="Q10" s="1342" t="str">
        <f t="shared" si="6"/>
        <v>土地使用年限（年）</v>
      </c>
      <c r="R10" s="700" t="s">
        <v>14</v>
      </c>
      <c r="S10" s="701">
        <f t="shared" si="0"/>
        <v>110</v>
      </c>
      <c r="T10" s="700" t="s">
        <v>14</v>
      </c>
      <c r="U10" s="701">
        <f t="shared" si="1"/>
        <v>110</v>
      </c>
      <c r="V10" s="700" t="s">
        <v>14</v>
      </c>
      <c r="W10" s="701">
        <f t="shared" si="2"/>
        <v>110</v>
      </c>
      <c r="X10" s="702"/>
      <c r="Y10" s="3585"/>
      <c r="Z10" s="52" t="str">
        <f t="shared" si="7"/>
        <v>土地使用年限（年）</v>
      </c>
      <c r="AA10" s="703">
        <f t="shared" si="3"/>
        <v>0.90909090909090906</v>
      </c>
      <c r="AB10" s="703">
        <f t="shared" si="4"/>
        <v>0.90909090909090906</v>
      </c>
      <c r="AC10" s="703">
        <f t="shared" si="5"/>
        <v>0.90909090909090906</v>
      </c>
    </row>
    <row r="11" spans="1:29" ht="15">
      <c r="A11" s="379"/>
      <c r="B11" s="375" t="s">
        <v>1687</v>
      </c>
      <c r="C11" s="380" t="e">
        <f>'数据-汇总表'!I5</f>
        <v>#DIV/0!</v>
      </c>
      <c r="D11" s="127">
        <v>100</v>
      </c>
      <c r="E11" s="380">
        <v>1</v>
      </c>
      <c r="F11" s="127" t="e">
        <f>LOOKUP(E11,75:75,76:76)-LOOKUP(C11,75:75,76:76)+100</f>
        <v>#DIV/0!</v>
      </c>
      <c r="G11" s="381">
        <v>1</v>
      </c>
      <c r="H11" s="127" t="e">
        <f>LOOKUP(G11,75:75,76:76)-LOOKUP(C11,75:75,76:76)+100</f>
        <v>#DIV/0!</v>
      </c>
      <c r="I11" s="380">
        <v>1</v>
      </c>
      <c r="J11" s="127" t="e">
        <f>LOOKUP(I11,75:75,76:76)-LOOKUP(C11,75:75,76:76)+100</f>
        <v>#DIV/0!</v>
      </c>
      <c r="K11" s="620">
        <v>1</v>
      </c>
      <c r="L11" s="2720"/>
      <c r="M11" s="2715"/>
      <c r="N11" s="2715"/>
      <c r="O11" s="2773"/>
      <c r="P11" s="3686"/>
      <c r="Q11" s="1342" t="str">
        <f t="shared" si="6"/>
        <v>容积率</v>
      </c>
      <c r="R11" s="700" t="s">
        <v>14</v>
      </c>
      <c r="S11" s="701" t="e">
        <f t="shared" si="0"/>
        <v>#DIV/0!</v>
      </c>
      <c r="T11" s="700" t="s">
        <v>14</v>
      </c>
      <c r="U11" s="701" t="e">
        <f t="shared" si="1"/>
        <v>#DIV/0!</v>
      </c>
      <c r="V11" s="700" t="s">
        <v>14</v>
      </c>
      <c r="W11" s="701" t="e">
        <f t="shared" si="2"/>
        <v>#DIV/0!</v>
      </c>
      <c r="X11" s="702"/>
      <c r="Y11" s="3585"/>
      <c r="Z11" s="52" t="str">
        <f t="shared" si="7"/>
        <v>容积率</v>
      </c>
      <c r="AA11" s="703" t="e">
        <f t="shared" si="3"/>
        <v>#DIV/0!</v>
      </c>
      <c r="AB11" s="703" t="e">
        <f t="shared" si="4"/>
        <v>#DIV/0!</v>
      </c>
      <c r="AC11" s="703" t="e">
        <f t="shared" si="5"/>
        <v>#DIV/0!</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86"/>
      <c r="Q12" s="1342">
        <f t="shared" si="6"/>
        <v>111</v>
      </c>
      <c r="R12" s="700" t="s">
        <v>14</v>
      </c>
      <c r="S12" s="701">
        <f t="shared" si="0"/>
        <v>100</v>
      </c>
      <c r="T12" s="700" t="s">
        <v>14</v>
      </c>
      <c r="U12" s="701">
        <f t="shared" si="1"/>
        <v>100</v>
      </c>
      <c r="V12" s="700" t="s">
        <v>14</v>
      </c>
      <c r="W12" s="701">
        <f t="shared" si="2"/>
        <v>100</v>
      </c>
      <c r="X12" s="702"/>
      <c r="Y12" s="3585"/>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86"/>
      <c r="Q13" s="1342">
        <f t="shared" si="6"/>
        <v>111</v>
      </c>
      <c r="R13" s="700" t="s">
        <v>14</v>
      </c>
      <c r="S13" s="701">
        <f t="shared" si="0"/>
        <v>100</v>
      </c>
      <c r="T13" s="700" t="s">
        <v>14</v>
      </c>
      <c r="U13" s="701">
        <f t="shared" si="1"/>
        <v>100</v>
      </c>
      <c r="V13" s="700" t="s">
        <v>14</v>
      </c>
      <c r="W13" s="701">
        <f t="shared" si="2"/>
        <v>100</v>
      </c>
      <c r="X13" s="702"/>
      <c r="Y13" s="3585"/>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86"/>
      <c r="Q14" s="1342">
        <f t="shared" si="6"/>
        <v>111</v>
      </c>
      <c r="R14" s="700" t="s">
        <v>14</v>
      </c>
      <c r="S14" s="701">
        <f t="shared" si="0"/>
        <v>100</v>
      </c>
      <c r="T14" s="700" t="s">
        <v>14</v>
      </c>
      <c r="U14" s="701">
        <f t="shared" si="1"/>
        <v>100</v>
      </c>
      <c r="V14" s="700" t="s">
        <v>14</v>
      </c>
      <c r="W14" s="701">
        <f t="shared" si="2"/>
        <v>100</v>
      </c>
      <c r="X14" s="702"/>
      <c r="Y14" s="3585"/>
      <c r="Z14" s="52">
        <f t="shared" si="7"/>
        <v>111</v>
      </c>
      <c r="AA14" s="703">
        <f t="shared" si="3"/>
        <v>1</v>
      </c>
      <c r="AB14" s="703">
        <f t="shared" si="4"/>
        <v>1</v>
      </c>
      <c r="AC14" s="703">
        <f t="shared" si="5"/>
        <v>1</v>
      </c>
    </row>
    <row r="15" spans="1:29" ht="57">
      <c r="A15" s="391" t="s">
        <v>1688</v>
      </c>
      <c r="B15" s="576" t="s">
        <v>1918</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21"/>
      <c r="M15" s="2715"/>
      <c r="N15" s="2715"/>
      <c r="O15" s="2773"/>
      <c r="P15" s="3693" t="s">
        <v>1689</v>
      </c>
      <c r="Q15" s="1351" t="str">
        <f t="shared" si="6"/>
        <v>产业集聚程度</v>
      </c>
      <c r="R15" s="704" t="s">
        <v>14</v>
      </c>
      <c r="S15" s="705">
        <f t="shared" si="0"/>
        <v>100</v>
      </c>
      <c r="T15" s="704" t="s">
        <v>14</v>
      </c>
      <c r="U15" s="705">
        <f t="shared" si="1"/>
        <v>100</v>
      </c>
      <c r="V15" s="704" t="s">
        <v>14</v>
      </c>
      <c r="W15" s="705">
        <f t="shared" si="2"/>
        <v>100</v>
      </c>
      <c r="X15" s="1354"/>
      <c r="Y15" s="3693" t="s">
        <v>1689</v>
      </c>
      <c r="Z15" s="1355" t="str">
        <f t="shared" si="7"/>
        <v>产业集聚程度</v>
      </c>
      <c r="AA15" s="1352">
        <f t="shared" si="3"/>
        <v>1</v>
      </c>
      <c r="AB15" s="1352">
        <f t="shared" si="4"/>
        <v>1</v>
      </c>
      <c r="AC15" s="1352">
        <f t="shared" si="5"/>
        <v>1</v>
      </c>
    </row>
    <row r="16" spans="1:29" ht="15">
      <c r="A16" s="379"/>
      <c r="B16" s="577"/>
      <c r="C16" s="398" t="s">
        <v>3401</v>
      </c>
      <c r="D16" s="399"/>
      <c r="E16" s="398" t="s">
        <v>3401</v>
      </c>
      <c r="F16" s="399"/>
      <c r="G16" s="398" t="s">
        <v>3401</v>
      </c>
      <c r="H16" s="401"/>
      <c r="I16" s="398" t="s">
        <v>3401</v>
      </c>
      <c r="J16" s="399"/>
      <c r="K16" s="619"/>
      <c r="L16" s="2721"/>
      <c r="M16" s="2715"/>
      <c r="N16" s="2715"/>
      <c r="O16" s="2773"/>
      <c r="P16" s="3694"/>
      <c r="Q16" s="1351"/>
      <c r="R16" s="704"/>
      <c r="S16" s="705"/>
      <c r="T16" s="704"/>
      <c r="U16" s="705"/>
      <c r="V16" s="704"/>
      <c r="W16" s="705"/>
      <c r="X16" s="1354"/>
      <c r="Y16" s="3694"/>
      <c r="Z16" s="1355"/>
      <c r="AA16" s="1352">
        <v>1</v>
      </c>
      <c r="AB16" s="1352">
        <v>1</v>
      </c>
      <c r="AC16" s="1352">
        <v>1</v>
      </c>
    </row>
    <row r="17" spans="1:29" ht="85.5">
      <c r="A17" s="379"/>
      <c r="B17" s="578" t="s">
        <v>1831</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21"/>
      <c r="M17" s="2715"/>
      <c r="N17" s="2715"/>
      <c r="O17" s="2773"/>
      <c r="P17" s="3694"/>
      <c r="Q17" s="1351" t="str">
        <f>B17</f>
        <v>交通便捷度</v>
      </c>
      <c r="R17" s="704" t="s">
        <v>14</v>
      </c>
      <c r="S17" s="705">
        <f>F17</f>
        <v>100</v>
      </c>
      <c r="T17" s="704" t="s">
        <v>14</v>
      </c>
      <c r="U17" s="705">
        <f>H17</f>
        <v>100</v>
      </c>
      <c r="V17" s="704" t="s">
        <v>14</v>
      </c>
      <c r="W17" s="705">
        <f>J17</f>
        <v>100</v>
      </c>
      <c r="X17" s="1354"/>
      <c r="Y17" s="3694"/>
      <c r="Z17" s="1355" t="str">
        <f>Q17</f>
        <v>交通便捷度</v>
      </c>
      <c r="AA17" s="1352">
        <f t="shared" si="3"/>
        <v>1</v>
      </c>
      <c r="AB17" s="1352">
        <f t="shared" si="4"/>
        <v>1</v>
      </c>
      <c r="AC17" s="1352">
        <f t="shared" si="5"/>
        <v>1</v>
      </c>
    </row>
    <row r="18" spans="1:29" ht="15">
      <c r="A18" s="379"/>
      <c r="B18" s="579"/>
      <c r="C18" s="398" t="s">
        <v>3401</v>
      </c>
      <c r="D18" s="399"/>
      <c r="E18" s="398" t="s">
        <v>3401</v>
      </c>
      <c r="F18" s="399"/>
      <c r="G18" s="398" t="s">
        <v>3401</v>
      </c>
      <c r="H18" s="399"/>
      <c r="I18" s="398" t="s">
        <v>3401</v>
      </c>
      <c r="J18" s="399"/>
      <c r="K18" s="619"/>
      <c r="L18" s="2721"/>
      <c r="M18" s="2715"/>
      <c r="N18" s="2715"/>
      <c r="O18" s="2773"/>
      <c r="P18" s="3694"/>
      <c r="Q18" s="1351"/>
      <c r="R18" s="704"/>
      <c r="S18" s="705"/>
      <c r="T18" s="704"/>
      <c r="U18" s="705"/>
      <c r="V18" s="704"/>
      <c r="W18" s="705"/>
      <c r="X18" s="1354"/>
      <c r="Y18" s="3694"/>
      <c r="Z18" s="1355"/>
      <c r="AA18" s="1352">
        <v>1</v>
      </c>
      <c r="AB18" s="1352">
        <v>1</v>
      </c>
      <c r="AC18" s="1352">
        <v>1</v>
      </c>
    </row>
    <row r="19" spans="1:29" ht="15">
      <c r="A19" s="379"/>
      <c r="B19" s="578" t="s">
        <v>1869</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v>
      </c>
      <c r="L19" s="2721"/>
      <c r="M19" s="2715"/>
      <c r="N19" s="2715"/>
      <c r="O19" s="2773"/>
      <c r="P19" s="3694"/>
      <c r="Q19" s="1351" t="str">
        <f t="shared" ref="Q19:Q33" si="8">B19</f>
        <v>区域土地利用方向</v>
      </c>
      <c r="R19" s="704" t="s">
        <v>14</v>
      </c>
      <c r="S19" s="705">
        <f>F19</f>
        <v>100</v>
      </c>
      <c r="T19" s="704" t="s">
        <v>14</v>
      </c>
      <c r="U19" s="705">
        <f>H19</f>
        <v>100</v>
      </c>
      <c r="V19" s="704" t="s">
        <v>14</v>
      </c>
      <c r="W19" s="705">
        <f>J19</f>
        <v>100</v>
      </c>
      <c r="X19" s="1354"/>
      <c r="Y19" s="3694"/>
      <c r="Z19" s="1355" t="str">
        <f>Q19</f>
        <v>区域土地利用方向</v>
      </c>
      <c r="AA19" s="1352">
        <f t="shared" si="3"/>
        <v>1</v>
      </c>
      <c r="AB19" s="1352">
        <f t="shared" si="4"/>
        <v>1</v>
      </c>
      <c r="AC19" s="1352">
        <f t="shared" si="5"/>
        <v>1</v>
      </c>
    </row>
    <row r="20" spans="1:29" ht="15">
      <c r="A20" s="358"/>
      <c r="B20" s="579"/>
      <c r="C20" s="398" t="s">
        <v>3401</v>
      </c>
      <c r="D20" s="399"/>
      <c r="E20" s="398" t="s">
        <v>3401</v>
      </c>
      <c r="F20" s="399"/>
      <c r="G20" s="398" t="s">
        <v>3401</v>
      </c>
      <c r="H20" s="399"/>
      <c r="I20" s="398" t="s">
        <v>3401</v>
      </c>
      <c r="J20" s="399"/>
      <c r="K20" s="739"/>
      <c r="L20" s="2721"/>
      <c r="M20" s="2715"/>
      <c r="N20" s="2715"/>
      <c r="O20" s="2773"/>
      <c r="P20" s="3694"/>
      <c r="Q20" s="1351"/>
      <c r="R20" s="704"/>
      <c r="S20" s="705"/>
      <c r="T20" s="704"/>
      <c r="U20" s="705"/>
      <c r="V20" s="704"/>
      <c r="W20" s="705"/>
      <c r="X20" s="1354"/>
      <c r="Y20" s="3694"/>
      <c r="Z20" s="1355"/>
      <c r="AA20" s="1352"/>
      <c r="AB20" s="1352"/>
      <c r="AC20" s="1352"/>
    </row>
    <row r="21" spans="1:29" ht="71.25">
      <c r="A21" s="358"/>
      <c r="B21" s="578" t="s">
        <v>1919</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21"/>
      <c r="M21" s="2715"/>
      <c r="N21" s="2715"/>
      <c r="O21" s="2773"/>
      <c r="P21" s="3694"/>
      <c r="Q21" s="1351" t="str">
        <f t="shared" si="8"/>
        <v>环境状况</v>
      </c>
      <c r="R21" s="704" t="s">
        <v>14</v>
      </c>
      <c r="S21" s="705">
        <f>F21</f>
        <v>100</v>
      </c>
      <c r="T21" s="704" t="s">
        <v>14</v>
      </c>
      <c r="U21" s="705">
        <f>H21</f>
        <v>100</v>
      </c>
      <c r="V21" s="704" t="s">
        <v>14</v>
      </c>
      <c r="W21" s="705">
        <f>J21</f>
        <v>100</v>
      </c>
      <c r="X21" s="1354"/>
      <c r="Y21" s="3694"/>
      <c r="Z21" s="1355" t="str">
        <f>Q21</f>
        <v>环境状况</v>
      </c>
      <c r="AA21" s="1352">
        <f t="shared" si="3"/>
        <v>1</v>
      </c>
      <c r="AB21" s="1352">
        <f t="shared" si="4"/>
        <v>1</v>
      </c>
      <c r="AC21" s="1352">
        <f t="shared" si="5"/>
        <v>1</v>
      </c>
    </row>
    <row r="22" spans="1:29" ht="15">
      <c r="A22" s="358"/>
      <c r="B22" s="579"/>
      <c r="C22" s="398" t="s">
        <v>3401</v>
      </c>
      <c r="D22" s="399"/>
      <c r="E22" s="398" t="s">
        <v>3401</v>
      </c>
      <c r="F22" s="399"/>
      <c r="G22" s="398" t="s">
        <v>3401</v>
      </c>
      <c r="H22" s="399"/>
      <c r="I22" s="398" t="s">
        <v>3401</v>
      </c>
      <c r="J22" s="399"/>
      <c r="K22" s="619"/>
      <c r="L22" s="2721"/>
      <c r="M22" s="2715"/>
      <c r="N22" s="2715"/>
      <c r="O22" s="2773"/>
      <c r="P22" s="3694"/>
      <c r="Q22" s="1351"/>
      <c r="R22" s="704"/>
      <c r="S22" s="705"/>
      <c r="T22" s="704"/>
      <c r="U22" s="705"/>
      <c r="V22" s="704"/>
      <c r="W22" s="705"/>
      <c r="X22" s="1354"/>
      <c r="Y22" s="3694"/>
      <c r="Z22" s="1355"/>
      <c r="AA22" s="1352">
        <v>1</v>
      </c>
      <c r="AB22" s="1352">
        <v>1</v>
      </c>
      <c r="AC22" s="1352">
        <v>1</v>
      </c>
    </row>
    <row r="23" spans="1:29" s="108" customFormat="1" ht="42.75">
      <c r="A23" s="596"/>
      <c r="B23" s="580" t="s">
        <v>1776</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6"/>
      <c r="M23" s="2717"/>
      <c r="N23" s="2717"/>
      <c r="O23" s="2771"/>
      <c r="P23" s="3694"/>
      <c r="Q23" s="1342" t="str">
        <f t="shared" si="8"/>
        <v>公共配套设施</v>
      </c>
      <c r="R23" s="700" t="s">
        <v>14</v>
      </c>
      <c r="S23" s="701">
        <f>F23</f>
        <v>100</v>
      </c>
      <c r="T23" s="700" t="s">
        <v>14</v>
      </c>
      <c r="U23" s="701">
        <f>H23</f>
        <v>100</v>
      </c>
      <c r="V23" s="700" t="s">
        <v>14</v>
      </c>
      <c r="W23" s="701">
        <f>J23</f>
        <v>100</v>
      </c>
      <c r="X23" s="702"/>
      <c r="Y23" s="3694"/>
      <c r="Z23" s="52" t="str">
        <f>Q23</f>
        <v>公共配套设施</v>
      </c>
      <c r="AA23" s="1352">
        <f>D23/F23</f>
        <v>1</v>
      </c>
      <c r="AB23" s="1352">
        <f>D23/H23</f>
        <v>1</v>
      </c>
      <c r="AC23" s="1352">
        <f>D23/J23</f>
        <v>1</v>
      </c>
    </row>
    <row r="24" spans="1:29" s="108" customFormat="1" ht="15">
      <c r="A24" s="596"/>
      <c r="B24" s="579"/>
      <c r="C24" s="398" t="s">
        <v>3401</v>
      </c>
      <c r="D24" s="399"/>
      <c r="E24" s="398" t="s">
        <v>3401</v>
      </c>
      <c r="F24" s="399"/>
      <c r="G24" s="398" t="s">
        <v>3401</v>
      </c>
      <c r="H24" s="399"/>
      <c r="I24" s="398" t="s">
        <v>3401</v>
      </c>
      <c r="J24" s="399"/>
      <c r="K24" s="619"/>
      <c r="L24" s="2716"/>
      <c r="M24" s="2717"/>
      <c r="N24" s="2717"/>
      <c r="O24" s="2771"/>
      <c r="P24" s="3694"/>
      <c r="Q24" s="1342"/>
      <c r="R24" s="700"/>
      <c r="S24" s="701"/>
      <c r="T24" s="700"/>
      <c r="U24" s="701"/>
      <c r="V24" s="700"/>
      <c r="W24" s="701"/>
      <c r="X24" s="702"/>
      <c r="Y24" s="3694"/>
      <c r="Z24" s="52"/>
      <c r="AA24" s="703">
        <v>1</v>
      </c>
      <c r="AB24" s="703">
        <v>1</v>
      </c>
      <c r="AC24" s="703">
        <v>1</v>
      </c>
    </row>
    <row r="25" spans="1:29" s="108" customFormat="1" ht="28.5">
      <c r="A25" s="596"/>
      <c r="B25" s="580" t="s">
        <v>1777</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6"/>
      <c r="M25" s="2717"/>
      <c r="N25" s="2717"/>
      <c r="O25" s="2771"/>
      <c r="P25" s="3694"/>
      <c r="Q25" s="1342" t="str">
        <f t="shared" ref="Q25" si="9">B25</f>
        <v>基础设施水平</v>
      </c>
      <c r="R25" s="700" t="s">
        <v>14</v>
      </c>
      <c r="S25" s="701">
        <f>F25</f>
        <v>100</v>
      </c>
      <c r="T25" s="700" t="s">
        <v>14</v>
      </c>
      <c r="U25" s="701">
        <f>H25</f>
        <v>100</v>
      </c>
      <c r="V25" s="700" t="s">
        <v>14</v>
      </c>
      <c r="W25" s="701">
        <f>J25</f>
        <v>100</v>
      </c>
      <c r="X25" s="702"/>
      <c r="Y25" s="3694"/>
      <c r="Z25" s="52" t="str">
        <f>Q25</f>
        <v>基础设施水平</v>
      </c>
      <c r="AA25" s="1352">
        <f>D25/F25</f>
        <v>1</v>
      </c>
      <c r="AB25" s="1352">
        <f>D25/H25</f>
        <v>1</v>
      </c>
      <c r="AC25" s="1352">
        <f>D25/J25</f>
        <v>1</v>
      </c>
    </row>
    <row r="26" spans="1:29" s="108" customFormat="1" ht="15">
      <c r="A26" s="596"/>
      <c r="B26" s="579"/>
      <c r="C26" s="1977" t="s">
        <v>3409</v>
      </c>
      <c r="D26" s="399"/>
      <c r="E26" s="1977" t="s">
        <v>3409</v>
      </c>
      <c r="F26" s="399"/>
      <c r="G26" s="1977" t="s">
        <v>3409</v>
      </c>
      <c r="H26" s="399"/>
      <c r="I26" s="1977" t="s">
        <v>3409</v>
      </c>
      <c r="J26" s="399"/>
      <c r="K26" s="619"/>
      <c r="L26" s="2716"/>
      <c r="M26" s="2717"/>
      <c r="N26" s="2717"/>
      <c r="O26" s="2771"/>
      <c r="P26" s="3694"/>
      <c r="Q26" s="1342"/>
      <c r="R26" s="700"/>
      <c r="S26" s="701"/>
      <c r="T26" s="700"/>
      <c r="U26" s="701"/>
      <c r="V26" s="700"/>
      <c r="W26" s="701"/>
      <c r="X26" s="702"/>
      <c r="Y26" s="3694"/>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v>2</v>
      </c>
      <c r="L27" s="2721"/>
      <c r="M27" s="2715"/>
      <c r="N27" s="2715"/>
      <c r="O27" s="2773"/>
      <c r="P27" s="3694"/>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4"/>
      <c r="Z27" s="1355" t="str">
        <f t="shared" ref="Z27:Z40" si="13">Q27</f>
        <v>临街状况</v>
      </c>
      <c r="AA27" s="1352">
        <f t="shared" si="3"/>
        <v>1</v>
      </c>
      <c r="AB27" s="1352">
        <f t="shared" si="4"/>
        <v>1</v>
      </c>
      <c r="AC27" s="1352">
        <f t="shared" si="5"/>
        <v>1</v>
      </c>
    </row>
    <row r="28" spans="1:29" ht="27">
      <c r="A28" s="379"/>
      <c r="B28" s="580" t="s">
        <v>1813</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21"/>
      <c r="M28" s="2715"/>
      <c r="N28" s="2715"/>
      <c r="O28" s="2773"/>
      <c r="P28" s="3694"/>
      <c r="Q28" s="1351" t="str">
        <f t="shared" si="8"/>
        <v>毗邻道路的类型与等级</v>
      </c>
      <c r="R28" s="704" t="s">
        <v>14</v>
      </c>
      <c r="S28" s="705">
        <f t="shared" si="10"/>
        <v>100</v>
      </c>
      <c r="T28" s="704" t="s">
        <v>14</v>
      </c>
      <c r="U28" s="705">
        <f t="shared" si="11"/>
        <v>100</v>
      </c>
      <c r="V28" s="704" t="s">
        <v>14</v>
      </c>
      <c r="W28" s="705">
        <f t="shared" si="12"/>
        <v>100</v>
      </c>
      <c r="X28" s="1354"/>
      <c r="Y28" s="3694"/>
      <c r="Z28" s="1355" t="str">
        <f t="shared" si="13"/>
        <v>毗邻道路的类型与等级</v>
      </c>
      <c r="AA28" s="1352">
        <f t="shared" si="3"/>
        <v>1</v>
      </c>
      <c r="AB28" s="1352">
        <f t="shared" si="4"/>
        <v>1</v>
      </c>
      <c r="AC28" s="1352">
        <f t="shared" si="5"/>
        <v>1</v>
      </c>
    </row>
    <row r="29" spans="1:29" ht="15">
      <c r="A29" s="379"/>
      <c r="B29" s="579"/>
      <c r="C29" s="398" t="s">
        <v>3448</v>
      </c>
      <c r="D29" s="399"/>
      <c r="E29" s="398" t="s">
        <v>3448</v>
      </c>
      <c r="F29" s="399"/>
      <c r="G29" s="398" t="s">
        <v>3448</v>
      </c>
      <c r="H29" s="399"/>
      <c r="I29" s="398" t="s">
        <v>3448</v>
      </c>
      <c r="J29" s="399"/>
      <c r="K29" s="562"/>
      <c r="L29" s="2721"/>
      <c r="M29" s="2715"/>
      <c r="N29" s="2715"/>
      <c r="O29" s="2773"/>
      <c r="P29" s="3694"/>
      <c r="Q29" s="1351"/>
      <c r="R29" s="704"/>
      <c r="S29" s="705"/>
      <c r="T29" s="704"/>
      <c r="U29" s="705"/>
      <c r="V29" s="704"/>
      <c r="W29" s="705"/>
      <c r="X29" s="1354"/>
      <c r="Y29" s="3694"/>
      <c r="Z29" s="1355"/>
      <c r="AA29" s="1352">
        <v>1</v>
      </c>
      <c r="AB29" s="1352">
        <v>1</v>
      </c>
      <c r="AC29" s="1352">
        <v>1</v>
      </c>
    </row>
    <row r="30" spans="1:29" ht="15">
      <c r="A30" s="379"/>
      <c r="B30" s="601" t="s">
        <v>1871</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94"/>
      <c r="Q30" s="1351" t="str">
        <f t="shared" si="8"/>
        <v>土地级别</v>
      </c>
      <c r="R30" s="704" t="s">
        <v>14</v>
      </c>
      <c r="S30" s="705">
        <f t="shared" si="10"/>
        <v>100</v>
      </c>
      <c r="T30" s="704" t="s">
        <v>14</v>
      </c>
      <c r="U30" s="705">
        <f t="shared" si="11"/>
        <v>100</v>
      </c>
      <c r="V30" s="704" t="s">
        <v>14</v>
      </c>
      <c r="W30" s="705">
        <f t="shared" si="12"/>
        <v>100</v>
      </c>
      <c r="X30" s="1354"/>
      <c r="Y30" s="3694"/>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4"/>
      <c r="Q31" s="1351">
        <f t="shared" si="8"/>
        <v>111</v>
      </c>
      <c r="R31" s="704" t="s">
        <v>14</v>
      </c>
      <c r="S31" s="705">
        <f t="shared" si="10"/>
        <v>100</v>
      </c>
      <c r="T31" s="704" t="s">
        <v>14</v>
      </c>
      <c r="U31" s="705">
        <f t="shared" si="11"/>
        <v>100</v>
      </c>
      <c r="V31" s="704" t="s">
        <v>14</v>
      </c>
      <c r="W31" s="705">
        <f t="shared" si="12"/>
        <v>100</v>
      </c>
      <c r="X31" s="1354"/>
      <c r="Y31" s="3694"/>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68" t="s">
        <v>1694</v>
      </c>
      <c r="Q32" s="1351">
        <f t="shared" si="8"/>
        <v>111</v>
      </c>
      <c r="R32" s="704" t="s">
        <v>14</v>
      </c>
      <c r="S32" s="705">
        <f t="shared" si="10"/>
        <v>100</v>
      </c>
      <c r="T32" s="704" t="s">
        <v>14</v>
      </c>
      <c r="U32" s="705">
        <f t="shared" si="11"/>
        <v>100</v>
      </c>
      <c r="V32" s="704" t="s">
        <v>14</v>
      </c>
      <c r="W32" s="705">
        <f t="shared" si="12"/>
        <v>100</v>
      </c>
      <c r="X32" s="1354"/>
      <c r="Y32" s="3698" t="s">
        <v>1694</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98"/>
      <c r="Q33" s="1351">
        <f t="shared" si="8"/>
        <v>111</v>
      </c>
      <c r="R33" s="707" t="s">
        <v>14</v>
      </c>
      <c r="S33" s="708">
        <f t="shared" si="10"/>
        <v>100</v>
      </c>
      <c r="T33" s="707" t="s">
        <v>14</v>
      </c>
      <c r="U33" s="708">
        <f t="shared" si="11"/>
        <v>100</v>
      </c>
      <c r="V33" s="707" t="s">
        <v>14</v>
      </c>
      <c r="W33" s="708">
        <f t="shared" si="12"/>
        <v>100</v>
      </c>
      <c r="X33" s="709"/>
      <c r="Y33" s="3698"/>
      <c r="Z33" s="710">
        <f t="shared" si="13"/>
        <v>111</v>
      </c>
      <c r="AA33" s="1352">
        <f t="shared" si="3"/>
        <v>1</v>
      </c>
      <c r="AB33" s="1352">
        <f t="shared" si="4"/>
        <v>1</v>
      </c>
      <c r="AC33" s="1352">
        <f t="shared" si="5"/>
        <v>1</v>
      </c>
    </row>
    <row r="34" spans="1:31" ht="15">
      <c r="A34" s="391" t="s">
        <v>1692</v>
      </c>
      <c r="B34" s="407" t="s">
        <v>1872</v>
      </c>
      <c r="C34" s="626">
        <f>'数据-基础表'!A3</f>
        <v>0</v>
      </c>
      <c r="D34" s="418">
        <v>100</v>
      </c>
      <c r="E34" s="626">
        <f>案例信息!E3</f>
        <v>0</v>
      </c>
      <c r="F34" s="418">
        <f>LOOKUP(E34,108:108,109:109)-LOOKUP(C34,108:108,109:109)+100</f>
        <v>100</v>
      </c>
      <c r="G34" s="626">
        <f>案例信息!E4</f>
        <v>0</v>
      </c>
      <c r="H34" s="418">
        <f>LOOKUP(G34,108:108,109:109)-LOOKUP(C34,108:108,109:109)+100</f>
        <v>100</v>
      </c>
      <c r="I34" s="479">
        <f>案例信息!E5</f>
        <v>0</v>
      </c>
      <c r="J34" s="418">
        <f>LOOKUP(I34,108:108,109:109)-LOOKUP(C34,108:108,109:109)+100</f>
        <v>100</v>
      </c>
      <c r="K34" s="562"/>
      <c r="L34" s="2721"/>
      <c r="M34" s="2715"/>
      <c r="N34" s="2715"/>
      <c r="O34" s="2773"/>
      <c r="P34" s="3698"/>
      <c r="Q34" s="1351" t="str">
        <f>B34</f>
        <v>宗地面积</v>
      </c>
      <c r="R34" s="704" t="s">
        <v>14</v>
      </c>
      <c r="S34" s="705">
        <f t="shared" si="10"/>
        <v>100</v>
      </c>
      <c r="T34" s="704" t="s">
        <v>14</v>
      </c>
      <c r="U34" s="705">
        <f t="shared" si="11"/>
        <v>100</v>
      </c>
      <c r="V34" s="704" t="s">
        <v>14</v>
      </c>
      <c r="W34" s="705">
        <f t="shared" si="12"/>
        <v>100</v>
      </c>
      <c r="X34" s="1354"/>
      <c r="Y34" s="3698"/>
      <c r="Z34" s="1355" t="str">
        <f t="shared" si="13"/>
        <v>宗地面积</v>
      </c>
      <c r="AA34" s="1352">
        <f t="shared" si="3"/>
        <v>1</v>
      </c>
      <c r="AB34" s="1352">
        <f t="shared" si="4"/>
        <v>1</v>
      </c>
      <c r="AC34" s="1352">
        <f t="shared" si="5"/>
        <v>1</v>
      </c>
    </row>
    <row r="35" spans="1:31" ht="15">
      <c r="A35" s="423"/>
      <c r="B35" s="375" t="s">
        <v>1873</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98"/>
      <c r="Q35" s="1351" t="str">
        <f t="shared" ref="Q35:Q40" si="14">B35</f>
        <v>宗地形状</v>
      </c>
      <c r="R35" s="704" t="s">
        <v>14</v>
      </c>
      <c r="S35" s="705">
        <f t="shared" si="10"/>
        <v>100</v>
      </c>
      <c r="T35" s="704" t="s">
        <v>14</v>
      </c>
      <c r="U35" s="705">
        <f t="shared" si="11"/>
        <v>100</v>
      </c>
      <c r="V35" s="704" t="s">
        <v>14</v>
      </c>
      <c r="W35" s="705">
        <f t="shared" si="12"/>
        <v>100</v>
      </c>
      <c r="X35" s="1354"/>
      <c r="Y35" s="3698"/>
      <c r="Z35" s="1355" t="str">
        <f t="shared" si="13"/>
        <v>宗地形状</v>
      </c>
      <c r="AA35" s="1352">
        <f t="shared" si="3"/>
        <v>1</v>
      </c>
      <c r="AB35" s="1352">
        <f t="shared" si="4"/>
        <v>1</v>
      </c>
      <c r="AC35" s="1352">
        <f t="shared" si="5"/>
        <v>1</v>
      </c>
    </row>
    <row r="36" spans="1:31" s="108" customFormat="1" ht="15">
      <c r="A36" s="424"/>
      <c r="B36" s="375" t="s">
        <v>1875</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8"/>
      <c r="Q36" s="1351" t="str">
        <f t="shared" si="14"/>
        <v>宗地开发程度</v>
      </c>
      <c r="R36" s="700" t="s">
        <v>14</v>
      </c>
      <c r="S36" s="701">
        <f t="shared" si="10"/>
        <v>100</v>
      </c>
      <c r="T36" s="700" t="s">
        <v>14</v>
      </c>
      <c r="U36" s="701">
        <f t="shared" si="11"/>
        <v>100</v>
      </c>
      <c r="V36" s="700" t="s">
        <v>14</v>
      </c>
      <c r="W36" s="701">
        <f t="shared" si="12"/>
        <v>100</v>
      </c>
      <c r="X36" s="702"/>
      <c r="Y36" s="3698"/>
      <c r="Z36" s="52" t="str">
        <f t="shared" si="13"/>
        <v>宗地开发程度</v>
      </c>
      <c r="AA36" s="703">
        <f t="shared" si="3"/>
        <v>1</v>
      </c>
      <c r="AB36" s="703">
        <f t="shared" si="4"/>
        <v>1</v>
      </c>
      <c r="AC36" s="703">
        <f t="shared" si="5"/>
        <v>1</v>
      </c>
    </row>
    <row r="37" spans="1:31" ht="15">
      <c r="A37" s="423"/>
      <c r="B37" s="375" t="s">
        <v>1876</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98" t="s">
        <v>1694</v>
      </c>
      <c r="Q37" s="1351" t="str">
        <f t="shared" si="14"/>
        <v>工程地质条件</v>
      </c>
      <c r="R37" s="704" t="s">
        <v>14</v>
      </c>
      <c r="S37" s="705">
        <f t="shared" si="10"/>
        <v>100</v>
      </c>
      <c r="T37" s="704" t="s">
        <v>14</v>
      </c>
      <c r="U37" s="705">
        <f t="shared" si="11"/>
        <v>100</v>
      </c>
      <c r="V37" s="704" t="s">
        <v>14</v>
      </c>
      <c r="W37" s="705">
        <f t="shared" si="12"/>
        <v>100</v>
      </c>
      <c r="X37" s="1354"/>
      <c r="Y37" s="3698" t="s">
        <v>1694</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98"/>
      <c r="Q38" s="1351">
        <f t="shared" si="14"/>
        <v>111</v>
      </c>
      <c r="R38" s="704" t="s">
        <v>14</v>
      </c>
      <c r="S38" s="705">
        <f t="shared" si="10"/>
        <v>100</v>
      </c>
      <c r="T38" s="704" t="s">
        <v>14</v>
      </c>
      <c r="U38" s="705">
        <f t="shared" si="11"/>
        <v>100</v>
      </c>
      <c r="V38" s="704" t="s">
        <v>14</v>
      </c>
      <c r="W38" s="705">
        <f t="shared" si="12"/>
        <v>100</v>
      </c>
      <c r="X38" s="1354"/>
      <c r="Y38" s="3698"/>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98"/>
      <c r="Q39" s="1351">
        <f t="shared" si="14"/>
        <v>111</v>
      </c>
      <c r="R39" s="704" t="s">
        <v>14</v>
      </c>
      <c r="S39" s="705">
        <f t="shared" si="10"/>
        <v>100</v>
      </c>
      <c r="T39" s="704" t="s">
        <v>14</v>
      </c>
      <c r="U39" s="705">
        <f t="shared" si="11"/>
        <v>100</v>
      </c>
      <c r="V39" s="704" t="s">
        <v>14</v>
      </c>
      <c r="W39" s="705">
        <f t="shared" si="12"/>
        <v>100</v>
      </c>
      <c r="X39" s="1354"/>
      <c r="Y39" s="3698"/>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98"/>
      <c r="Q40" s="1351">
        <f t="shared" si="14"/>
        <v>111</v>
      </c>
      <c r="R40" s="707" t="s">
        <v>14</v>
      </c>
      <c r="S40" s="708">
        <f t="shared" si="10"/>
        <v>100</v>
      </c>
      <c r="T40" s="707" t="s">
        <v>14</v>
      </c>
      <c r="U40" s="708">
        <f t="shared" si="11"/>
        <v>100</v>
      </c>
      <c r="V40" s="707" t="s">
        <v>14</v>
      </c>
      <c r="W40" s="708">
        <f t="shared" si="12"/>
        <v>100</v>
      </c>
      <c r="X40" s="709"/>
      <c r="Y40" s="3698"/>
      <c r="Z40" s="710">
        <f t="shared" si="13"/>
        <v>111</v>
      </c>
      <c r="AA40" s="1352">
        <f t="shared" si="3"/>
        <v>1</v>
      </c>
      <c r="AB40" s="1352">
        <f t="shared" si="4"/>
        <v>1</v>
      </c>
      <c r="AC40" s="1352">
        <f t="shared" si="5"/>
        <v>1</v>
      </c>
    </row>
    <row r="41" spans="1:31" ht="15">
      <c r="A41" s="430" t="s">
        <v>1842</v>
      </c>
      <c r="B41" s="3457" t="s">
        <v>3450</v>
      </c>
      <c r="C41" s="629" t="s">
        <v>0</v>
      </c>
      <c r="D41" s="432"/>
      <c r="E41" s="433">
        <f>案例信息!O3</f>
        <v>0</v>
      </c>
      <c r="F41" s="434"/>
      <c r="G41" s="435">
        <f>案例信息!O4</f>
        <v>0</v>
      </c>
      <c r="H41" s="436"/>
      <c r="I41" s="433">
        <f>案例信息!O5</f>
        <v>0</v>
      </c>
      <c r="J41" s="436"/>
      <c r="K41" s="713"/>
      <c r="L41" s="2723"/>
      <c r="M41" s="2715"/>
      <c r="N41" s="2715"/>
      <c r="O41" s="2724"/>
      <c r="P41" s="3686" t="str">
        <f>A41</f>
        <v>成交单价</v>
      </c>
      <c r="Q41" s="3686"/>
      <c r="R41" s="3700">
        <f>E41</f>
        <v>0</v>
      </c>
      <c r="S41" s="3700"/>
      <c r="T41" s="3700">
        <f>G41</f>
        <v>0</v>
      </c>
      <c r="U41" s="3700"/>
      <c r="V41" s="3700">
        <f>I41</f>
        <v>0</v>
      </c>
      <c r="W41" s="3700"/>
      <c r="X41" s="689"/>
      <c r="Y41" s="711"/>
      <c r="Z41" s="689"/>
      <c r="AA41" s="689"/>
      <c r="AB41" s="689"/>
      <c r="AC41" s="689"/>
    </row>
    <row r="42" spans="1:31" ht="15.75" thickBot="1">
      <c r="A42" s="437" t="s">
        <v>1791</v>
      </c>
      <c r="B42" s="630"/>
      <c r="C42" s="440" t="e">
        <f>R43</f>
        <v>#DIV/0!</v>
      </c>
      <c r="D42" s="2316" t="s">
        <v>2135</v>
      </c>
      <c r="E42" s="440" t="e">
        <f>R42</f>
        <v>#DIV/0!</v>
      </c>
      <c r="F42" s="2317"/>
      <c r="G42" s="439" t="e">
        <f>T42</f>
        <v>#DIV/0!</v>
      </c>
      <c r="H42" s="2317"/>
      <c r="I42" s="440" t="e">
        <f>V42</f>
        <v>#DIV/0!</v>
      </c>
      <c r="J42" s="2317"/>
      <c r="K42" s="2319">
        <f>F42+H42+J42</f>
        <v>0</v>
      </c>
      <c r="L42" s="2723"/>
      <c r="M42" s="2715"/>
      <c r="N42" s="2715"/>
      <c r="O42" s="2724"/>
      <c r="P42" s="3686" t="str">
        <f>A42</f>
        <v>比较价值（元/平方米）</v>
      </c>
      <c r="Q42" s="3686"/>
      <c r="R42" s="3770" t="e">
        <f>ROUND(PRODUCT(R41,AA7:AA40),0)</f>
        <v>#DIV/0!</v>
      </c>
      <c r="S42" s="3770"/>
      <c r="T42" s="3770" t="e">
        <f>ROUND(PRODUCT(T41,AB7:AB40),0)</f>
        <v>#DIV/0!</v>
      </c>
      <c r="U42" s="3770"/>
      <c r="V42" s="3770" t="e">
        <f>ROUND(PRODUCT(V41,AC7:AC40),0)</f>
        <v>#DIV/0!</v>
      </c>
      <c r="W42" s="3770"/>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23"/>
      <c r="M43" s="2715"/>
      <c r="N43" s="2715"/>
      <c r="O43" s="2724"/>
      <c r="P43" s="3688" t="str">
        <f>A43</f>
        <v>估价对象XX用房的比较价值（楼面单价，元/平方米）</v>
      </c>
      <c r="Q43" s="3689"/>
      <c r="R43" s="3771" t="e">
        <f>ROUND(IF(D42="简单平均",AVERAGE(R42:W42),R42*F42+T42*H42+V42*J42),0)</f>
        <v>#DIV/0!</v>
      </c>
      <c r="S43" s="3771"/>
      <c r="T43" s="3771"/>
      <c r="U43" s="3771"/>
      <c r="V43" s="3771"/>
      <c r="W43" s="3771"/>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1879</v>
      </c>
      <c r="B50" s="632" t="s">
        <v>1880</v>
      </c>
      <c r="C50" s="1982" t="s">
        <v>1881</v>
      </c>
      <c r="D50" s="1983" t="s">
        <v>1882</v>
      </c>
      <c r="E50" s="633" t="s">
        <v>1883</v>
      </c>
      <c r="F50" s="634" t="s">
        <v>1884</v>
      </c>
      <c r="G50" s="3705" t="s">
        <v>1885</v>
      </c>
      <c r="H50" s="3772"/>
      <c r="I50" s="1355" t="s">
        <v>1920</v>
      </c>
      <c r="J50" s="1355">
        <f>项目基本情况!F35</f>
        <v>0</v>
      </c>
      <c r="K50" s="1985" t="s">
        <v>1887</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1888</v>
      </c>
      <c r="B51" s="636" t="e">
        <f>C43</f>
        <v>#DIV/0!</v>
      </c>
      <c r="C51" s="637">
        <v>1</v>
      </c>
      <c r="D51" s="943">
        <v>1</v>
      </c>
      <c r="E51" s="637">
        <f>'数据-汇总表'!E8+'数据-汇总表'!E9</f>
        <v>1911.3919999999998</v>
      </c>
      <c r="F51" s="638" t="e">
        <f t="shared" ref="F51:F60" si="15">ROUND(B51*E51/10000,0)</f>
        <v>#DIV/0!</v>
      </c>
      <c r="G51" s="3701"/>
      <c r="H51" s="3686"/>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1889</v>
      </c>
      <c r="B52" s="218" t="e">
        <f>ROUND($C$43*C52*D52,0)</f>
        <v>#DIV/0!</v>
      </c>
      <c r="C52" s="171">
        <f t="shared" ref="C52:C60" si="16">IF($C$50="北京市系数",I52,J52)</f>
        <v>0.6</v>
      </c>
      <c r="D52" s="944">
        <v>0.25</v>
      </c>
      <c r="E52" s="641"/>
      <c r="F52" s="638" t="e">
        <f t="shared" si="15"/>
        <v>#DIV/0!</v>
      </c>
      <c r="G52" s="3005" t="s">
        <v>1890</v>
      </c>
      <c r="H52" s="886" t="str">
        <f>项目基本情况!B37</f>
        <v>四级</v>
      </c>
      <c r="I52" s="772">
        <f>SUMIF(修正!A57:A68,H52,修正!B57:B68)</f>
        <v>0.6</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1891</v>
      </c>
      <c r="B53" s="218" t="e">
        <f t="shared" ref="B53:B60" si="17">ROUND($C$43*C53*D53,0)</f>
        <v>#DIV/0!</v>
      </c>
      <c r="C53" s="171">
        <f t="shared" si="16"/>
        <v>0.3</v>
      </c>
      <c r="D53" s="944">
        <v>0.25</v>
      </c>
      <c r="E53" s="641"/>
      <c r="F53" s="638" t="e">
        <f t="shared" si="15"/>
        <v>#DIV/0!</v>
      </c>
      <c r="G53" s="3006"/>
      <c r="H53" s="886" t="str">
        <f>项目基本情况!B37</f>
        <v>四级</v>
      </c>
      <c r="I53" s="772">
        <f>SUMIF(修正!A57:A68,H53,修正!C57:C68)</f>
        <v>0.3</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1892</v>
      </c>
      <c r="B54" s="218" t="e">
        <f t="shared" si="17"/>
        <v>#DIV/0!</v>
      </c>
      <c r="C54" s="171">
        <f t="shared" si="16"/>
        <v>0.25</v>
      </c>
      <c r="D54" s="944">
        <v>0.25</v>
      </c>
      <c r="E54" s="641"/>
      <c r="F54" s="638" t="e">
        <f t="shared" si="15"/>
        <v>#DIV/0!</v>
      </c>
      <c r="G54" s="3006"/>
      <c r="H54" s="886" t="str">
        <f>项目基本情况!B37</f>
        <v>四级</v>
      </c>
      <c r="I54" s="772">
        <f>SUMIF(修正!A57:A68,H54,修正!D57:D68)</f>
        <v>0.25</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1893</v>
      </c>
      <c r="B56" s="218" t="e">
        <f t="shared" si="17"/>
        <v>#DIV/0!</v>
      </c>
      <c r="C56" s="171">
        <f t="shared" si="16"/>
        <v>0</v>
      </c>
      <c r="D56" s="944">
        <v>0.25</v>
      </c>
      <c r="E56" s="217">
        <f>'数据-汇总表'!E11</f>
        <v>0</v>
      </c>
      <c r="F56" s="638" t="e">
        <f t="shared" si="15"/>
        <v>#DIV/0!</v>
      </c>
      <c r="G56" s="1986" t="s">
        <v>1894</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1895</v>
      </c>
      <c r="B57" s="218" t="e">
        <f t="shared" si="17"/>
        <v>#DIV/0!</v>
      </c>
      <c r="C57" s="171">
        <f t="shared" si="16"/>
        <v>0</v>
      </c>
      <c r="D57" s="944">
        <v>0.25</v>
      </c>
      <c r="E57" s="217">
        <f>'数据-汇总表'!E12</f>
        <v>0</v>
      </c>
      <c r="F57" s="638" t="e">
        <f t="shared" si="15"/>
        <v>#DIV/0!</v>
      </c>
      <c r="G57" s="891" t="s">
        <v>1896</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1897</v>
      </c>
      <c r="B58" s="218" t="e">
        <f t="shared" si="17"/>
        <v>#DIV/0!</v>
      </c>
      <c r="C58" s="171">
        <f t="shared" si="16"/>
        <v>0</v>
      </c>
      <c r="D58" s="944">
        <v>0.25</v>
      </c>
      <c r="E58" s="217">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1899</v>
      </c>
      <c r="B59" s="218" t="e">
        <f t="shared" si="17"/>
        <v>#DIV/0!</v>
      </c>
      <c r="C59" s="171">
        <f t="shared" si="16"/>
        <v>0.15</v>
      </c>
      <c r="D59" s="944">
        <v>0.25</v>
      </c>
      <c r="E59" s="217">
        <f>'数据-汇总表'!E14</f>
        <v>0</v>
      </c>
      <c r="F59" s="638" t="e">
        <f t="shared" si="15"/>
        <v>#DIV/0!</v>
      </c>
      <c r="G59" s="1986" t="s">
        <v>1890</v>
      </c>
      <c r="H59" s="886" t="str">
        <f>项目基本情况!B37</f>
        <v>四级</v>
      </c>
      <c r="I59" s="772">
        <f>SUMIF(修正!A57:A68,H59,修正!G57:G68)</f>
        <v>0.15</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1900</v>
      </c>
      <c r="B60" s="218" t="e">
        <f t="shared" si="17"/>
        <v>#DIV/0!</v>
      </c>
      <c r="C60" s="171">
        <f t="shared" si="16"/>
        <v>0</v>
      </c>
      <c r="D60" s="944">
        <v>0.25</v>
      </c>
      <c r="E60" s="217">
        <f>'数据-汇总表'!E15</f>
        <v>0</v>
      </c>
      <c r="F60" s="638" t="e">
        <f t="shared" si="15"/>
        <v>#DIV/0!</v>
      </c>
      <c r="G60" s="1987" t="s">
        <v>1894</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1901</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2024-6-1</v>
      </c>
      <c r="D63" s="691">
        <f>EDATE(C63,-3)</f>
        <v>45352</v>
      </c>
      <c r="E63" s="691">
        <f>EDATE(D63,-3)</f>
        <v>45261</v>
      </c>
      <c r="F63" s="691">
        <f t="shared" ref="F63:O63" si="18">EDATE(E63,-3)</f>
        <v>45170</v>
      </c>
      <c r="G63" s="691">
        <f t="shared" si="18"/>
        <v>45078</v>
      </c>
      <c r="H63" s="691">
        <f t="shared" si="18"/>
        <v>44986</v>
      </c>
      <c r="I63" s="691">
        <f t="shared" si="18"/>
        <v>44896</v>
      </c>
      <c r="J63" s="691">
        <f t="shared" si="18"/>
        <v>44805</v>
      </c>
      <c r="K63" s="691">
        <f t="shared" si="18"/>
        <v>44713</v>
      </c>
      <c r="L63" s="691">
        <f t="shared" si="18"/>
        <v>44621</v>
      </c>
      <c r="M63" s="691">
        <f t="shared" si="18"/>
        <v>44531</v>
      </c>
      <c r="N63" s="691">
        <f t="shared" si="18"/>
        <v>44440</v>
      </c>
      <c r="O63" s="691">
        <f t="shared" si="18"/>
        <v>44348</v>
      </c>
      <c r="P63" s="2724"/>
      <c r="Q63" s="2724"/>
      <c r="R63" s="2724"/>
      <c r="S63" s="2724"/>
      <c r="T63" s="2724"/>
      <c r="U63" s="2724"/>
      <c r="V63" s="2724"/>
      <c r="W63" s="2724"/>
      <c r="X63" s="2724"/>
      <c r="Y63" s="2724"/>
      <c r="Z63" s="2724"/>
      <c r="AA63" s="2724"/>
      <c r="AB63" s="2724"/>
      <c r="AC63" s="2724"/>
      <c r="AD63" s="2724"/>
      <c r="AE63" s="2724"/>
    </row>
    <row r="64" spans="1:31" ht="21.75" thickBot="1">
      <c r="A64" s="693" t="s">
        <v>1796</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1902</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1921</v>
      </c>
      <c r="B66" s="288" t="str">
        <f>"北京市平均增长率"&amp;TEXT(基准地价修正!P28,"0.00%")</f>
        <v>北京市平均增长率0.00%</v>
      </c>
      <c r="C66" s="552">
        <v>100</v>
      </c>
      <c r="D66" s="544">
        <f>C66-0.5</f>
        <v>99.5</v>
      </c>
      <c r="E66" s="544">
        <f t="shared" ref="E66:H66" si="20">D66-0.5</f>
        <v>99</v>
      </c>
      <c r="F66" s="544">
        <f t="shared" si="20"/>
        <v>98.5</v>
      </c>
      <c r="G66" s="544">
        <f t="shared" si="20"/>
        <v>98</v>
      </c>
      <c r="H66" s="544">
        <f t="shared" si="20"/>
        <v>97.5</v>
      </c>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1714</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1679</v>
      </c>
      <c r="B68" s="459"/>
      <c r="C68" s="471" t="s">
        <v>1774</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1717</v>
      </c>
      <c r="B70" s="477" t="s">
        <v>1683</v>
      </c>
      <c r="C70" s="3450" t="s">
        <v>3443</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1686</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1687</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v>4</v>
      </c>
      <c r="H75" s="498">
        <v>5</v>
      </c>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1688</v>
      </c>
      <c r="B83" s="477" t="s">
        <v>1827</v>
      </c>
      <c r="C83" s="522" t="s">
        <v>1719</v>
      </c>
      <c r="D83" s="522" t="s">
        <v>1720</v>
      </c>
      <c r="E83" s="522" t="s">
        <v>1721</v>
      </c>
      <c r="F83" s="522" t="s">
        <v>1722</v>
      </c>
      <c r="G83" s="522" t="s">
        <v>1723</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98</v>
      </c>
      <c r="E84" s="493">
        <f>D84-$K15</f>
        <v>96</v>
      </c>
      <c r="F84" s="493">
        <f>E84-$K15</f>
        <v>94</v>
      </c>
      <c r="G84" s="493">
        <f>F84-$K15</f>
        <v>92</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1724</v>
      </c>
      <c r="C85" s="527" t="s">
        <v>1719</v>
      </c>
      <c r="D85" s="527" t="s">
        <v>1720</v>
      </c>
      <c r="E85" s="527" t="s">
        <v>1721</v>
      </c>
      <c r="F85" s="527" t="s">
        <v>1722</v>
      </c>
      <c r="G85" s="527" t="s">
        <v>1723</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1905</v>
      </c>
      <c r="C87" s="522" t="s">
        <v>1719</v>
      </c>
      <c r="D87" s="522" t="s">
        <v>1720</v>
      </c>
      <c r="E87" s="522" t="s">
        <v>1721</v>
      </c>
      <c r="F87" s="522" t="s">
        <v>1722</v>
      </c>
      <c r="G87" s="522" t="s">
        <v>1723</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1922</v>
      </c>
      <c r="C93" s="607" t="s">
        <v>1797</v>
      </c>
      <c r="D93" s="607" t="s">
        <v>1798</v>
      </c>
      <c r="E93" s="607" t="s">
        <v>1799</v>
      </c>
      <c r="F93" s="607" t="s">
        <v>1800</v>
      </c>
      <c r="G93" s="607" t="s">
        <v>1801</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1813</v>
      </c>
      <c r="C97" s="3449" t="s">
        <v>3444</v>
      </c>
      <c r="D97" s="3449" t="s">
        <v>3445</v>
      </c>
      <c r="E97" s="3449" t="s">
        <v>3446</v>
      </c>
      <c r="F97" s="3449" t="s">
        <v>3447</v>
      </c>
      <c r="G97" s="3449" t="s">
        <v>3449</v>
      </c>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99</v>
      </c>
      <c r="E98" s="493">
        <f t="shared" si="24"/>
        <v>98</v>
      </c>
      <c r="F98" s="493">
        <f t="shared" si="24"/>
        <v>97</v>
      </c>
      <c r="G98" s="493">
        <f t="shared" si="24"/>
        <v>96</v>
      </c>
      <c r="H98" s="493">
        <f t="shared" si="24"/>
        <v>95</v>
      </c>
      <c r="I98" s="493">
        <f t="shared" si="24"/>
        <v>94</v>
      </c>
      <c r="J98" s="493">
        <f t="shared" si="24"/>
        <v>93</v>
      </c>
      <c r="K98" s="493">
        <f t="shared" si="24"/>
        <v>92</v>
      </c>
      <c r="L98" s="493">
        <f t="shared" si="24"/>
        <v>91</v>
      </c>
      <c r="M98" s="493">
        <f t="shared" si="24"/>
        <v>90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1871</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1692</v>
      </c>
      <c r="B107" s="477" t="s">
        <v>1911</v>
      </c>
      <c r="C107" s="478" t="str">
        <f t="shared" ref="C107:L107" si="26">C108&amp;"(含)"&amp;"-"&amp;D108</f>
        <v>0(含)-30000</v>
      </c>
      <c r="D107" s="478" t="str">
        <f t="shared" si="26"/>
        <v>30000(含)-50000</v>
      </c>
      <c r="E107" s="478" t="str">
        <f t="shared" si="26"/>
        <v>50000(含)-100000</v>
      </c>
      <c r="F107" s="478" t="str">
        <f t="shared" si="26"/>
        <v>100000(含)-</v>
      </c>
      <c r="G107" s="478" t="str">
        <f t="shared" si="26"/>
        <v>(含)-</v>
      </c>
      <c r="H107" s="478" t="str">
        <f t="shared" si="26"/>
        <v>(含)-</v>
      </c>
      <c r="I107" s="478" t="str">
        <f t="shared" si="26"/>
        <v>(含)-</v>
      </c>
      <c r="J107" s="478"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30000</v>
      </c>
      <c r="E108" s="544">
        <v>50000</v>
      </c>
      <c r="F108" s="544">
        <v>100000</v>
      </c>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f>C109-2</f>
        <v>98</v>
      </c>
      <c r="E109" s="540">
        <f t="shared" ref="E109:F109" si="27">D109-2</f>
        <v>96</v>
      </c>
      <c r="F109" s="540">
        <f t="shared" si="27"/>
        <v>94</v>
      </c>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1912</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1914</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1915</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2080</v>
      </c>
      <c r="C1" s="3799" t="s">
        <v>2081</v>
      </c>
      <c r="D1" s="3800"/>
      <c r="E1" s="3800"/>
      <c r="F1" s="3800"/>
      <c r="G1" s="3800"/>
      <c r="H1" s="3800"/>
      <c r="I1" s="3800"/>
      <c r="J1" s="3800"/>
      <c r="K1" s="3800"/>
      <c r="L1" s="3800"/>
      <c r="M1" s="3800"/>
      <c r="N1" s="3800"/>
      <c r="O1" s="3800"/>
      <c r="P1" s="3800"/>
      <c r="Q1" s="3800"/>
      <c r="R1" s="3800"/>
      <c r="S1" s="3801"/>
      <c r="T1" s="982" t="s">
        <v>2082</v>
      </c>
    </row>
    <row r="2" spans="1:45" s="654" customFormat="1">
      <c r="A2" s="983"/>
      <c r="B2" s="650" t="s">
        <v>2083</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2084</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2085</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2086</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2090</v>
      </c>
      <c r="B17" s="2148" t="s">
        <v>2091</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2092</v>
      </c>
      <c r="E19" s="1339"/>
      <c r="F19" s="1339"/>
      <c r="G19" s="1339"/>
      <c r="H19" s="1058"/>
      <c r="I19" s="159"/>
      <c r="J19" s="159"/>
      <c r="K19" s="159"/>
      <c r="L19" s="159"/>
      <c r="M19" s="159"/>
      <c r="N19" s="159"/>
      <c r="O19" s="159"/>
      <c r="P19" s="159"/>
      <c r="Q19" s="159"/>
      <c r="R19" s="717"/>
      <c r="S19" s="129"/>
    </row>
    <row r="20" spans="1:45" ht="16.5" thickBot="1">
      <c r="A20" s="661" t="s">
        <v>2093</v>
      </c>
      <c r="B20" s="294" t="e">
        <f ca="1">IF(D20="——",S22,S22-F20)</f>
        <v>#REF!</v>
      </c>
      <c r="C20" s="159"/>
      <c r="D20" s="2150"/>
      <c r="E20" s="1340"/>
      <c r="F20" s="982" t="e">
        <f ca="1">SUMIF(INDIRECT("'"&amp;H20&amp;"'"&amp;"!A:A"),"承租人权益价值",INDIRECT("'"&amp;H20&amp;"'"&amp;"!c:c"))</f>
        <v>#REF!</v>
      </c>
      <c r="G20" s="982" t="s">
        <v>2094</v>
      </c>
      <c r="H20" s="2151"/>
      <c r="I20" s="159"/>
      <c r="J20" s="159"/>
      <c r="K20" s="159"/>
      <c r="L20" s="159"/>
      <c r="M20" s="159"/>
      <c r="N20" s="159"/>
      <c r="O20" s="159"/>
      <c r="P20" s="159"/>
      <c r="Q20" s="159"/>
      <c r="R20" s="717"/>
      <c r="S20" s="129"/>
    </row>
    <row r="21" spans="1:45" ht="15.75">
      <c r="A21" s="661" t="s">
        <v>2095</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0</v>
      </c>
      <c r="C22" s="3796" t="s">
        <v>27</v>
      </c>
      <c r="D22" s="3797"/>
      <c r="E22" s="3797"/>
      <c r="F22" s="3797"/>
      <c r="G22" s="3797"/>
      <c r="H22" s="3797"/>
      <c r="I22" s="3797"/>
      <c r="J22" s="3797"/>
      <c r="K22" s="3797"/>
      <c r="L22" s="3797"/>
      <c r="M22" s="3797"/>
      <c r="N22" s="3797"/>
      <c r="O22" s="3797"/>
      <c r="P22" s="3797"/>
      <c r="Q22" s="3798"/>
      <c r="R22" s="662"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2102</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2078</v>
      </c>
      <c r="B1" s="2146"/>
      <c r="C1" s="2146"/>
      <c r="D1" s="2146"/>
      <c r="E1" s="2146"/>
      <c r="F1" s="2792"/>
      <c r="G1" s="2792"/>
      <c r="H1" s="2792"/>
      <c r="I1" s="2792"/>
      <c r="J1" s="2792"/>
      <c r="K1" s="2792"/>
      <c r="L1" s="2792"/>
      <c r="M1" s="2792"/>
      <c r="N1" s="2792"/>
      <c r="O1" s="2792"/>
      <c r="P1" s="2792"/>
    </row>
    <row r="2" spans="1:16" ht="15.75">
      <c r="A2" s="2144" t="s">
        <v>2070</v>
      </c>
      <c r="B2" s="2601">
        <f ca="1">SUMIF(B6:B13,"&lt;&gt;#ref!",B6:B13)</f>
        <v>363</v>
      </c>
      <c r="C2" s="2144" t="s">
        <v>2071</v>
      </c>
      <c r="D2" s="2144" t="s">
        <v>2072</v>
      </c>
      <c r="E2" s="2611">
        <f ca="1">SUMIF(E6:E13,"&lt;&gt;#ref!",E6:E13)</f>
        <v>1911.3919999999998</v>
      </c>
      <c r="F2" s="2792"/>
      <c r="G2" s="2792"/>
      <c r="H2" s="2792"/>
      <c r="I2" s="2792"/>
      <c r="J2" s="2792"/>
      <c r="K2" s="2792"/>
      <c r="L2" s="2792"/>
      <c r="M2" s="2792"/>
      <c r="N2" s="2792"/>
      <c r="O2" s="2792"/>
      <c r="P2" s="2792"/>
    </row>
    <row r="3" spans="1:16" ht="15.75">
      <c r="A3" s="2144" t="s">
        <v>2073</v>
      </c>
      <c r="B3" s="2601">
        <f ca="1">ROUND(B2*10000/E2,0)</f>
        <v>1899</v>
      </c>
      <c r="C3" s="2144" t="s">
        <v>2079</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2074</v>
      </c>
      <c r="B5" s="2609" t="s">
        <v>2075</v>
      </c>
      <c r="C5" s="2145"/>
      <c r="D5" s="2792"/>
      <c r="E5" s="2610" t="s">
        <v>2076</v>
      </c>
      <c r="F5" s="2792"/>
      <c r="G5" s="2792"/>
      <c r="H5" s="2792"/>
      <c r="I5" s="2792"/>
      <c r="J5" s="2792"/>
      <c r="K5" s="2792"/>
      <c r="L5" s="2792"/>
      <c r="M5" s="2792"/>
      <c r="N5" s="2792"/>
      <c r="O5" s="2792"/>
      <c r="P5" s="2792"/>
    </row>
    <row r="6" spans="1:16" ht="15.75">
      <c r="A6" s="2608" t="s">
        <v>2077</v>
      </c>
      <c r="B6" s="2601">
        <f ca="1">SUMIF(INDIRECT("'"&amp;A6&amp;"'"&amp;"!A:A"),"总价",INDIRECT("'"&amp;A6&amp;"'"&amp;"!B:B"))</f>
        <v>363</v>
      </c>
      <c r="C6" s="2144" t="s">
        <v>2071</v>
      </c>
      <c r="D6" s="2792"/>
      <c r="E6" s="2611">
        <f ca="1">SUMIF(INDIRECT("'"&amp;A6&amp;"'"&amp;"!C:C"),"建筑面积",INDIRECT("'"&amp;A6&amp;"'"&amp;"!D:D"))</f>
        <v>1911.3919999999998</v>
      </c>
      <c r="F6" s="2792"/>
      <c r="G6" s="2792"/>
      <c r="H6" s="2792"/>
      <c r="I6" s="2792"/>
      <c r="J6" s="2792"/>
      <c r="K6" s="2792"/>
      <c r="L6" s="2792"/>
      <c r="M6" s="2792"/>
      <c r="N6" s="2792"/>
      <c r="O6" s="2792"/>
      <c r="P6" s="2792"/>
    </row>
    <row r="7" spans="1:16" ht="15.75">
      <c r="A7" s="2608"/>
      <c r="B7" s="2601" t="e">
        <f ca="1">SUMIF(INDIRECT("'"&amp;A7&amp;"'"&amp;"!A:A"),"总价",INDIRECT("'"&amp;A7&amp;"'"&amp;"!B:B"))</f>
        <v>#REF!</v>
      </c>
      <c r="C7" s="2144" t="s">
        <v>2071</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2071</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2071</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2071</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2071</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2071</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2071</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811" t="s">
        <v>2608</v>
      </c>
      <c r="B20" s="3806" t="s">
        <v>2629</v>
      </c>
      <c r="C20" s="3102" t="s">
        <v>2440</v>
      </c>
      <c r="D20" s="3103"/>
      <c r="E20" s="3104">
        <v>1</v>
      </c>
      <c r="F20" s="3105" t="s">
        <v>2441</v>
      </c>
      <c r="G20" s="3105"/>
    </row>
    <row r="21" spans="1:13" ht="19.5" customHeight="1">
      <c r="A21" s="3812"/>
      <c r="B21" s="3805"/>
      <c r="C21" s="3106" t="s">
        <v>2442</v>
      </c>
      <c r="D21" s="3107"/>
      <c r="E21" s="3108">
        <v>1</v>
      </c>
      <c r="F21" s="3105" t="s">
        <v>2443</v>
      </c>
      <c r="G21" s="3105"/>
    </row>
    <row r="22" spans="1:13" ht="19.5" customHeight="1">
      <c r="A22" s="3812"/>
      <c r="B22" s="3805"/>
      <c r="C22" s="3106" t="s">
        <v>2444</v>
      </c>
      <c r="D22" s="3107"/>
      <c r="E22" s="3108">
        <v>0.9</v>
      </c>
      <c r="F22" s="3105" t="s">
        <v>2445</v>
      </c>
      <c r="G22" s="3105"/>
    </row>
    <row r="23" spans="1:13" ht="19.5" customHeight="1">
      <c r="A23" s="3812"/>
      <c r="B23" s="3805"/>
      <c r="C23" s="3106" t="s">
        <v>2446</v>
      </c>
      <c r="D23" s="3107"/>
      <c r="E23" s="3108">
        <v>0.9</v>
      </c>
      <c r="F23" s="3105" t="s">
        <v>2447</v>
      </c>
      <c r="G23" s="3105"/>
    </row>
    <row r="24" spans="1:13" ht="19.5" customHeight="1">
      <c r="A24" s="3812"/>
      <c r="B24" s="3805"/>
      <c r="C24" s="3106" t="s">
        <v>2448</v>
      </c>
      <c r="D24" s="3107"/>
      <c r="E24" s="3108">
        <v>0.8</v>
      </c>
      <c r="F24" s="3105" t="s">
        <v>2449</v>
      </c>
      <c r="G24" s="3105"/>
    </row>
    <row r="25" spans="1:13" ht="19.5" customHeight="1" thickBot="1">
      <c r="A25" s="3813"/>
      <c r="B25" s="3807"/>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808" t="s">
        <v>2632</v>
      </c>
      <c r="B27" s="3806" t="s">
        <v>2613</v>
      </c>
      <c r="C27" s="3102" t="s">
        <v>2453</v>
      </c>
      <c r="D27" s="3103"/>
      <c r="E27" s="3104">
        <v>1</v>
      </c>
      <c r="F27" s="3105" t="s">
        <v>2454</v>
      </c>
      <c r="G27" s="3105"/>
    </row>
    <row r="28" spans="1:13" ht="19.5" customHeight="1">
      <c r="A28" s="3809"/>
      <c r="B28" s="3805"/>
      <c r="C28" s="3106" t="s">
        <v>2455</v>
      </c>
      <c r="D28" s="3107"/>
      <c r="E28" s="3108">
        <v>1</v>
      </c>
      <c r="F28" s="3105" t="s">
        <v>2456</v>
      </c>
      <c r="G28" s="3105"/>
    </row>
    <row r="29" spans="1:13" ht="19.5" customHeight="1">
      <c r="A29" s="3809"/>
      <c r="B29" s="3805"/>
      <c r="C29" s="3106" t="s">
        <v>2457</v>
      </c>
      <c r="D29" s="3107"/>
      <c r="E29" s="3108">
        <v>0.8</v>
      </c>
      <c r="F29" s="3105" t="s">
        <v>2458</v>
      </c>
      <c r="G29" s="3105"/>
    </row>
    <row r="30" spans="1:13" ht="19.5" customHeight="1">
      <c r="A30" s="3809"/>
      <c r="B30" s="3805"/>
      <c r="C30" s="3106" t="s">
        <v>2459</v>
      </c>
      <c r="D30" s="3107"/>
      <c r="E30" s="3108">
        <v>0.8</v>
      </c>
      <c r="F30" s="3105" t="s">
        <v>2460</v>
      </c>
      <c r="G30" s="3105"/>
    </row>
    <row r="31" spans="1:13" ht="19.5" customHeight="1">
      <c r="A31" s="3809"/>
      <c r="B31" s="3805"/>
      <c r="C31" s="3106" t="s">
        <v>2461</v>
      </c>
      <c r="D31" s="3107"/>
      <c r="E31" s="3108">
        <v>0.8</v>
      </c>
      <c r="F31" s="3105" t="s">
        <v>2462</v>
      </c>
      <c r="G31" s="3105"/>
    </row>
    <row r="32" spans="1:13" ht="19.5" customHeight="1">
      <c r="A32" s="3809"/>
      <c r="B32" s="3805"/>
      <c r="C32" s="3106" t="s">
        <v>2463</v>
      </c>
      <c r="D32" s="3107"/>
      <c r="E32" s="3108">
        <v>0.7</v>
      </c>
      <c r="F32" s="3105" t="s">
        <v>2464</v>
      </c>
      <c r="G32" s="3105"/>
    </row>
    <row r="33" spans="1:7" ht="19.5" customHeight="1">
      <c r="A33" s="3809"/>
      <c r="B33" s="3805"/>
      <c r="C33" s="3106" t="s">
        <v>2465</v>
      </c>
      <c r="D33" s="3107"/>
      <c r="E33" s="3108">
        <v>0.8</v>
      </c>
      <c r="F33" s="3105" t="s">
        <v>2466</v>
      </c>
      <c r="G33" s="3105"/>
    </row>
    <row r="34" spans="1:7" ht="19.5" customHeight="1">
      <c r="A34" s="3809"/>
      <c r="B34" s="3805"/>
      <c r="C34" s="3106" t="s">
        <v>2467</v>
      </c>
      <c r="D34" s="3107"/>
      <c r="E34" s="3108">
        <v>0.6</v>
      </c>
      <c r="F34" s="3105" t="s">
        <v>2468</v>
      </c>
      <c r="G34" s="3105"/>
    </row>
    <row r="35" spans="1:7" ht="19.5" customHeight="1">
      <c r="A35" s="3809"/>
      <c r="B35" s="3805"/>
      <c r="C35" s="3106" t="s">
        <v>2469</v>
      </c>
      <c r="D35" s="3107"/>
      <c r="E35" s="3108">
        <v>0.2</v>
      </c>
      <c r="F35" s="3105" t="s">
        <v>2470</v>
      </c>
      <c r="G35" s="3105"/>
    </row>
    <row r="36" spans="1:7" ht="19.5" customHeight="1">
      <c r="A36" s="3809"/>
      <c r="B36" s="3805"/>
      <c r="C36" s="3106" t="s">
        <v>2471</v>
      </c>
      <c r="D36" s="3107"/>
      <c r="E36" s="3108">
        <v>0.2</v>
      </c>
      <c r="F36" s="3105" t="s">
        <v>2472</v>
      </c>
      <c r="G36" s="3105"/>
    </row>
    <row r="37" spans="1:7" ht="19.5" customHeight="1">
      <c r="A37" s="3809"/>
      <c r="B37" s="3803" t="s">
        <v>2633</v>
      </c>
      <c r="C37" s="3106" t="s">
        <v>2473</v>
      </c>
      <c r="D37" s="3107"/>
      <c r="E37" s="3108">
        <v>0.6</v>
      </c>
      <c r="F37" s="3105" t="s">
        <v>2474</v>
      </c>
      <c r="G37" s="3105"/>
    </row>
    <row r="38" spans="1:7" ht="19.5" customHeight="1">
      <c r="A38" s="3809"/>
      <c r="B38" s="3805"/>
      <c r="C38" s="3106" t="s">
        <v>2475</v>
      </c>
      <c r="D38" s="3107"/>
      <c r="E38" s="3108">
        <v>0.6</v>
      </c>
      <c r="F38" s="3105" t="s">
        <v>2476</v>
      </c>
      <c r="G38" s="3105"/>
    </row>
    <row r="39" spans="1:7" ht="19.5" customHeight="1" thickBot="1">
      <c r="A39" s="3810"/>
      <c r="B39" s="3807"/>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811" t="s">
        <v>2611</v>
      </c>
      <c r="B41" s="3806" t="s">
        <v>2635</v>
      </c>
      <c r="C41" s="3102" t="s">
        <v>2480</v>
      </c>
      <c r="D41" s="3103"/>
      <c r="E41" s="3104">
        <v>1</v>
      </c>
      <c r="F41" s="3105" t="s">
        <v>2481</v>
      </c>
      <c r="G41" s="3105"/>
    </row>
    <row r="42" spans="1:7" ht="19.5" customHeight="1">
      <c r="A42" s="3812"/>
      <c r="B42" s="3805"/>
      <c r="C42" s="3106" t="s">
        <v>2482</v>
      </c>
      <c r="D42" s="3107"/>
      <c r="E42" s="3108">
        <v>1</v>
      </c>
      <c r="F42" s="3105" t="s">
        <v>2483</v>
      </c>
      <c r="G42" s="3105"/>
    </row>
    <row r="43" spans="1:7" ht="19.5" customHeight="1">
      <c r="A43" s="3812"/>
      <c r="B43" s="3804"/>
      <c r="C43" s="3106" t="s">
        <v>2484</v>
      </c>
      <c r="D43" s="3107"/>
      <c r="E43" s="3108">
        <v>1.5</v>
      </c>
      <c r="F43" s="3105" t="s">
        <v>2485</v>
      </c>
      <c r="G43" s="3105"/>
    </row>
    <row r="44" spans="1:7" ht="19.5" customHeight="1">
      <c r="A44" s="3812"/>
      <c r="B44" s="3117" t="s">
        <v>2636</v>
      </c>
      <c r="C44" s="3106" t="s">
        <v>2637</v>
      </c>
      <c r="D44" s="3107"/>
      <c r="E44" s="3108">
        <v>2</v>
      </c>
      <c r="F44" s="3105" t="s">
        <v>2486</v>
      </c>
      <c r="G44" s="3105"/>
    </row>
    <row r="45" spans="1:7" ht="19.5" customHeight="1">
      <c r="A45" s="3812"/>
      <c r="B45" s="3803" t="s">
        <v>2638</v>
      </c>
      <c r="C45" s="3106" t="s">
        <v>2487</v>
      </c>
      <c r="D45" s="3107"/>
      <c r="E45" s="3108">
        <v>1</v>
      </c>
      <c r="F45" s="3105" t="s">
        <v>2488</v>
      </c>
      <c r="G45" s="3105"/>
    </row>
    <row r="46" spans="1:7" ht="19.5" customHeight="1">
      <c r="A46" s="3812"/>
      <c r="B46" s="3805"/>
      <c r="C46" s="3106" t="s">
        <v>2489</v>
      </c>
      <c r="D46" s="3107"/>
      <c r="E46" s="3108">
        <v>1</v>
      </c>
      <c r="F46" s="3105" t="s">
        <v>2490</v>
      </c>
      <c r="G46" s="3105"/>
    </row>
    <row r="47" spans="1:7" ht="19.5" customHeight="1">
      <c r="A47" s="3812"/>
      <c r="B47" s="3805"/>
      <c r="C47" s="3106" t="s">
        <v>2491</v>
      </c>
      <c r="D47" s="3107"/>
      <c r="E47" s="3108">
        <v>1</v>
      </c>
      <c r="F47" s="3105" t="s">
        <v>2492</v>
      </c>
      <c r="G47" s="3105"/>
    </row>
    <row r="48" spans="1:7" ht="19.5" customHeight="1">
      <c r="A48" s="3812"/>
      <c r="B48" s="3805"/>
      <c r="C48" s="3106" t="s">
        <v>2493</v>
      </c>
      <c r="D48" s="3107"/>
      <c r="E48" s="3108">
        <v>1</v>
      </c>
      <c r="F48" s="3105" t="s">
        <v>2494</v>
      </c>
      <c r="G48" s="3105"/>
    </row>
    <row r="49" spans="1:7" ht="19.5" customHeight="1">
      <c r="A49" s="3812"/>
      <c r="B49" s="3805"/>
      <c r="C49" s="3106" t="s">
        <v>2495</v>
      </c>
      <c r="D49" s="3107"/>
      <c r="E49" s="3108">
        <v>1</v>
      </c>
      <c r="F49" s="3105" t="s">
        <v>2496</v>
      </c>
      <c r="G49" s="3105"/>
    </row>
    <row r="50" spans="1:7" ht="19.5" customHeight="1">
      <c r="A50" s="3812"/>
      <c r="B50" s="3805"/>
      <c r="C50" s="3106" t="s">
        <v>2497</v>
      </c>
      <c r="D50" s="3107"/>
      <c r="E50" s="3108">
        <v>1</v>
      </c>
      <c r="F50" s="3105" t="s">
        <v>2498</v>
      </c>
      <c r="G50" s="3105"/>
    </row>
    <row r="51" spans="1:7" ht="19.5" customHeight="1" thickBot="1">
      <c r="A51" s="3813"/>
      <c r="B51" s="3807"/>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803" t="s">
        <v>2652</v>
      </c>
      <c r="C73" s="3091" t="s">
        <v>2653</v>
      </c>
      <c r="D73" s="3091" t="s">
        <v>2654</v>
      </c>
      <c r="E73" s="3117">
        <v>0.2</v>
      </c>
      <c r="F73" s="3117">
        <v>25</v>
      </c>
    </row>
    <row r="74" spans="1:7" ht="24">
      <c r="A74" s="3117">
        <v>2</v>
      </c>
      <c r="B74" s="3805"/>
      <c r="C74" s="3091" t="s">
        <v>2655</v>
      </c>
      <c r="D74" s="3091" t="s">
        <v>2656</v>
      </c>
      <c r="E74" s="3117">
        <v>0.2</v>
      </c>
      <c r="F74" s="3117">
        <v>25</v>
      </c>
    </row>
    <row r="75" spans="1:7" ht="24">
      <c r="A75" s="3117">
        <v>3</v>
      </c>
      <c r="B75" s="3805"/>
      <c r="C75" s="3091" t="s">
        <v>2657</v>
      </c>
      <c r="D75" s="3091" t="s">
        <v>2658</v>
      </c>
      <c r="E75" s="3117">
        <v>0.2</v>
      </c>
      <c r="F75" s="3117">
        <v>25</v>
      </c>
    </row>
    <row r="76" spans="1:7" ht="13.5">
      <c r="A76" s="3117">
        <v>4</v>
      </c>
      <c r="B76" s="3805"/>
      <c r="C76" s="3091" t="s">
        <v>2659</v>
      </c>
      <c r="D76" s="3091" t="s">
        <v>2660</v>
      </c>
      <c r="E76" s="3117">
        <v>0.15</v>
      </c>
      <c r="F76" s="3117">
        <v>20</v>
      </c>
    </row>
    <row r="77" spans="1:7" ht="24">
      <c r="A77" s="3117">
        <v>5</v>
      </c>
      <c r="B77" s="3805"/>
      <c r="C77" s="3091" t="s">
        <v>2661</v>
      </c>
      <c r="D77" s="3091" t="s">
        <v>2662</v>
      </c>
      <c r="E77" s="3117">
        <v>0.15</v>
      </c>
      <c r="F77" s="3117">
        <v>20</v>
      </c>
    </row>
    <row r="78" spans="1:7" ht="24">
      <c r="A78" s="3117">
        <v>6</v>
      </c>
      <c r="B78" s="3805"/>
      <c r="C78" s="3091" t="s">
        <v>2663</v>
      </c>
      <c r="D78" s="3091" t="s">
        <v>2664</v>
      </c>
      <c r="E78" s="3117">
        <v>0.15</v>
      </c>
      <c r="F78" s="3117">
        <v>20</v>
      </c>
    </row>
    <row r="79" spans="1:7" ht="24">
      <c r="A79" s="3117">
        <v>7</v>
      </c>
      <c r="B79" s="3805"/>
      <c r="C79" s="3091" t="s">
        <v>2665</v>
      </c>
      <c r="D79" s="3091" t="s">
        <v>2666</v>
      </c>
      <c r="E79" s="3117">
        <v>0.15</v>
      </c>
      <c r="F79" s="3117">
        <v>20</v>
      </c>
    </row>
    <row r="80" spans="1:7" ht="24">
      <c r="A80" s="3117">
        <v>8</v>
      </c>
      <c r="B80" s="3805"/>
      <c r="C80" s="3091" t="s">
        <v>2667</v>
      </c>
      <c r="D80" s="3091" t="s">
        <v>2668</v>
      </c>
      <c r="E80" s="3117">
        <v>0.1</v>
      </c>
      <c r="F80" s="3117">
        <v>15</v>
      </c>
    </row>
    <row r="81" spans="1:6" ht="24">
      <c r="A81" s="3117">
        <v>9</v>
      </c>
      <c r="B81" s="3805"/>
      <c r="C81" s="3091" t="s">
        <v>2669</v>
      </c>
      <c r="D81" s="3091" t="s">
        <v>2670</v>
      </c>
      <c r="E81" s="3117">
        <v>0.1</v>
      </c>
      <c r="F81" s="3117">
        <v>15</v>
      </c>
    </row>
    <row r="82" spans="1:6" ht="24">
      <c r="A82" s="3117">
        <v>10</v>
      </c>
      <c r="B82" s="3805"/>
      <c r="C82" s="3091" t="s">
        <v>2671</v>
      </c>
      <c r="D82" s="3091" t="s">
        <v>2672</v>
      </c>
      <c r="E82" s="3117">
        <v>0.1</v>
      </c>
      <c r="F82" s="3117">
        <v>15</v>
      </c>
    </row>
    <row r="83" spans="1:6" ht="24">
      <c r="A83" s="3117">
        <v>11</v>
      </c>
      <c r="B83" s="3805"/>
      <c r="C83" s="3091" t="s">
        <v>2673</v>
      </c>
      <c r="D83" s="3091" t="s">
        <v>2674</v>
      </c>
      <c r="E83" s="3117">
        <v>0.1</v>
      </c>
      <c r="F83" s="3117">
        <v>15</v>
      </c>
    </row>
    <row r="84" spans="1:6" ht="24">
      <c r="A84" s="3117">
        <v>12</v>
      </c>
      <c r="B84" s="3805"/>
      <c r="C84" s="3091" t="s">
        <v>2675</v>
      </c>
      <c r="D84" s="3091" t="s">
        <v>2676</v>
      </c>
      <c r="E84" s="3117">
        <v>0.1</v>
      </c>
      <c r="F84" s="3117">
        <v>15</v>
      </c>
    </row>
    <row r="85" spans="1:6" ht="13.5">
      <c r="A85" s="3117">
        <v>13</v>
      </c>
      <c r="B85" s="3805"/>
      <c r="C85" s="3091" t="s">
        <v>2677</v>
      </c>
      <c r="D85" s="3091" t="s">
        <v>2678</v>
      </c>
      <c r="E85" s="3117">
        <v>0.1</v>
      </c>
      <c r="F85" s="3117">
        <v>15</v>
      </c>
    </row>
    <row r="86" spans="1:6" ht="13.5">
      <c r="A86" s="3117">
        <v>14</v>
      </c>
      <c r="B86" s="3805"/>
      <c r="C86" s="3091" t="s">
        <v>2679</v>
      </c>
      <c r="D86" s="3091" t="s">
        <v>2680</v>
      </c>
      <c r="E86" s="3117">
        <v>0.1</v>
      </c>
      <c r="F86" s="3117">
        <v>15</v>
      </c>
    </row>
    <row r="87" spans="1:6" ht="13.5">
      <c r="A87" s="3117">
        <v>15</v>
      </c>
      <c r="B87" s="3805"/>
      <c r="C87" s="3091" t="s">
        <v>2681</v>
      </c>
      <c r="D87" s="3091" t="s">
        <v>2682</v>
      </c>
      <c r="E87" s="3117">
        <v>0.1</v>
      </c>
      <c r="F87" s="3117">
        <v>15</v>
      </c>
    </row>
    <row r="88" spans="1:6" ht="24">
      <c r="A88" s="3117">
        <v>16</v>
      </c>
      <c r="B88" s="3805"/>
      <c r="C88" s="3091" t="s">
        <v>2683</v>
      </c>
      <c r="D88" s="3091" t="s">
        <v>2684</v>
      </c>
      <c r="E88" s="3117">
        <v>0.1</v>
      </c>
      <c r="F88" s="3117">
        <v>15</v>
      </c>
    </row>
    <row r="89" spans="1:6" ht="24">
      <c r="A89" s="3117">
        <v>17</v>
      </c>
      <c r="B89" s="3804"/>
      <c r="C89" s="3091" t="s">
        <v>2685</v>
      </c>
      <c r="D89" s="3091" t="s">
        <v>2686</v>
      </c>
      <c r="E89" s="3117">
        <v>0.1</v>
      </c>
      <c r="F89" s="3117">
        <v>15</v>
      </c>
    </row>
    <row r="90" spans="1:6" ht="13.5">
      <c r="A90" s="3117">
        <v>18</v>
      </c>
      <c r="B90" s="3803" t="s">
        <v>2687</v>
      </c>
      <c r="C90" s="3091" t="s">
        <v>2688</v>
      </c>
      <c r="D90" s="3091" t="s">
        <v>2689</v>
      </c>
      <c r="E90" s="3117">
        <v>0.2</v>
      </c>
      <c r="F90" s="3117">
        <v>25</v>
      </c>
    </row>
    <row r="91" spans="1:6" ht="24">
      <c r="A91" s="3117">
        <v>19</v>
      </c>
      <c r="B91" s="3805"/>
      <c r="C91" s="3091" t="s">
        <v>2690</v>
      </c>
      <c r="D91" s="3091" t="s">
        <v>2691</v>
      </c>
      <c r="E91" s="3117">
        <v>0.2</v>
      </c>
      <c r="F91" s="3117">
        <v>25</v>
      </c>
    </row>
    <row r="92" spans="1:6" ht="13.5">
      <c r="A92" s="3117">
        <v>20</v>
      </c>
      <c r="B92" s="3805"/>
      <c r="C92" s="3091" t="s">
        <v>2692</v>
      </c>
      <c r="D92" s="3091" t="s">
        <v>2693</v>
      </c>
      <c r="E92" s="3117">
        <v>0.15</v>
      </c>
      <c r="F92" s="3117">
        <v>20</v>
      </c>
    </row>
    <row r="93" spans="1:6" ht="13.5">
      <c r="A93" s="3117">
        <v>21</v>
      </c>
      <c r="B93" s="3805"/>
      <c r="C93" s="3091" t="s">
        <v>2694</v>
      </c>
      <c r="D93" s="3091" t="s">
        <v>2695</v>
      </c>
      <c r="E93" s="3117">
        <v>0.15</v>
      </c>
      <c r="F93" s="3117">
        <v>20</v>
      </c>
    </row>
    <row r="94" spans="1:6" ht="13.5">
      <c r="A94" s="3117">
        <v>22</v>
      </c>
      <c r="B94" s="3805"/>
      <c r="C94" s="3091" t="s">
        <v>2696</v>
      </c>
      <c r="D94" s="3091" t="s">
        <v>2697</v>
      </c>
      <c r="E94" s="3117">
        <v>0.15</v>
      </c>
      <c r="F94" s="3117">
        <v>20</v>
      </c>
    </row>
    <row r="95" spans="1:6" ht="36">
      <c r="A95" s="3117">
        <v>23</v>
      </c>
      <c r="B95" s="3805"/>
      <c r="C95" s="3091" t="s">
        <v>2698</v>
      </c>
      <c r="D95" s="3091" t="s">
        <v>2699</v>
      </c>
      <c r="E95" s="3117">
        <v>0.15</v>
      </c>
      <c r="F95" s="3117">
        <v>20</v>
      </c>
    </row>
    <row r="96" spans="1:6" ht="13.5">
      <c r="A96" s="3117">
        <v>24</v>
      </c>
      <c r="B96" s="3805"/>
      <c r="C96" s="3091" t="s">
        <v>2700</v>
      </c>
      <c r="D96" s="3091" t="s">
        <v>2701</v>
      </c>
      <c r="E96" s="3117">
        <v>0.1</v>
      </c>
      <c r="F96" s="3117">
        <v>15</v>
      </c>
    </row>
    <row r="97" spans="1:6" ht="13.5">
      <c r="A97" s="3117">
        <v>25</v>
      </c>
      <c r="B97" s="3805"/>
      <c r="C97" s="3091" t="s">
        <v>2702</v>
      </c>
      <c r="D97" s="3091" t="s">
        <v>2703</v>
      </c>
      <c r="E97" s="3117">
        <v>0.1</v>
      </c>
      <c r="F97" s="3117">
        <v>15</v>
      </c>
    </row>
    <row r="98" spans="1:6" ht="24">
      <c r="A98" s="3117">
        <v>26</v>
      </c>
      <c r="B98" s="3805"/>
      <c r="C98" s="3091" t="s">
        <v>2704</v>
      </c>
      <c r="D98" s="3091" t="s">
        <v>2705</v>
      </c>
      <c r="E98" s="3117">
        <v>0.1</v>
      </c>
      <c r="F98" s="3117">
        <v>15</v>
      </c>
    </row>
    <row r="99" spans="1:6" ht="24">
      <c r="A99" s="3117">
        <v>27</v>
      </c>
      <c r="B99" s="3805"/>
      <c r="C99" s="3091" t="s">
        <v>2706</v>
      </c>
      <c r="D99" s="3091" t="s">
        <v>2707</v>
      </c>
      <c r="E99" s="3117">
        <v>0.1</v>
      </c>
      <c r="F99" s="3117">
        <v>15</v>
      </c>
    </row>
    <row r="100" spans="1:6" ht="13.5">
      <c r="A100" s="3117">
        <v>28</v>
      </c>
      <c r="B100" s="3805"/>
      <c r="C100" s="3091" t="s">
        <v>2708</v>
      </c>
      <c r="D100" s="3091" t="s">
        <v>2709</v>
      </c>
      <c r="E100" s="3117">
        <v>0.1</v>
      </c>
      <c r="F100" s="3117">
        <v>15</v>
      </c>
    </row>
    <row r="101" spans="1:6" ht="13.5">
      <c r="A101" s="3117">
        <v>29</v>
      </c>
      <c r="B101" s="3805"/>
      <c r="C101" s="3091" t="s">
        <v>2710</v>
      </c>
      <c r="D101" s="3091" t="s">
        <v>2711</v>
      </c>
      <c r="E101" s="3117">
        <v>0.1</v>
      </c>
      <c r="F101" s="3117">
        <v>15</v>
      </c>
    </row>
    <row r="102" spans="1:6" ht="13.5">
      <c r="A102" s="3117">
        <v>30</v>
      </c>
      <c r="B102" s="3805"/>
      <c r="C102" s="3091" t="s">
        <v>2712</v>
      </c>
      <c r="D102" s="3091" t="s">
        <v>2713</v>
      </c>
      <c r="E102" s="3117">
        <v>0.1</v>
      </c>
      <c r="F102" s="3117">
        <v>15</v>
      </c>
    </row>
    <row r="103" spans="1:6" ht="24">
      <c r="A103" s="3117">
        <v>31</v>
      </c>
      <c r="B103" s="3805"/>
      <c r="C103" s="3091" t="s">
        <v>2714</v>
      </c>
      <c r="D103" s="3091" t="s">
        <v>2715</v>
      </c>
      <c r="E103" s="3117">
        <v>0.1</v>
      </c>
      <c r="F103" s="3117">
        <v>15</v>
      </c>
    </row>
    <row r="104" spans="1:6" ht="24">
      <c r="A104" s="3117">
        <v>32</v>
      </c>
      <c r="B104" s="3805"/>
      <c r="C104" s="3091" t="s">
        <v>2716</v>
      </c>
      <c r="D104" s="3091" t="s">
        <v>2717</v>
      </c>
      <c r="E104" s="3117">
        <v>0.1</v>
      </c>
      <c r="F104" s="3117">
        <v>15</v>
      </c>
    </row>
    <row r="105" spans="1:6" ht="24">
      <c r="A105" s="3117">
        <v>33</v>
      </c>
      <c r="B105" s="3805"/>
      <c r="C105" s="3091" t="s">
        <v>2718</v>
      </c>
      <c r="D105" s="3091" t="s">
        <v>2719</v>
      </c>
      <c r="E105" s="3117">
        <v>0.1</v>
      </c>
      <c r="F105" s="3117">
        <v>15</v>
      </c>
    </row>
    <row r="106" spans="1:6" ht="24">
      <c r="A106" s="3117">
        <v>34</v>
      </c>
      <c r="B106" s="3804"/>
      <c r="C106" s="3091" t="s">
        <v>2720</v>
      </c>
      <c r="D106" s="3091" t="s">
        <v>2721</v>
      </c>
      <c r="E106" s="3117">
        <v>0.1</v>
      </c>
      <c r="F106" s="3117">
        <v>15</v>
      </c>
    </row>
    <row r="107" spans="1:6" ht="24">
      <c r="A107" s="3117">
        <v>35</v>
      </c>
      <c r="B107" s="3803" t="s">
        <v>2722</v>
      </c>
      <c r="C107" s="3117" t="s">
        <v>2723</v>
      </c>
      <c r="D107" s="3091" t="s">
        <v>2724</v>
      </c>
      <c r="E107" s="3117">
        <v>0.15</v>
      </c>
      <c r="F107" s="3117">
        <v>20</v>
      </c>
    </row>
    <row r="108" spans="1:6" ht="13.5">
      <c r="A108" s="3117">
        <v>36</v>
      </c>
      <c r="B108" s="3805"/>
      <c r="C108" s="3117" t="s">
        <v>2725</v>
      </c>
      <c r="D108" s="3091" t="s">
        <v>2726</v>
      </c>
      <c r="E108" s="3117">
        <v>0.15</v>
      </c>
      <c r="F108" s="3117">
        <v>20</v>
      </c>
    </row>
    <row r="109" spans="1:6" ht="13.5">
      <c r="A109" s="3117">
        <v>37</v>
      </c>
      <c r="B109" s="3805"/>
      <c r="C109" s="3117" t="s">
        <v>2727</v>
      </c>
      <c r="D109" s="3091" t="s">
        <v>2728</v>
      </c>
      <c r="E109" s="3117">
        <v>0.15</v>
      </c>
      <c r="F109" s="3117">
        <v>20</v>
      </c>
    </row>
    <row r="110" spans="1:6" ht="13.5">
      <c r="A110" s="3117">
        <v>38</v>
      </c>
      <c r="B110" s="3805"/>
      <c r="C110" s="3117" t="s">
        <v>2729</v>
      </c>
      <c r="D110" s="3091" t="s">
        <v>2730</v>
      </c>
      <c r="E110" s="3117">
        <v>0.1</v>
      </c>
      <c r="F110" s="3117">
        <v>15</v>
      </c>
    </row>
    <row r="111" spans="1:6" ht="24">
      <c r="A111" s="3117">
        <v>39</v>
      </c>
      <c r="B111" s="3805"/>
      <c r="C111" s="3117" t="s">
        <v>2731</v>
      </c>
      <c r="D111" s="3091" t="s">
        <v>2732</v>
      </c>
      <c r="E111" s="3117">
        <v>0.1</v>
      </c>
      <c r="F111" s="3117">
        <v>15</v>
      </c>
    </row>
    <row r="112" spans="1:6" ht="24">
      <c r="A112" s="3117">
        <v>40</v>
      </c>
      <c r="B112" s="3804"/>
      <c r="C112" s="3117" t="s">
        <v>2733</v>
      </c>
      <c r="D112" s="3091" t="s">
        <v>2734</v>
      </c>
      <c r="E112" s="3117">
        <v>0.1</v>
      </c>
      <c r="F112" s="3117">
        <v>15</v>
      </c>
    </row>
    <row r="113" spans="1:6" ht="13.5">
      <c r="A113" s="3117">
        <v>41</v>
      </c>
      <c r="B113" s="3802" t="s">
        <v>2735</v>
      </c>
      <c r="C113" s="3117" t="s">
        <v>2736</v>
      </c>
      <c r="D113" s="3091" t="s">
        <v>2737</v>
      </c>
      <c r="E113" s="3117">
        <v>0.1</v>
      </c>
      <c r="F113" s="3117">
        <v>15</v>
      </c>
    </row>
    <row r="114" spans="1:6" ht="13.5">
      <c r="A114" s="3117">
        <v>42</v>
      </c>
      <c r="B114" s="3802"/>
      <c r="C114" s="3117" t="s">
        <v>2738</v>
      </c>
      <c r="D114" s="3091" t="s">
        <v>2739</v>
      </c>
      <c r="E114" s="3117">
        <v>0.1</v>
      </c>
      <c r="F114" s="3117">
        <v>15</v>
      </c>
    </row>
    <row r="115" spans="1:6" ht="24">
      <c r="A115" s="3117">
        <v>43</v>
      </c>
      <c r="B115" s="3802"/>
      <c r="C115" s="3117" t="s">
        <v>2740</v>
      </c>
      <c r="D115" s="3091" t="s">
        <v>2741</v>
      </c>
      <c r="E115" s="3117">
        <v>0.1</v>
      </c>
      <c r="F115" s="3117">
        <v>15</v>
      </c>
    </row>
    <row r="116" spans="1:6" ht="13.5">
      <c r="A116" s="3117">
        <v>44</v>
      </c>
      <c r="B116" s="3803" t="s">
        <v>2742</v>
      </c>
      <c r="C116" s="3117" t="s">
        <v>2743</v>
      </c>
      <c r="D116" s="3091" t="s">
        <v>2744</v>
      </c>
      <c r="E116" s="3117">
        <v>0.1</v>
      </c>
      <c r="F116" s="3117">
        <v>15</v>
      </c>
    </row>
    <row r="117" spans="1:6" ht="24">
      <c r="A117" s="3117">
        <v>45</v>
      </c>
      <c r="B117" s="3804"/>
      <c r="C117" s="3091" t="s">
        <v>2745</v>
      </c>
      <c r="D117" s="3091" t="s">
        <v>2746</v>
      </c>
      <c r="E117" s="3117">
        <v>0.1</v>
      </c>
      <c r="F117" s="3117">
        <v>15</v>
      </c>
    </row>
    <row r="118" spans="1:6" ht="24">
      <c r="A118" s="3117">
        <v>46</v>
      </c>
      <c r="B118" s="3803" t="s">
        <v>2747</v>
      </c>
      <c r="C118" s="3117" t="s">
        <v>2748</v>
      </c>
      <c r="D118" s="3091" t="s">
        <v>2749</v>
      </c>
      <c r="E118" s="3117">
        <v>0.1</v>
      </c>
      <c r="F118" s="3117">
        <v>15</v>
      </c>
    </row>
    <row r="119" spans="1:6" ht="24">
      <c r="A119" s="3117">
        <v>47</v>
      </c>
      <c r="B119" s="3804"/>
      <c r="C119" s="3117" t="s">
        <v>2750</v>
      </c>
      <c r="D119" s="3091" t="s">
        <v>2751</v>
      </c>
      <c r="E119" s="3117">
        <v>0.1</v>
      </c>
      <c r="F119" s="3117">
        <v>15</v>
      </c>
    </row>
    <row r="120" spans="1:6" ht="13.5">
      <c r="A120" s="3117">
        <v>48</v>
      </c>
      <c r="B120" s="3803" t="s">
        <v>2752</v>
      </c>
      <c r="C120" s="3117" t="s">
        <v>2753</v>
      </c>
      <c r="D120" s="3091" t="s">
        <v>2754</v>
      </c>
      <c r="E120" s="3117">
        <v>0.1</v>
      </c>
      <c r="F120" s="3117">
        <v>15</v>
      </c>
    </row>
    <row r="121" spans="1:6" ht="13.5">
      <c r="A121" s="3117">
        <v>49</v>
      </c>
      <c r="B121" s="3804"/>
      <c r="C121" s="3117" t="s">
        <v>2755</v>
      </c>
      <c r="D121" s="3091" t="s">
        <v>2756</v>
      </c>
      <c r="E121" s="3117">
        <v>0.1</v>
      </c>
      <c r="F121" s="3117">
        <v>15</v>
      </c>
    </row>
    <row r="122" spans="1:6" ht="24">
      <c r="A122" s="3117">
        <v>50</v>
      </c>
      <c r="B122" s="3802" t="s">
        <v>2757</v>
      </c>
      <c r="C122" s="3117" t="s">
        <v>2758</v>
      </c>
      <c r="D122" s="3091" t="s">
        <v>2759</v>
      </c>
      <c r="E122" s="3117">
        <v>0.1</v>
      </c>
      <c r="F122" s="3117">
        <v>15</v>
      </c>
    </row>
    <row r="123" spans="1:6" ht="24">
      <c r="A123" s="3117">
        <v>51</v>
      </c>
      <c r="B123" s="3802"/>
      <c r="C123" s="3117" t="s">
        <v>2760</v>
      </c>
      <c r="D123" s="3091" t="s">
        <v>2761</v>
      </c>
      <c r="E123" s="3117">
        <v>0.1</v>
      </c>
      <c r="F123" s="3117">
        <v>15</v>
      </c>
    </row>
    <row r="124" spans="1:6" ht="24">
      <c r="A124" s="3117">
        <v>52</v>
      </c>
      <c r="B124" s="3802" t="s">
        <v>2762</v>
      </c>
      <c r="C124" s="3117" t="s">
        <v>2763</v>
      </c>
      <c r="D124" s="3091" t="s">
        <v>2764</v>
      </c>
      <c r="E124" s="3117">
        <v>0.1</v>
      </c>
      <c r="F124" s="3117">
        <v>15</v>
      </c>
    </row>
    <row r="125" spans="1:6" ht="24">
      <c r="A125" s="3117">
        <v>53</v>
      </c>
      <c r="B125" s="3802"/>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802" t="s">
        <v>2770</v>
      </c>
      <c r="C127" s="3117" t="s">
        <v>2771</v>
      </c>
      <c r="D127" s="3091" t="s">
        <v>2772</v>
      </c>
      <c r="E127" s="3117">
        <v>0.1</v>
      </c>
      <c r="F127" s="3117">
        <v>15</v>
      </c>
    </row>
    <row r="128" spans="1:6" ht="13.5">
      <c r="A128" s="3117">
        <v>56</v>
      </c>
      <c r="B128" s="3802"/>
      <c r="C128" s="3117" t="s">
        <v>2773</v>
      </c>
      <c r="D128" s="3091" t="s">
        <v>2774</v>
      </c>
      <c r="E128" s="3117">
        <v>0.1</v>
      </c>
      <c r="F128" s="3117">
        <v>15</v>
      </c>
    </row>
    <row r="129" spans="1:6" ht="24">
      <c r="A129" s="3117">
        <v>57</v>
      </c>
      <c r="B129" s="3802"/>
      <c r="C129" s="3117" t="s">
        <v>2775</v>
      </c>
      <c r="D129" s="3091" t="s">
        <v>2776</v>
      </c>
      <c r="E129" s="3117">
        <v>0.1</v>
      </c>
      <c r="F129" s="3117">
        <v>15</v>
      </c>
    </row>
    <row r="130" spans="1:6" ht="24">
      <c r="A130" s="3117">
        <v>58</v>
      </c>
      <c r="B130" s="3802" t="s">
        <v>2777</v>
      </c>
      <c r="C130" s="3117" t="s">
        <v>2778</v>
      </c>
      <c r="D130" s="3091" t="s">
        <v>2779</v>
      </c>
      <c r="E130" s="3117">
        <v>0.1</v>
      </c>
      <c r="F130" s="3117">
        <v>15</v>
      </c>
    </row>
    <row r="131" spans="1:6" ht="13.5">
      <c r="A131" s="3117">
        <v>59</v>
      </c>
      <c r="B131" s="3802"/>
      <c r="C131" s="3117" t="s">
        <v>2780</v>
      </c>
      <c r="D131" s="3091" t="s">
        <v>2781</v>
      </c>
      <c r="E131" s="3117">
        <v>0.1</v>
      </c>
      <c r="F131" s="3117">
        <v>15</v>
      </c>
    </row>
    <row r="132" spans="1:6" ht="13.5">
      <c r="A132" s="3117">
        <v>60</v>
      </c>
      <c r="B132" s="3803" t="s">
        <v>2782</v>
      </c>
      <c r="C132" s="3117" t="s">
        <v>2783</v>
      </c>
      <c r="D132" s="3091" t="s">
        <v>2784</v>
      </c>
      <c r="E132" s="3117">
        <v>0.1</v>
      </c>
      <c r="F132" s="3117">
        <v>15</v>
      </c>
    </row>
    <row r="133" spans="1:6" ht="13.5">
      <c r="A133" s="3117">
        <v>61</v>
      </c>
      <c r="B133" s="3804"/>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802" t="s">
        <v>2790</v>
      </c>
      <c r="C135" s="3117" t="s">
        <v>2791</v>
      </c>
      <c r="D135" s="3091" t="s">
        <v>2792</v>
      </c>
      <c r="E135" s="3117">
        <v>0.1</v>
      </c>
      <c r="F135" s="3117">
        <v>15</v>
      </c>
    </row>
    <row r="136" spans="1:6" ht="13.5">
      <c r="A136" s="3117">
        <v>64</v>
      </c>
      <c r="B136" s="3802"/>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2799</v>
      </c>
      <c r="B1" s="3126"/>
      <c r="C1" s="3126"/>
      <c r="D1" s="3126"/>
      <c r="E1" s="3126"/>
      <c r="F1" s="3126"/>
      <c r="G1" s="3126"/>
      <c r="H1" s="3126"/>
      <c r="I1" s="3126"/>
      <c r="J1" s="3126"/>
      <c r="K1" s="3126"/>
      <c r="L1" s="3126"/>
      <c r="M1" s="3126"/>
      <c r="N1" s="748"/>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49">
        <f>SUMPRODUCT((A95:A184=ROUNDDOWN(基准地价修正!G3,1))*(B94:M94=基准地价修正!G2)*(B95:M184))</f>
        <v>1.1214999999999999</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49">
        <f>SUMPRODUCT((A371:A460=ROUNDDOWN(基准地价修正!G3,1))*(B370:M370=基准地价修正!G2)*(B371:M460))</f>
        <v>1.0668</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27880</v>
      </c>
      <c r="C2" s="2" t="s">
        <v>106</v>
      </c>
      <c r="D2" s="199"/>
      <c r="E2" s="199"/>
      <c r="F2" s="199"/>
      <c r="G2" s="199"/>
    </row>
    <row r="3" spans="1:7" s="200" customFormat="1" ht="18" customHeight="1" thickBot="1">
      <c r="A3" s="203" t="s">
        <v>58</v>
      </c>
      <c r="B3" s="204">
        <f ca="1">ROUND(B2*10000/'数据-汇总表'!E3,0)</f>
        <v>116690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48</v>
      </c>
      <c r="D10" s="844">
        <f>'数据-汇总表'!E6</f>
        <v>2389.2399999999998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48</v>
      </c>
      <c r="D19" s="848">
        <f>'数据-汇总表'!E3</f>
        <v>2389.2399999999998</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1464</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3</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2107</v>
      </c>
      <c r="D27" s="235">
        <f>C29</f>
        <v>2E-3</v>
      </c>
      <c r="E27" s="236" t="s">
        <v>99</v>
      </c>
      <c r="F27" s="246">
        <f>'数据-取费表'!Q16</f>
        <v>0.1</v>
      </c>
      <c r="G27" s="247" t="s">
        <v>431</v>
      </c>
    </row>
    <row r="28" spans="1:7" s="214" customFormat="1" ht="13.5" customHeight="1">
      <c r="A28" s="779" t="s">
        <v>349</v>
      </c>
      <c r="B28" s="248" t="s">
        <v>424</v>
      </c>
      <c r="C28" s="249">
        <f>ROUND((C5+C19+C20)*F27*'数据-取费表'!B21/'数据-取费表'!B20,0)</f>
        <v>2107</v>
      </c>
      <c r="D28" s="235"/>
      <c r="E28" s="236"/>
      <c r="F28" s="246"/>
      <c r="G28" s="247"/>
    </row>
    <row r="29" spans="1:7" s="214" customFormat="1" ht="13.5" customHeight="1">
      <c r="A29" s="779" t="s">
        <v>347</v>
      </c>
      <c r="B29" s="248" t="s">
        <v>425</v>
      </c>
      <c r="C29" s="238">
        <f>ROUND(C21*F27*'数据-取费表'!B21/'数据-取费表'!B20,4)</f>
        <v>2E-3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26670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1177</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1075</v>
      </c>
      <c r="D34" s="217"/>
      <c r="E34" s="220"/>
      <c r="F34" s="257">
        <f>IF('数据-取费表'!B24=0,1,'数据-取费表'!N16)</f>
        <v>1</v>
      </c>
      <c r="G34" s="219" t="s">
        <v>89</v>
      </c>
    </row>
    <row r="35" spans="1:7" ht="13.5" customHeight="1">
      <c r="A35" s="779" t="s">
        <v>351</v>
      </c>
      <c r="B35" s="215" t="s">
        <v>33</v>
      </c>
      <c r="C35" s="220">
        <f>ROUND(C34*F35,0)</f>
        <v>32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48</v>
      </c>
      <c r="D37" s="217">
        <f>'数据-汇总表'!E3</f>
        <v>2389.2399999999998</v>
      </c>
      <c r="E37" s="249">
        <f>'数据-取费表'!B35</f>
        <v>200</v>
      </c>
      <c r="F37" s="259"/>
      <c r="G37" s="261" t="s">
        <v>92</v>
      </c>
    </row>
    <row r="38" spans="1:7" ht="13.5" customHeight="1">
      <c r="A38" s="779" t="s">
        <v>354</v>
      </c>
      <c r="B38" s="215" t="s">
        <v>36</v>
      </c>
      <c r="C38" s="220">
        <f>ROUND(C34*F38,0)</f>
        <v>22</v>
      </c>
      <c r="D38" s="220"/>
      <c r="E38" s="220"/>
      <c r="F38" s="259">
        <f>'数据-取费表'!B36</f>
        <v>0.02</v>
      </c>
      <c r="G38" s="219" t="s">
        <v>90</v>
      </c>
    </row>
    <row r="39" spans="1:7" s="214" customFormat="1" ht="13.5" customHeight="1">
      <c r="A39" s="776" t="s">
        <v>338</v>
      </c>
      <c r="B39" s="210" t="s">
        <v>77</v>
      </c>
      <c r="C39" s="232">
        <f>ROUND(C33*F20,0)</f>
        <v>24</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42</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41</v>
      </c>
      <c r="D42" s="238"/>
      <c r="E42" s="238"/>
      <c r="F42" s="239"/>
      <c r="G42" s="3678" t="s">
        <v>94</v>
      </c>
    </row>
    <row r="43" spans="1:7" ht="13.5" customHeight="1">
      <c r="A43" s="779" t="s">
        <v>347</v>
      </c>
      <c r="B43" s="215" t="s">
        <v>426</v>
      </c>
      <c r="C43" s="238">
        <f ca="1">ROUND(IF('数据-取费表'!B22&lt;=1,C39*F22*'数据-取费表'!B21/2,C39*(POWER((1+F22),'数据-取费表'!B21/2)-1)),0)</f>
        <v>1</v>
      </c>
      <c r="D43" s="238"/>
      <c r="E43" s="238"/>
      <c r="F43" s="239"/>
      <c r="G43" s="3679"/>
    </row>
    <row r="44" spans="1:7" ht="13.5" customHeight="1">
      <c r="A44" s="779" t="s">
        <v>348</v>
      </c>
      <c r="B44" s="215" t="s">
        <v>428</v>
      </c>
      <c r="C44" s="238">
        <f ca="1">ROUND(IF('数据-取费表'!B22&lt;=1,C40*F22*'数据-取费表'!B21/2,C40*(POWER((1+F22),'数据-取费表'!B21/2)-1)),4)</f>
        <v>6.9999999999999999E-4</v>
      </c>
      <c r="D44" s="238"/>
      <c r="E44" s="238"/>
      <c r="F44" s="239"/>
      <c r="G44" s="3680"/>
    </row>
    <row r="45" spans="1:7" s="214" customFormat="1" ht="13.5" customHeight="1">
      <c r="A45" s="776" t="s">
        <v>341</v>
      </c>
      <c r="B45" s="244" t="s">
        <v>85</v>
      </c>
      <c r="C45" s="245">
        <f>C46</f>
        <v>120</v>
      </c>
      <c r="D45" s="235">
        <f>C47</f>
        <v>2E-3</v>
      </c>
      <c r="E45" s="236" t="s">
        <v>102</v>
      </c>
      <c r="F45" s="246"/>
      <c r="G45" s="247" t="s">
        <v>434</v>
      </c>
    </row>
    <row r="46" spans="1:7" s="214" customFormat="1" ht="13.5" customHeight="1">
      <c r="A46" s="779" t="s">
        <v>349</v>
      </c>
      <c r="B46" s="248" t="s">
        <v>427</v>
      </c>
      <c r="C46" s="249">
        <f>ROUND((C33+C39)*F27,0)</f>
        <v>120</v>
      </c>
      <c r="D46" s="263"/>
      <c r="E46" s="236"/>
      <c r="F46" s="246"/>
      <c r="G46" s="247"/>
    </row>
    <row r="47" spans="1:7" s="214" customFormat="1" ht="13.5" customHeight="1">
      <c r="A47" s="779" t="s">
        <v>347</v>
      </c>
      <c r="B47" s="248" t="s">
        <v>429</v>
      </c>
      <c r="C47" s="238">
        <f>ROUND(C40*F27,4)</f>
        <v>2E-3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1475</v>
      </c>
      <c r="D49" s="232"/>
      <c r="E49" s="232"/>
      <c r="F49" s="264"/>
      <c r="G49" s="234" t="s">
        <v>435</v>
      </c>
    </row>
    <row r="50" spans="1:7" s="258" customFormat="1" ht="24">
      <c r="A50" s="776" t="s">
        <v>344</v>
      </c>
      <c r="B50" s="210" t="s">
        <v>97</v>
      </c>
      <c r="C50" s="232"/>
      <c r="D50" s="232"/>
      <c r="E50" s="232"/>
      <c r="F50" s="264">
        <f>IF('数据-取费表'!B24=0,'数据-取费表'!N16,1)</f>
        <v>0.82</v>
      </c>
      <c r="G50" s="247" t="s">
        <v>98</v>
      </c>
    </row>
    <row r="51" spans="1:7" ht="16.5" customHeight="1">
      <c r="A51" s="776" t="s">
        <v>345</v>
      </c>
      <c r="B51" s="210" t="s">
        <v>105</v>
      </c>
      <c r="C51" s="232">
        <f ca="1">ROUND(C49*F50,0)</f>
        <v>1210</v>
      </c>
      <c r="D51" s="232"/>
      <c r="E51" s="232"/>
      <c r="F51" s="264"/>
      <c r="G51" s="234" t="s">
        <v>37</v>
      </c>
    </row>
    <row r="52" spans="1:7" s="208" customFormat="1" ht="16.5" thickBot="1">
      <c r="A52" s="265" t="s">
        <v>38</v>
      </c>
      <c r="B52" s="266"/>
      <c r="C52" s="267">
        <f ca="1">C31+C51</f>
        <v>27880</v>
      </c>
      <c r="D52" s="266"/>
      <c r="E52" s="266"/>
      <c r="F52" s="266"/>
      <c r="G52" s="268"/>
    </row>
    <row r="55" spans="1:7" ht="15">
      <c r="B55" s="270" t="s">
        <v>39</v>
      </c>
      <c r="C55" s="271"/>
    </row>
    <row r="56" spans="1:7">
      <c r="B56" s="273" t="s">
        <v>40</v>
      </c>
      <c r="C56" s="274">
        <f ca="1">ROUND(C51/C52,3)</f>
        <v>4.2999999999999997E-2</v>
      </c>
    </row>
    <row r="57" spans="1:7">
      <c r="B57" s="273" t="s">
        <v>41</v>
      </c>
      <c r="C57" s="275">
        <f ca="1">1-C56</f>
        <v>0.95699999999999996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0"/>
      <c r="C2" s="3500"/>
      <c r="D2" s="3500"/>
      <c r="E2" s="3500"/>
    </row>
    <row r="3" spans="1:5" ht="18">
      <c r="A3" s="3501" t="str">
        <f>IF(项目基本情况!B9="房地产市场价值","估价结果一览表（市场价值不需“结果表-1”）","估价结果一览表")</f>
        <v>估价结果一览表</v>
      </c>
      <c r="B3" s="3501"/>
      <c r="C3" s="3501"/>
      <c r="D3" s="3501"/>
      <c r="E3" s="3501"/>
    </row>
    <row r="4" spans="1:5" ht="19.5" thickBot="1">
      <c r="A4" s="1492"/>
      <c r="B4" s="3499" t="s">
        <v>917</v>
      </c>
      <c r="C4" s="3499"/>
      <c r="D4" s="3499"/>
      <c r="E4" s="1492"/>
    </row>
    <row r="5" spans="1:5" ht="16.5" thickTop="1">
      <c r="A5" s="1490"/>
      <c r="B5" s="3497" t="s">
        <v>909</v>
      </c>
      <c r="C5" s="1493" t="s">
        <v>910</v>
      </c>
      <c r="D5" s="849">
        <f ca="1">结果表!H101</f>
        <v>2489</v>
      </c>
      <c r="E5" s="1490"/>
    </row>
    <row r="6" spans="1:5" ht="15.75">
      <c r="A6" s="1490"/>
      <c r="B6" s="3497"/>
      <c r="C6" s="1493" t="s">
        <v>911</v>
      </c>
      <c r="D6" s="849" t="str">
        <f ca="1">NUMBERSTRING(INT(D5*10000),2)&amp;"元整"</f>
        <v>贰仟肆佰捌拾玖万元整</v>
      </c>
      <c r="E6" s="1490"/>
    </row>
    <row r="7" spans="1:5" ht="15.75">
      <c r="A7" s="1490"/>
      <c r="B7" s="3502"/>
      <c r="C7" s="1494" t="s">
        <v>912</v>
      </c>
      <c r="D7" s="850">
        <f ca="1">结果表!H102</f>
        <v>10416</v>
      </c>
      <c r="E7" s="1490"/>
    </row>
    <row r="8" spans="1:5" ht="15.75">
      <c r="A8" s="1490"/>
      <c r="B8" s="3503" t="str">
        <f>结果表!E103</f>
        <v>2.估价师知悉的法定优先受偿款</v>
      </c>
      <c r="C8" s="1495" t="s">
        <v>913</v>
      </c>
      <c r="D8" s="850">
        <f>结果表!H103</f>
        <v>0</v>
      </c>
      <c r="E8" s="1490"/>
    </row>
    <row r="9" spans="1:5" ht="15.75">
      <c r="A9" s="1490"/>
      <c r="B9" s="3505"/>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96" t="str">
        <f>结果表!E107</f>
        <v>3.房地产抵押价值</v>
      </c>
      <c r="C13" s="1498" t="s">
        <v>910</v>
      </c>
      <c r="D13" s="852">
        <f ca="1">结果表!H107</f>
        <v>2489</v>
      </c>
      <c r="E13" s="1490"/>
    </row>
    <row r="14" spans="1:5" ht="15.75">
      <c r="A14" s="1490"/>
      <c r="B14" s="3497"/>
      <c r="C14" s="1493" t="s">
        <v>911</v>
      </c>
      <c r="D14" s="849" t="str">
        <f ca="1">NUMBERSTRING(INT(D13*10000),2)&amp;"元整"</f>
        <v>贰仟肆佰捌拾玖万元整</v>
      </c>
      <c r="E14" s="1490"/>
    </row>
    <row r="15" spans="1:5" ht="15">
      <c r="A15" s="1490"/>
      <c r="B15" s="3502"/>
      <c r="C15" s="1494" t="s">
        <v>921</v>
      </c>
      <c r="D15" s="858">
        <f ca="1">结果表!H108</f>
        <v>10416</v>
      </c>
      <c r="E15" s="1490"/>
    </row>
    <row r="16" spans="1:5" ht="15">
      <c r="A16" s="1490"/>
      <c r="B16" s="3503" t="str">
        <f>结果表!E109</f>
        <v>——</v>
      </c>
      <c r="C16" s="1498" t="s">
        <v>922</v>
      </c>
      <c r="D16" s="1499" t="str">
        <f>结果表!H109</f>
        <v>——</v>
      </c>
      <c r="E16" s="1490"/>
    </row>
    <row r="17" spans="1:5" ht="15.75">
      <c r="A17" s="1490"/>
      <c r="B17" s="3504"/>
      <c r="C17" s="1493" t="s">
        <v>923</v>
      </c>
      <c r="D17" s="849" t="e">
        <f>NUMBERSTRING(INT(D16*10000),2)&amp;"元整"</f>
        <v>#VALUE!</v>
      </c>
      <c r="E17" s="1490"/>
    </row>
    <row r="18" spans="1:5" ht="15">
      <c r="A18" s="1490"/>
      <c r="B18" s="3505"/>
      <c r="C18" s="1494" t="s">
        <v>912</v>
      </c>
      <c r="D18" s="858" t="str">
        <f>结果表!H110</f>
        <v>——</v>
      </c>
      <c r="E18" s="1490"/>
    </row>
    <row r="19" spans="1:5" ht="15.75">
      <c r="A19" s="1490"/>
      <c r="B19" s="3496" t="str">
        <f>结果表!E111</f>
        <v>——</v>
      </c>
      <c r="C19" s="1498" t="s">
        <v>910</v>
      </c>
      <c r="D19" s="850" t="str">
        <f>结果表!H111</f>
        <v>——</v>
      </c>
      <c r="E19" s="1490"/>
    </row>
    <row r="20" spans="1:5" ht="15.75">
      <c r="A20" s="1490"/>
      <c r="B20" s="3497"/>
      <c r="C20" s="1493" t="s">
        <v>923</v>
      </c>
      <c r="D20" s="849" t="e">
        <f>NUMBERSTRING(INT(D19*10000),2)&amp;"元整"</f>
        <v>#VALUE!</v>
      </c>
      <c r="E20" s="1490"/>
    </row>
    <row r="21" spans="1:5" ht="15.75" thickBot="1">
      <c r="A21" s="1490"/>
      <c r="B21" s="3498"/>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3454" customWidth="1"/>
    <col min="12" max="12" width="9.75" customWidth="1"/>
    <col min="14" max="14" width="13.75" customWidth="1"/>
    <col min="15" max="15" width="20" customWidth="1"/>
    <col min="16" max="17" width="19.25" customWidth="1"/>
    <col min="18" max="18" width="9.625" customWidth="1"/>
  </cols>
  <sheetData>
    <row r="3" spans="11:11" s="3455" customFormat="1">
      <c r="K3" s="3456"/>
    </row>
    <row r="4" spans="11:11" s="3455" customFormat="1">
      <c r="K4" s="3456"/>
    </row>
    <row r="5" spans="11:11" s="3455" customFormat="1">
      <c r="K5" s="3456"/>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SheetLayoutView="85" zoomScalePageLayoutView="80" workbookViewId="0">
      <selection activeCell="D38" sqref="D3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t="s">
        <v>3453</v>
      </c>
      <c r="D1" s="1746"/>
      <c r="E1" s="1746"/>
      <c r="F1" s="1748" t="s">
        <v>1261</v>
      </c>
      <c r="G1" s="1560"/>
      <c r="H1" s="1749" t="str">
        <f>IF(G1="现房","——","估价对象范围")</f>
        <v>估价对象范围</v>
      </c>
      <c r="I1" s="1750"/>
    </row>
    <row r="2" spans="1:12" ht="21.75" customHeight="1" thickBot="1">
      <c r="A2" s="3618" t="str">
        <f>项目基本情况!S2</f>
        <v>北京市房地产</v>
      </c>
      <c r="B2" s="3619"/>
      <c r="C2" s="3619"/>
      <c r="D2" s="3619"/>
      <c r="E2" s="3619"/>
      <c r="F2" s="3619"/>
      <c r="G2" s="3619"/>
      <c r="H2" s="3619"/>
      <c r="I2" s="3620"/>
    </row>
    <row r="3" spans="1:12" ht="12.75">
      <c r="A3" s="3622" t="s">
        <v>1262</v>
      </c>
      <c r="B3" s="3623"/>
      <c r="C3" s="3623"/>
      <c r="D3" s="3623"/>
      <c r="E3" s="3623"/>
      <c r="F3" s="3623"/>
      <c r="G3" s="3623"/>
      <c r="H3" s="3623"/>
      <c r="I3" s="3623"/>
    </row>
    <row r="4" spans="1:12" ht="14.25">
      <c r="A4" s="1753" t="s">
        <v>1263</v>
      </c>
      <c r="B4" s="1754" t="s">
        <v>1264</v>
      </c>
      <c r="C4" s="1755" t="s">
        <v>3461</v>
      </c>
      <c r="D4" s="1755" t="s">
        <v>3455</v>
      </c>
      <c r="E4" s="3624" t="s">
        <v>1265</v>
      </c>
      <c r="F4" s="3625"/>
      <c r="G4" s="3625"/>
      <c r="H4" s="3625"/>
      <c r="I4" s="3626"/>
      <c r="K4" s="146" t="str">
        <f>IF(ISNUMBER(FIND("比较法",'结果表-6号楼'!C4)),"比较法",IF(ISNUMBER(FIND("成本法",'结果表-6号楼'!C4)),"成本法",IF(ISNUMBER(FIND("假设开发法",'结果表-6号楼'!C4)),"假设开发法",IF(ISNUMBER(FIND("收益法",'结果表-6号楼'!C4)),"收益法","基准地价系数修正法"))))</f>
        <v>成本法</v>
      </c>
      <c r="L4" s="146"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598" t="s">
        <v>1266</v>
      </c>
      <c r="B5" s="3585">
        <v>25</v>
      </c>
      <c r="C5" s="3601"/>
      <c r="D5" s="3621"/>
      <c r="E5" s="131" t="s">
        <v>1267</v>
      </c>
      <c r="F5" s="1756"/>
      <c r="G5" s="1756"/>
      <c r="H5" s="1756"/>
      <c r="I5" s="1372"/>
    </row>
    <row r="6" spans="1:12" ht="12.75">
      <c r="A6" s="3598"/>
      <c r="B6" s="3585"/>
      <c r="C6" s="3602"/>
      <c r="D6" s="3621"/>
      <c r="E6" s="131" t="s">
        <v>1268</v>
      </c>
      <c r="F6" s="1756"/>
      <c r="G6" s="1756"/>
      <c r="H6" s="1756"/>
      <c r="I6" s="1372"/>
    </row>
    <row r="7" spans="1:12" ht="12.75">
      <c r="A7" s="3598"/>
      <c r="B7" s="3585"/>
      <c r="C7" s="3603"/>
      <c r="D7" s="3621"/>
      <c r="E7" s="131" t="s">
        <v>1269</v>
      </c>
      <c r="F7" s="1756"/>
      <c r="G7" s="1756"/>
      <c r="H7" s="1756"/>
      <c r="I7" s="1372"/>
    </row>
    <row r="8" spans="1:12" ht="12.75">
      <c r="A8" s="3598" t="s">
        <v>1270</v>
      </c>
      <c r="B8" s="3585">
        <v>15</v>
      </c>
      <c r="C8" s="3601"/>
      <c r="D8" s="3621"/>
      <c r="E8" s="131" t="s">
        <v>1271</v>
      </c>
      <c r="F8" s="1756"/>
      <c r="G8" s="1756"/>
      <c r="H8" s="1756"/>
      <c r="I8" s="1372"/>
    </row>
    <row r="9" spans="1:12" ht="12.75">
      <c r="A9" s="3598"/>
      <c r="B9" s="3585"/>
      <c r="C9" s="3603"/>
      <c r="D9" s="3621"/>
      <c r="E9" s="131" t="s">
        <v>1272</v>
      </c>
      <c r="F9" s="1756"/>
      <c r="G9" s="1756"/>
      <c r="H9" s="1756"/>
      <c r="I9" s="1372"/>
    </row>
    <row r="10" spans="1:12" ht="12.75">
      <c r="A10" s="3598" t="s">
        <v>1273</v>
      </c>
      <c r="B10" s="3585">
        <v>15</v>
      </c>
      <c r="C10" s="3601"/>
      <c r="D10" s="3621"/>
      <c r="E10" s="131" t="s">
        <v>1274</v>
      </c>
      <c r="F10" s="1756"/>
      <c r="G10" s="1756"/>
      <c r="H10" s="1756"/>
      <c r="I10" s="1372"/>
    </row>
    <row r="11" spans="1:12" ht="12.75">
      <c r="A11" s="3598"/>
      <c r="B11" s="3585"/>
      <c r="C11" s="3603"/>
      <c r="D11" s="3621"/>
      <c r="E11" s="131" t="s">
        <v>1275</v>
      </c>
      <c r="F11" s="1756"/>
      <c r="G11" s="1756"/>
      <c r="H11" s="1756"/>
      <c r="I11" s="1372"/>
    </row>
    <row r="12" spans="1:12" ht="12.75">
      <c r="A12" s="3598" t="s">
        <v>1276</v>
      </c>
      <c r="B12" s="3585">
        <v>15</v>
      </c>
      <c r="C12" s="3601"/>
      <c r="D12" s="3621"/>
      <c r="E12" s="131" t="s">
        <v>1277</v>
      </c>
      <c r="F12" s="1756"/>
      <c r="G12" s="1756"/>
      <c r="H12" s="1756"/>
      <c r="I12" s="1372"/>
    </row>
    <row r="13" spans="1:12" ht="12.75">
      <c r="A13" s="3598"/>
      <c r="B13" s="3585"/>
      <c r="C13" s="3603"/>
      <c r="D13" s="3621"/>
      <c r="E13" s="131" t="s">
        <v>1278</v>
      </c>
      <c r="F13" s="1756"/>
      <c r="G13" s="1756"/>
      <c r="H13" s="1756"/>
      <c r="I13" s="1372"/>
    </row>
    <row r="14" spans="1:12" ht="12.75">
      <c r="A14" s="3598" t="s">
        <v>1279</v>
      </c>
      <c r="B14" s="3585">
        <v>30</v>
      </c>
      <c r="C14" s="3814">
        <v>55</v>
      </c>
      <c r="D14" s="3817">
        <v>45</v>
      </c>
      <c r="E14" s="131" t="s">
        <v>1280</v>
      </c>
      <c r="F14" s="1756"/>
      <c r="G14" s="1756"/>
      <c r="H14" s="1756"/>
      <c r="I14" s="1372"/>
    </row>
    <row r="15" spans="1:12" ht="12.75">
      <c r="A15" s="3598"/>
      <c r="B15" s="3585"/>
      <c r="C15" s="3815"/>
      <c r="D15" s="3817"/>
      <c r="E15" s="131" t="s">
        <v>1281</v>
      </c>
      <c r="F15" s="1756"/>
      <c r="G15" s="1756"/>
      <c r="H15" s="1756"/>
      <c r="I15" s="1372"/>
    </row>
    <row r="16" spans="1:12" ht="12.75">
      <c r="A16" s="3598"/>
      <c r="B16" s="3585"/>
      <c r="C16" s="3816"/>
      <c r="D16" s="3817"/>
      <c r="E16" s="131" t="s">
        <v>1282</v>
      </c>
      <c r="F16" s="1756"/>
      <c r="G16" s="1756"/>
      <c r="H16" s="1756"/>
      <c r="I16" s="1372"/>
    </row>
    <row r="17" spans="1:36" ht="15">
      <c r="A17" s="1757" t="s">
        <v>1283</v>
      </c>
      <c r="B17" s="56"/>
      <c r="C17" s="132">
        <f>SUM(C5:C16)</f>
        <v>55</v>
      </c>
      <c r="D17" s="132">
        <f>SUM(D5:D16)</f>
        <v>45</v>
      </c>
      <c r="E17" s="129"/>
      <c r="F17" s="129"/>
      <c r="G17" s="129"/>
      <c r="H17" s="129"/>
      <c r="I17" s="129"/>
      <c r="K17" s="302"/>
      <c r="L17" s="302" t="s">
        <v>1284</v>
      </c>
      <c r="M17" s="302" t="s">
        <v>1285</v>
      </c>
    </row>
    <row r="18" spans="1:36" ht="31.9" customHeight="1" thickBot="1">
      <c r="A18" s="1758" t="s">
        <v>1286</v>
      </c>
      <c r="B18" s="1759"/>
      <c r="C18" s="133">
        <f>ROUND(C17/SUM(C17:D17),2)</f>
        <v>0.55000000000000004</v>
      </c>
      <c r="D18" s="133">
        <f>1-C18</f>
        <v>0.44999999999999996</v>
      </c>
      <c r="E18" s="3608" t="s">
        <v>2128</v>
      </c>
      <c r="F18" s="3609"/>
      <c r="G18" s="3609"/>
      <c r="H18" s="3609"/>
      <c r="I18" s="3609"/>
      <c r="K18" s="302" t="s">
        <v>1287</v>
      </c>
      <c r="L18" s="302">
        <f>IF(C1="",'数据-汇总表'!E3,SUMIF(项目类型,C1,'数据-汇总表'!E17:E26)+SUMIF(项目类型,C1,'数据-汇总表'!I17:I26))</f>
        <v>0</v>
      </c>
      <c r="M18" s="302">
        <f>IF(C1="",'数据-汇总表'!E3,SUMIF(项目类型,C1,'数据-汇总表'!E17:E26))</f>
        <v>0</v>
      </c>
    </row>
    <row r="19" spans="1:36" ht="15">
      <c r="A19" s="1760" t="s">
        <v>1288</v>
      </c>
      <c r="B19" s="1761" t="s">
        <v>1289</v>
      </c>
      <c r="C19" s="134" t="e">
        <f ca="1">SUMIF(INDIRECT("'"&amp;C4&amp;"'"&amp;"!A:A"),'结果表-6号楼'!B19,INDIRECT("'"&amp;C4&amp;"'"&amp;"!B:B"))</f>
        <v>#N/A</v>
      </c>
      <c r="D19" s="135" t="e">
        <f ca="1">SUMIF(INDIRECT("'"&amp;D4&amp;"'"&amp;"!A:A"),'结果表-6号楼'!B19,INDIRECT("'"&amp;D4&amp;"'"&amp;"!B:B"))</f>
        <v>#N/A</v>
      </c>
      <c r="E19" s="1760" t="s">
        <v>1290</v>
      </c>
      <c r="F19" s="1761" t="s">
        <v>1289</v>
      </c>
      <c r="G19" s="136" t="e">
        <f ca="1">ROUND(C19*$C$18+D19*$D$18,0)</f>
        <v>#N/A</v>
      </c>
      <c r="H19" s="1762"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3"/>
      <c r="B20" s="1025" t="s">
        <v>1293</v>
      </c>
      <c r="C20" s="137" t="e">
        <f ca="1">SUMIF(INDIRECT("'"&amp;C4&amp;"'"&amp;"!A:A"),'结果表-6号楼'!B20,INDIRECT("'"&amp;C4&amp;"'"&amp;"!B:B"))</f>
        <v>#N/A</v>
      </c>
      <c r="D20" s="138">
        <f ca="1">SUMIF(INDIRECT("'"&amp;D4&amp;"'"&amp;"!A:A"),'结果表-6号楼'!B20,INDIRECT("'"&amp;D4&amp;"'"&amp;"!B:B"))</f>
        <v>0</v>
      </c>
      <c r="E20" s="1763"/>
      <c r="F20" s="1025" t="s">
        <v>1293</v>
      </c>
      <c r="G20" s="139" t="e">
        <f ca="1">ROUND(C20*$C$18+D20*$D$18,0)</f>
        <v>#N/A</v>
      </c>
      <c r="H20" s="807" t="s">
        <v>1294</v>
      </c>
      <c r="I20" s="129"/>
    </row>
    <row r="21" spans="1:36" ht="15" customHeight="1" thickBot="1">
      <c r="A21" s="827"/>
      <c r="B21" s="1764" t="s">
        <v>1295</v>
      </c>
      <c r="C21" s="718" t="e">
        <f ca="1">ROUND(C19*10000/L19,0)</f>
        <v>#N/A</v>
      </c>
      <c r="D21" s="719" t="e">
        <f ca="1">ROUND(D19*10000/L19,0)</f>
        <v>#N/A</v>
      </c>
      <c r="E21" s="827"/>
      <c r="F21" s="1764" t="s">
        <v>1295</v>
      </c>
      <c r="G21" s="140" t="e">
        <f ca="1">ROUND(G19*10000/L19,0)</f>
        <v>#N/A</v>
      </c>
      <c r="H21" s="1765" t="s">
        <v>1294</v>
      </c>
      <c r="I21" s="129"/>
    </row>
    <row r="22" spans="1:36" ht="15" thickBot="1">
      <c r="A22" s="1687" t="s">
        <v>1296</v>
      </c>
      <c r="B22" s="1766"/>
      <c r="C22" s="1767"/>
      <c r="D22" s="720" t="e">
        <f ca="1">IF(C19&lt;D19,D19/C19-1,C19/D19-1)</f>
        <v>#N/A</v>
      </c>
      <c r="E22" s="129"/>
      <c r="F22" s="129"/>
      <c r="G22" s="129"/>
      <c r="H22" s="129"/>
      <c r="I22" s="129"/>
    </row>
    <row r="23" spans="1:36" ht="13.5" thickBot="1">
      <c r="A23" s="1746"/>
      <c r="B23" s="1746"/>
      <c r="C23" s="1746"/>
      <c r="D23" s="1746"/>
      <c r="E23" s="129"/>
      <c r="F23" s="129"/>
      <c r="G23" s="129"/>
      <c r="H23" s="129"/>
      <c r="I23" s="129"/>
    </row>
    <row r="24" spans="1:36" ht="14.25">
      <c r="A24" s="3592" t="s">
        <v>1297</v>
      </c>
      <c r="B24" s="1761" t="s">
        <v>1289</v>
      </c>
      <c r="C24" s="136">
        <f>IF(B30=0,0,D30)</f>
        <v>0</v>
      </c>
      <c r="D24" s="1768"/>
      <c r="E24" s="129"/>
      <c r="F24" s="129"/>
      <c r="G24" s="129"/>
      <c r="H24" s="129"/>
      <c r="I24" s="129"/>
    </row>
    <row r="25" spans="1:36" ht="14.25">
      <c r="A25" s="3593"/>
      <c r="B25" s="1025"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t="e">
        <f ca="1">G20/0.66</f>
        <v>#N/A</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t="e">
        <f ca="1">IF(D32="总价",G19-C24,G20-C25)</f>
        <v>#N/A</v>
      </c>
      <c r="D32" s="1774" t="s">
        <v>3435</v>
      </c>
      <c r="E32" s="129"/>
      <c r="F32" s="129"/>
      <c r="G32" s="129"/>
      <c r="H32" s="129"/>
      <c r="I32" s="129"/>
    </row>
    <row r="33" spans="1:15" ht="15">
      <c r="A33" s="785" t="s">
        <v>1304</v>
      </c>
      <c r="B33" s="1775"/>
      <c r="C33" s="1776" t="s">
        <v>3451</v>
      </c>
      <c r="D33" s="1777" t="s">
        <v>3461</v>
      </c>
      <c r="E33" s="1778" t="s">
        <v>1305</v>
      </c>
      <c r="F33" s="1779" t="str">
        <f>IF(D32="楼面单价","取值（单价）","取值（总价）")</f>
        <v>取值（单价）</v>
      </c>
      <c r="G33" s="129"/>
      <c r="H33" s="129"/>
      <c r="I33" s="129"/>
    </row>
    <row r="34" spans="1:15" ht="15">
      <c r="A34" s="1780"/>
      <c r="B34" s="1781" t="s">
        <v>1306</v>
      </c>
      <c r="C34" s="148" t="e">
        <f ca="1">IF(C33="自定义",F34,C32-C35)</f>
        <v>#N/A</v>
      </c>
      <c r="D34" s="860" t="e">
        <f ca="1">IF(C33="自定义",ROUND(C34/C32,3),IF(C33="收益比率",SUMIF(INDIRECT("'"&amp;D33&amp;"'"&amp;"!b:b"),"土地收益比率",INDIRECT("'"&amp;D33&amp;"'"&amp;"!c:c")),SUMIF(INDIRECT("'"&amp;D33&amp;"'"&amp;"!b:b"),"土地成本比率",INDIRECT("'"&amp;D33&amp;"'"&amp;"!c:c"))))</f>
        <v>#N/A</v>
      </c>
      <c r="E34" s="1782" t="s">
        <v>1307</v>
      </c>
      <c r="F34" s="1329"/>
      <c r="G34" s="129"/>
      <c r="H34" s="129"/>
      <c r="I34" s="129"/>
    </row>
    <row r="35" spans="1:15" ht="15.75" thickBot="1">
      <c r="A35" s="1783"/>
      <c r="B35" s="1784" t="s">
        <v>1308</v>
      </c>
      <c r="C35" s="1169" t="e">
        <f ca="1">IF(C33="自定义",F35,ROUND(C32*D35,0))</f>
        <v>#N/A</v>
      </c>
      <c r="D35" s="1170" t="e">
        <f ca="1">IF(C33="自定义",ROUND(C35/C32,3),IF(C33="收益比率",SUMIF(INDIRECT("'"&amp;D33&amp;"'"&amp;"!b:b"),"建筑物收益比率",INDIRECT("'"&amp;D33&amp;"'"&amp;"!c:c")),SUMIF(INDIRECT("'"&amp;D33&amp;"'"&amp;"!b:b"),"建筑物成本比率",INDIRECT("'"&amp;D33&amp;"'"&amp;"!c:c"))))</f>
        <v>#N/A</v>
      </c>
      <c r="E35" s="1785" t="s">
        <v>1309</v>
      </c>
      <c r="F35" s="154"/>
      <c r="G35" s="129"/>
      <c r="H35" s="129"/>
      <c r="I35" s="129"/>
    </row>
    <row r="36" spans="1:15" ht="15.75" thickBot="1">
      <c r="A36" s="3612" t="s">
        <v>1310</v>
      </c>
      <c r="B36" s="1786" t="s">
        <v>1311</v>
      </c>
      <c r="C36" s="145"/>
      <c r="D36" s="1787"/>
      <c r="E36" s="1788"/>
      <c r="F36" s="1789"/>
      <c r="G36" s="129"/>
      <c r="H36" s="129"/>
      <c r="I36" s="129"/>
    </row>
    <row r="37" spans="1:15" ht="15.75" thickBot="1">
      <c r="A37" s="3613"/>
      <c r="B37" s="1673" t="s">
        <v>1312</v>
      </c>
      <c r="C37" s="147"/>
      <c r="D37" s="1138"/>
      <c r="E37" s="1138"/>
      <c r="F37" s="1789"/>
      <c r="G37" s="129"/>
      <c r="H37" s="129"/>
      <c r="I37" s="129"/>
    </row>
    <row r="38" spans="1:15" ht="15.75" thickBot="1">
      <c r="A38" s="3614"/>
      <c r="B38" s="1790" t="s">
        <v>1313</v>
      </c>
      <c r="C38" s="673"/>
      <c r="D38" s="1791" t="s">
        <v>1314</v>
      </c>
      <c r="E38" s="1138"/>
      <c r="F38" s="1789"/>
      <c r="G38" s="129"/>
      <c r="H38" s="129"/>
      <c r="I38" s="129"/>
    </row>
    <row r="39" spans="1:15" ht="15">
      <c r="A39" s="1763" t="s">
        <v>1315</v>
      </c>
      <c r="B39" s="1792" t="s">
        <v>1299</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589" t="s">
        <v>1324</v>
      </c>
      <c r="B45" s="3590"/>
      <c r="C45" s="3591"/>
      <c r="D45" s="155" t="e">
        <f ca="1">ROUND(H101*F45,0)</f>
        <v>#N/A</v>
      </c>
      <c r="E45" s="156" t="s">
        <v>1325</v>
      </c>
      <c r="F45" s="157">
        <v>1</v>
      </c>
      <c r="G45" s="158" t="s">
        <v>1326</v>
      </c>
      <c r="H45" s="129"/>
      <c r="I45" s="129"/>
      <c r="J45" s="3667" t="s">
        <v>1327</v>
      </c>
      <c r="K45" s="3667"/>
      <c r="L45" s="3667"/>
      <c r="M45" s="3667"/>
      <c r="N45" s="3667"/>
      <c r="O45" s="3667"/>
    </row>
    <row r="46" spans="1:15" ht="14.25" customHeight="1">
      <c r="A46" s="3586" t="s">
        <v>1328</v>
      </c>
      <c r="B46" s="3587"/>
      <c r="C46" s="3587"/>
      <c r="D46" s="3587"/>
      <c r="E46" s="3587"/>
      <c r="F46" s="3587"/>
      <c r="G46" s="3588"/>
      <c r="H46" s="1805"/>
      <c r="I46" s="159"/>
      <c r="J46" s="3468">
        <v>1</v>
      </c>
      <c r="K46" s="3648" t="s">
        <v>1329</v>
      </c>
      <c r="L46" s="3648"/>
      <c r="M46" s="3668"/>
      <c r="N46" s="3668"/>
      <c r="O46" s="3668"/>
    </row>
    <row r="47" spans="1:15" ht="12" customHeight="1">
      <c r="A47" s="160" t="s">
        <v>1330</v>
      </c>
      <c r="B47" s="161"/>
      <c r="C47" s="162"/>
      <c r="D47" s="1086" t="s">
        <v>1331</v>
      </c>
      <c r="E47" s="302" t="s">
        <v>1332</v>
      </c>
      <c r="F47" s="163" t="s">
        <v>1333</v>
      </c>
      <c r="G47" s="2545" t="s">
        <v>1334</v>
      </c>
      <c r="H47" s="2546"/>
      <c r="I47" s="159"/>
      <c r="J47" s="3468">
        <v>2</v>
      </c>
      <c r="K47" s="3648" t="s">
        <v>1335</v>
      </c>
      <c r="L47" s="3648"/>
      <c r="M47" s="3669">
        <f>'数据-取费表'!B2</f>
        <v>45449</v>
      </c>
      <c r="N47" s="3669"/>
      <c r="O47" s="3669"/>
    </row>
    <row r="48" spans="1:15" ht="25.5">
      <c r="A48" s="3617" t="s">
        <v>1336</v>
      </c>
      <c r="B48" s="3600"/>
      <c r="C48" s="3600"/>
      <c r="D48" s="3463" t="b">
        <f>IF(H48="情况1",0,IF(H48="情况2",D52,IF(H48="情况3",D53,IF(H48="情况4",D54))))</f>
        <v>0</v>
      </c>
      <c r="E48" s="3479" t="str">
        <f>IF(H48="情况4","(销售额-原购置价)×税（费）率","销售额×税（费）率")</f>
        <v>销售额×税（费）率</v>
      </c>
      <c r="F48" s="2547">
        <f>IF(H48="情况1","免征",'数据-取费表'!B41)</f>
        <v>5.6000000000000001E-2</v>
      </c>
      <c r="G48" s="2548" t="s">
        <v>1337</v>
      </c>
      <c r="H48" s="2549"/>
      <c r="I48" s="1805"/>
      <c r="J48" s="3468">
        <v>3</v>
      </c>
      <c r="K48" s="3648" t="s">
        <v>1338</v>
      </c>
      <c r="L48" s="3648"/>
      <c r="M48" s="3670" t="e">
        <f ca="1">H101</f>
        <v>#N/A</v>
      </c>
      <c r="N48" s="3670"/>
      <c r="O48" s="3670"/>
    </row>
    <row r="49" spans="1:35" ht="25.5" customHeight="1">
      <c r="A49" s="3478" t="s">
        <v>1339</v>
      </c>
      <c r="B49" s="3584" t="s">
        <v>1340</v>
      </c>
      <c r="C49" s="3584"/>
      <c r="D49" s="1589">
        <v>0</v>
      </c>
      <c r="E49" s="324" t="s">
        <v>1341</v>
      </c>
      <c r="F49" s="3461" t="s">
        <v>28</v>
      </c>
      <c r="G49" s="3654"/>
      <c r="H49" s="2309" t="s">
        <v>2131</v>
      </c>
      <c r="I49" s="2310"/>
      <c r="J49" s="3468">
        <v>4</v>
      </c>
      <c r="K49" s="3648" t="str">
        <f>IF(项目基本情况!E8="房地产抵押价值","房地产抵押价值","抵押担保权已注销时的房地产抵押价值")</f>
        <v>房地产抵押价值</v>
      </c>
      <c r="L49" s="3648"/>
      <c r="M49" s="3670" t="e">
        <f ca="1">IF(项目基本情况!E8="房地产抵押价值",H107,H109)</f>
        <v>#N/A</v>
      </c>
      <c r="N49" s="3670"/>
      <c r="O49" s="3670"/>
    </row>
    <row r="50" spans="1:35" ht="25.5" customHeight="1">
      <c r="A50" s="2550"/>
      <c r="B50" s="3584" t="s">
        <v>1342</v>
      </c>
      <c r="C50" s="3584"/>
      <c r="D50" s="2551"/>
      <c r="E50" s="332"/>
      <c r="F50" s="3461"/>
      <c r="G50" s="3655"/>
      <c r="H50" s="2311" t="s">
        <v>2132</v>
      </c>
      <c r="I50" s="2310"/>
      <c r="J50" s="3667" t="s">
        <v>1343</v>
      </c>
      <c r="K50" s="3667"/>
      <c r="L50" s="3667"/>
      <c r="M50" s="3667"/>
      <c r="N50" s="3667"/>
      <c r="O50" s="3667"/>
    </row>
    <row r="51" spans="1:35" ht="20.45" customHeight="1">
      <c r="A51" s="2552"/>
      <c r="B51" s="3584" t="s">
        <v>1344</v>
      </c>
      <c r="C51" s="3584"/>
      <c r="D51" s="1086"/>
      <c r="E51" s="327"/>
      <c r="F51" s="3461"/>
      <c r="G51" s="3656"/>
      <c r="H51" s="2311" t="s">
        <v>2133</v>
      </c>
      <c r="I51" s="2310"/>
      <c r="J51" s="3462" t="s">
        <v>1345</v>
      </c>
      <c r="K51" s="3648" t="s">
        <v>1346</v>
      </c>
      <c r="L51" s="3648"/>
      <c r="M51" s="3462" t="s">
        <v>1347</v>
      </c>
      <c r="N51" s="3462" t="s">
        <v>1348</v>
      </c>
      <c r="O51" s="3462" t="s">
        <v>1349</v>
      </c>
    </row>
    <row r="52" spans="1:35" ht="24" customHeight="1">
      <c r="A52" s="3481" t="s">
        <v>1350</v>
      </c>
      <c r="B52" s="3584" t="s">
        <v>1351</v>
      </c>
      <c r="C52" s="3584"/>
      <c r="D52" s="1086" t="e">
        <f ca="1">ROUND(D45*'数据-取费表'!B41/(1+'数据-取费表'!C42),0)</f>
        <v>#N/A</v>
      </c>
      <c r="E52" s="3479" t="s">
        <v>1352</v>
      </c>
      <c r="F52" s="2553">
        <f>'数据-取费表'!B41</f>
        <v>5.6000000000000001E-2</v>
      </c>
      <c r="G52" s="2554"/>
      <c r="H52" s="2543"/>
      <c r="I52" s="1806"/>
      <c r="J52" s="3468">
        <v>1</v>
      </c>
      <c r="K52" s="3649" t="s">
        <v>1353</v>
      </c>
      <c r="L52" s="3649"/>
      <c r="M52" s="2524" t="b">
        <f>D48</f>
        <v>0</v>
      </c>
      <c r="N52" s="3468" t="str">
        <f>E48</f>
        <v>销售额×税（费）率</v>
      </c>
      <c r="O52" s="2525">
        <f>F48</f>
        <v>5.6000000000000001E-2</v>
      </c>
    </row>
    <row r="53" spans="1:35" ht="12" customHeight="1">
      <c r="A53" s="3481" t="s">
        <v>1354</v>
      </c>
      <c r="B53" s="3610" t="s">
        <v>2288</v>
      </c>
      <c r="C53" s="3611"/>
      <c r="D53" s="1086" t="e">
        <f ca="1">ROUND(D45*'数据-取费表'!B41/(1+'数据-取费表'!C42),0)</f>
        <v>#N/A</v>
      </c>
      <c r="E53" s="3479" t="s">
        <v>1352</v>
      </c>
      <c r="F53" s="2553">
        <f>'数据-取费表'!B41</f>
        <v>5.6000000000000001E-2</v>
      </c>
      <c r="G53" s="2554"/>
      <c r="H53" s="2543"/>
      <c r="I53" s="1806"/>
      <c r="J53" s="3468">
        <v>2</v>
      </c>
      <c r="K53" s="3649" t="s">
        <v>1355</v>
      </c>
      <c r="L53" s="3649"/>
      <c r="M53" s="2524" t="e">
        <f t="shared" ref="M53:O54" ca="1" si="0">D55</f>
        <v>#N/A</v>
      </c>
      <c r="N53" s="3468" t="str">
        <f t="shared" si="0"/>
        <v>销售额×税（费）率</v>
      </c>
      <c r="O53" s="2525" t="str">
        <f t="shared" si="0"/>
        <v>免征</v>
      </c>
    </row>
    <row r="54" spans="1:35" ht="12" customHeight="1">
      <c r="A54" s="3481" t="s">
        <v>1356</v>
      </c>
      <c r="B54" s="3610" t="s">
        <v>2289</v>
      </c>
      <c r="C54" s="3611"/>
      <c r="D54" s="1086" t="e">
        <f ca="1">C68</f>
        <v>#N/A</v>
      </c>
      <c r="E54" s="327" t="s">
        <v>1357</v>
      </c>
      <c r="F54" s="2553">
        <f>'数据-取费表'!B41</f>
        <v>5.6000000000000001E-2</v>
      </c>
      <c r="G54" s="2554"/>
      <c r="H54" s="2555"/>
      <c r="I54" s="1806"/>
      <c r="J54" s="3468">
        <v>3</v>
      </c>
      <c r="K54" s="3649" t="s">
        <v>1358</v>
      </c>
      <c r="L54" s="3649"/>
      <c r="M54" s="2524" t="e">
        <f t="shared" ca="1" si="0"/>
        <v>#N/A</v>
      </c>
      <c r="N54" s="3468" t="str">
        <f t="shared" si="0"/>
        <v>增值额×税（费）率</v>
      </c>
      <c r="O54" s="2526" t="str">
        <f t="shared" si="0"/>
        <v>免征</v>
      </c>
    </row>
    <row r="55" spans="1:35" ht="24" customHeight="1">
      <c r="A55" s="3599" t="s">
        <v>1359</v>
      </c>
      <c r="B55" s="3600"/>
      <c r="C55" s="3600"/>
      <c r="D55" s="3463" t="e">
        <f ca="1">IF(H55="个人住宅",0,ROUND(D45*I55,0))</f>
        <v>#N/A</v>
      </c>
      <c r="E55" s="3479" t="s">
        <v>1360</v>
      </c>
      <c r="F55" s="2553" t="str">
        <f>IF(H55="正常",I55,"免征")</f>
        <v>免征</v>
      </c>
      <c r="G55" s="2554"/>
      <c r="H55" s="2549"/>
      <c r="I55" s="165">
        <f>'数据-取费表'!B49</f>
        <v>5.0000000000000001E-4</v>
      </c>
      <c r="J55" s="3468">
        <f>IF(H59="非个人房产","",4)</f>
        <v>4</v>
      </c>
      <c r="K55" s="3649" t="str">
        <f>IF(H59="非个人房产","——","个人所得税")</f>
        <v>个人所得税</v>
      </c>
      <c r="L55" s="3649"/>
      <c r="M55" s="2527" t="e">
        <f ca="1">D59</f>
        <v>#N/A</v>
      </c>
      <c r="N55" s="3469" t="str">
        <f>E59</f>
        <v>差额计税</v>
      </c>
      <c r="O55" s="2528">
        <f>F59</f>
        <v>0.01</v>
      </c>
    </row>
    <row r="56" spans="1:35" ht="24.75">
      <c r="A56" s="3599" t="s">
        <v>1361</v>
      </c>
      <c r="B56" s="3600"/>
      <c r="C56" s="3600"/>
      <c r="D56" s="3463" t="e">
        <f ca="1">IF(H56="个人住宅",D57,D58)</f>
        <v>#N/A</v>
      </c>
      <c r="E56" s="3479" t="s">
        <v>1362</v>
      </c>
      <c r="F56" s="2553" t="str">
        <f>IF(H56="正常",F58,"免征")</f>
        <v>免征</v>
      </c>
      <c r="G56" s="2556" t="s">
        <v>1363</v>
      </c>
      <c r="H56" s="2557"/>
      <c r="I56" s="1807"/>
      <c r="J56" s="3468" t="str">
        <f>IF(项目基本情况!K6="上海银行",IF(J55="",4,J55+1),"")</f>
        <v/>
      </c>
      <c r="K56" s="3672" t="str">
        <f>IF(项目基本情况!K6="上海银行","其他处置费用","")</f>
        <v/>
      </c>
      <c r="L56" s="3673"/>
      <c r="M56" s="2524" t="str">
        <f>IF(项目基本情况!K6="上海银行",M69,"")</f>
        <v/>
      </c>
      <c r="N56" s="3672" t="str">
        <f>IF(项目基本情况!K6="上海银行","包含处置中涉及的律师、诉讼、拍卖、评估等费用","")</f>
        <v/>
      </c>
      <c r="O56" s="3675"/>
    </row>
    <row r="57" spans="1:35" ht="12.75">
      <c r="A57" s="3481" t="s">
        <v>1339</v>
      </c>
      <c r="B57" s="3610" t="s">
        <v>1364</v>
      </c>
      <c r="C57" s="3611"/>
      <c r="D57" s="1589">
        <v>0</v>
      </c>
      <c r="E57" s="324" t="s">
        <v>1341</v>
      </c>
      <c r="F57" s="302"/>
      <c r="G57" s="2554"/>
      <c r="H57" s="2558"/>
      <c r="I57" s="1807"/>
      <c r="J57" s="3649">
        <f>IF(AND(J55="",J56=""),4,IF(项目基本情况!K6="上海银行",'结果表-6号楼'!J56+1,'结果表-6号楼'!J55+1))</f>
        <v>5</v>
      </c>
      <c r="K57" s="3649" t="s">
        <v>1365</v>
      </c>
      <c r="L57" s="2529" t="s">
        <v>1366</v>
      </c>
      <c r="M57" s="2530"/>
      <c r="N57" s="2531">
        <f ca="1">SUMIF(M52:M56,"&lt;9e307")</f>
        <v>0</v>
      </c>
      <c r="O57" s="2532"/>
      <c r="P57" s="2689" t="e">
        <f ca="1">N57/M49</f>
        <v>#N/A</v>
      </c>
    </row>
    <row r="58" spans="1:35" ht="24.75">
      <c r="A58" s="3481" t="s">
        <v>1350</v>
      </c>
      <c r="B58" s="3610" t="s">
        <v>1367</v>
      </c>
      <c r="C58" s="3584"/>
      <c r="D58" s="3463" t="e">
        <f ca="1">IF(H58="转让取得",C81,C97)</f>
        <v>#N/A</v>
      </c>
      <c r="E58" s="3479" t="s">
        <v>1362</v>
      </c>
      <c r="F58" s="302" t="s">
        <v>28</v>
      </c>
      <c r="G58" s="2554"/>
      <c r="H58" s="2557"/>
      <c r="I58" s="1807"/>
      <c r="J58" s="3649"/>
      <c r="K58" s="3649"/>
      <c r="L58" s="2529" t="s">
        <v>1368</v>
      </c>
      <c r="M58" s="2533"/>
      <c r="N58" s="2534" t="str">
        <f ca="1">NUMBERSTRING(INT(N57*10000),2)&amp;"元整"</f>
        <v>零元整</v>
      </c>
      <c r="O58" s="2535"/>
    </row>
    <row r="59" spans="1:35" ht="24.75" thickBot="1">
      <c r="A59" s="3652" t="s">
        <v>1369</v>
      </c>
      <c r="B59" s="3653"/>
      <c r="C59" s="3653"/>
      <c r="D59" s="2559" t="e">
        <f ca="1">IF(H59="非个人房产","——",IF(H59="个人住宅（满五唯一有凭证）",0,IF(H59="个人其他（无凭证）",ROUND(D45*F59,0),ROUND(C67*F59,0))))</f>
        <v>#N/A</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1363</v>
      </c>
      <c r="H59" s="2313"/>
      <c r="I59" s="2312" t="s">
        <v>2134</v>
      </c>
      <c r="J59" s="3650">
        <f>J57+1</f>
        <v>6</v>
      </c>
      <c r="K59" s="3649" t="s">
        <v>1370</v>
      </c>
      <c r="L59" s="3468" t="s">
        <v>1366</v>
      </c>
      <c r="M59" s="2536"/>
      <c r="N59" s="2537" t="e">
        <f ca="1">M49-N57</f>
        <v>#N/A</v>
      </c>
      <c r="O59" s="2538"/>
    </row>
    <row r="60" spans="1:35" ht="12" customHeight="1">
      <c r="A60" s="1808"/>
      <c r="B60" s="1746"/>
      <c r="C60" s="1746"/>
      <c r="D60" s="1746"/>
      <c r="E60" s="1577"/>
      <c r="F60" s="1807"/>
      <c r="G60" s="1807"/>
      <c r="H60" s="1809"/>
      <c r="I60" s="129"/>
      <c r="J60" s="3651"/>
      <c r="K60" s="3649"/>
      <c r="L60" s="2529" t="s">
        <v>1368</v>
      </c>
      <c r="M60" s="2533"/>
      <c r="N60" s="2534" t="e">
        <f ca="1">NUMBERSTRING(INT(N59*10000),2)&amp;"元整"</f>
        <v>#N/A</v>
      </c>
      <c r="O60" s="2535"/>
    </row>
    <row r="61" spans="1:35" ht="13.5" thickBot="1">
      <c r="A61" s="3597" t="s">
        <v>1371</v>
      </c>
      <c r="B61" s="3597"/>
      <c r="C61" s="3597"/>
      <c r="D61" s="3597"/>
      <c r="E61" s="3597"/>
      <c r="F61" s="1807"/>
      <c r="G61" s="1807"/>
      <c r="H61" s="1809"/>
      <c r="I61" s="129"/>
      <c r="J61" s="3468">
        <f>J59+1</f>
        <v>7</v>
      </c>
      <c r="K61" s="3649" t="s">
        <v>1372</v>
      </c>
      <c r="L61" s="3649"/>
      <c r="M61" s="2539"/>
      <c r="N61" s="2540" t="e">
        <f ca="1">ROUND(N59*10000/'数据-汇总表'!E3,0)</f>
        <v>#N/A</v>
      </c>
      <c r="O61" s="2541"/>
    </row>
    <row r="62" spans="1:35" ht="12.75">
      <c r="A62" s="3615" t="s">
        <v>1373</v>
      </c>
      <c r="B62" s="3616"/>
      <c r="C62" s="3474"/>
      <c r="D62" s="3474" t="s">
        <v>1374</v>
      </c>
      <c r="E62" s="166" t="s">
        <v>1375</v>
      </c>
      <c r="F62" s="1807"/>
      <c r="G62" s="1807"/>
      <c r="H62" s="1809"/>
      <c r="I62" s="129"/>
    </row>
    <row r="63" spans="1:35" ht="12.75">
      <c r="A63" s="173" t="s">
        <v>330</v>
      </c>
      <c r="B63" s="167" t="s">
        <v>1376</v>
      </c>
      <c r="C63" s="2563" t="e">
        <f ca="1">ROUND((C64+C65)/(1+'数据-取费表'!C42),0)</f>
        <v>#N/A</v>
      </c>
      <c r="D63" s="167"/>
      <c r="E63" s="168"/>
      <c r="F63" s="1807"/>
      <c r="G63" s="1807"/>
      <c r="H63" s="1809"/>
      <c r="I63" s="129"/>
      <c r="J63" s="3674" t="s">
        <v>1377</v>
      </c>
      <c r="K63" s="3464" t="s">
        <v>1378</v>
      </c>
      <c r="L63" s="3464" t="e">
        <f ca="1">IF(M49&gt;10000,M49*0.5%,IF(AND(M49&gt;1000,M49&lt;=10000),M49*1%,IF(AND(M49&gt;100,M49&lt;=1000),M49*3%,IF(AND(M49&gt;10,M49&lt;=100),M49*5%,M49*8%))))</f>
        <v>#N/A</v>
      </c>
      <c r="M63" s="302" t="e">
        <f ca="1">ROUND(L63,1)</f>
        <v>#N/A</v>
      </c>
      <c r="N63" s="2542"/>
      <c r="Z63" s="1751"/>
      <c r="AI63" s="1752"/>
    </row>
    <row r="64" spans="1:35" ht="14.25" customHeight="1">
      <c r="A64" s="169" t="s">
        <v>325</v>
      </c>
      <c r="B64" s="170" t="s">
        <v>1379</v>
      </c>
      <c r="C64" s="2564" t="e">
        <f ca="1">D45</f>
        <v>#N/A</v>
      </c>
      <c r="D64" s="170" t="s">
        <v>26</v>
      </c>
      <c r="E64" s="172"/>
      <c r="F64" s="1807"/>
      <c r="G64" s="1807"/>
      <c r="H64" s="1809"/>
      <c r="I64" s="129"/>
      <c r="J64" s="3674"/>
      <c r="K64" s="3464" t="s">
        <v>1380</v>
      </c>
      <c r="L64" s="3464"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43" t="s">
        <v>1381</v>
      </c>
      <c r="Z64" s="1751"/>
      <c r="AI64" s="1752"/>
    </row>
    <row r="65" spans="1:35" ht="14.25" customHeight="1">
      <c r="A65" s="169" t="s">
        <v>326</v>
      </c>
      <c r="B65" s="170" t="s">
        <v>1382</v>
      </c>
      <c r="C65" s="2565"/>
      <c r="D65" s="170"/>
      <c r="E65" s="172"/>
      <c r="F65" s="1807"/>
      <c r="G65" s="1807"/>
      <c r="H65" s="1809"/>
      <c r="I65" s="129"/>
      <c r="J65" s="3674"/>
      <c r="K65" s="3464" t="s">
        <v>1383</v>
      </c>
      <c r="L65" s="3464" t="e">
        <f ca="1">IF(M49&gt;1000,M49*0.1%,IF(AND(M49&gt;500,M49&lt;=1000),M49*0.5%,IF(AND(M49&gt;50,M49&lt;=500),M49*1%,IF(AND(M49&gt;1,M49&lt;=50),M49*1.5%))))</f>
        <v>#N/A</v>
      </c>
      <c r="M65" s="302" t="e">
        <f t="shared" ca="1" si="1"/>
        <v>#N/A</v>
      </c>
      <c r="N65" s="2543" t="s">
        <v>1381</v>
      </c>
      <c r="Z65" s="1751"/>
      <c r="AI65" s="1752"/>
    </row>
    <row r="66" spans="1:35" ht="14.25" customHeight="1">
      <c r="A66" s="173" t="s">
        <v>327</v>
      </c>
      <c r="B66" s="174" t="s">
        <v>1384</v>
      </c>
      <c r="C66" s="2566"/>
      <c r="D66" s="174" t="s">
        <v>26</v>
      </c>
      <c r="E66" s="1337" t="s">
        <v>671</v>
      </c>
      <c r="F66" s="1807"/>
      <c r="G66" s="1807"/>
      <c r="H66" s="1809"/>
      <c r="I66" s="129"/>
      <c r="J66" s="3674"/>
      <c r="K66" s="3464" t="s">
        <v>1385</v>
      </c>
      <c r="L66" s="3464" t="e">
        <f ca="1">M49*0.5%</f>
        <v>#N/A</v>
      </c>
      <c r="M66" s="302" t="e">
        <f ca="1">IF(L66&gt;0.5,0.5,ROUND(L66,0))</f>
        <v>#N/A</v>
      </c>
      <c r="N66" s="2543" t="s">
        <v>1386</v>
      </c>
      <c r="Z66" s="1751"/>
      <c r="AI66" s="1752"/>
    </row>
    <row r="67" spans="1:35" ht="14.25" customHeight="1">
      <c r="A67" s="173" t="s">
        <v>328</v>
      </c>
      <c r="B67" s="174" t="s">
        <v>1387</v>
      </c>
      <c r="C67" s="2567" t="e">
        <f ca="1">C63-C66</f>
        <v>#N/A</v>
      </c>
      <c r="D67" s="170" t="s">
        <v>26</v>
      </c>
      <c r="E67" s="172"/>
      <c r="F67" s="1807"/>
      <c r="G67" s="1807"/>
      <c r="H67" s="1809"/>
      <c r="I67" s="129"/>
      <c r="J67" s="3674"/>
      <c r="K67" s="3464" t="s">
        <v>1388</v>
      </c>
      <c r="L67" s="3464"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42"/>
      <c r="Z67" s="1751"/>
      <c r="AI67" s="1752"/>
    </row>
    <row r="68" spans="1:35" ht="14.25" customHeight="1" thickBot="1">
      <c r="A68" s="176" t="s">
        <v>329</v>
      </c>
      <c r="B68" s="177" t="s">
        <v>1389</v>
      </c>
      <c r="C68" s="2568" t="e">
        <f ca="1">IF(C67&lt;=0,0,ROUND(C67*D68,0))</f>
        <v>#N/A</v>
      </c>
      <c r="D68" s="2569">
        <f>'数据-取费表'!B41</f>
        <v>5.6000000000000001E-2</v>
      </c>
      <c r="E68" s="178"/>
      <c r="F68" s="1807"/>
      <c r="G68" s="1807"/>
      <c r="H68" s="1809"/>
      <c r="I68" s="129"/>
      <c r="J68" s="3674"/>
      <c r="K68" s="3464" t="s">
        <v>1390</v>
      </c>
      <c r="L68" s="3464" t="e">
        <f ca="1">IF(M49&gt;10000,M49*0.5%,IF(AND(M49&gt;5000,M49&lt;=10000),M49*1%,IF(AND(M49&gt;1000,M49&lt;=5000),M49*2%,IF(AND(M49&gt;200,M49&lt;=1000),M49*3%,M49*5%))))</f>
        <v>#N/A</v>
      </c>
      <c r="M68" s="302" t="e">
        <f ca="1">ROUND(L68,1)</f>
        <v>#N/A</v>
      </c>
      <c r="N68" s="2542"/>
      <c r="Z68" s="1751"/>
      <c r="AI68" s="1752"/>
    </row>
    <row r="69" spans="1:35" s="1771" customFormat="1" ht="16.5" customHeight="1">
      <c r="A69" s="1810"/>
      <c r="B69" s="1811"/>
      <c r="C69" s="1812"/>
      <c r="D69" s="1813"/>
      <c r="E69" s="1814"/>
      <c r="F69" s="1577"/>
      <c r="G69" s="1577"/>
      <c r="H69" s="1576"/>
      <c r="I69" s="1746"/>
      <c r="J69" s="3674"/>
      <c r="K69" s="3464" t="s">
        <v>1391</v>
      </c>
      <c r="L69" s="3464"/>
      <c r="M69" s="302" t="e">
        <f ca="1">ROUND(SUM(M63:M68),0)</f>
        <v>#N/A</v>
      </c>
      <c r="N69" s="2544" t="e">
        <f ca="1">M69/M49</f>
        <v>#N/A</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6" t="s">
        <v>1392</v>
      </c>
      <c r="B70" s="3637"/>
      <c r="C70" s="3637"/>
      <c r="D70" s="3637"/>
      <c r="E70" s="3637"/>
      <c r="F70" s="3637"/>
      <c r="G70" s="3637"/>
      <c r="H70" s="3637"/>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5" t="s">
        <v>1373</v>
      </c>
      <c r="B71" s="3616"/>
      <c r="C71" s="3474"/>
      <c r="D71" s="3474" t="s">
        <v>1374</v>
      </c>
      <c r="E71" s="179" t="s">
        <v>1375</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67" t="e">
        <f ca="1">ROUND(D45/(1+'数据-取费表'!C42),0)</f>
        <v>#N/A</v>
      </c>
      <c r="D72" s="170" t="s">
        <v>26</v>
      </c>
      <c r="E72" s="3476"/>
      <c r="F72" s="3475"/>
      <c r="G72" s="3475"/>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67" t="e">
        <f ca="1">C74+C78</f>
        <v>#N/A</v>
      </c>
      <c r="D73" s="170" t="s">
        <v>26</v>
      </c>
      <c r="E73" s="3476"/>
      <c r="F73" s="3475"/>
      <c r="G73" s="3475"/>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0</v>
      </c>
      <c r="D74" s="170" t="s">
        <v>26</v>
      </c>
      <c r="E74" s="3476"/>
      <c r="F74" s="3475"/>
      <c r="G74" s="3475"/>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70"/>
      <c r="D75" s="170" t="s">
        <v>26</v>
      </c>
      <c r="E75" s="184" t="s">
        <v>1397</v>
      </c>
      <c r="F75" s="2571"/>
      <c r="G75" s="184" t="s">
        <v>1398</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0</v>
      </c>
      <c r="D76" s="2573">
        <v>0.05</v>
      </c>
      <c r="E76" s="3610" t="s">
        <v>1400</v>
      </c>
      <c r="F76" s="3584"/>
      <c r="G76" s="3584"/>
      <c r="H76" s="363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0</v>
      </c>
      <c r="D77" s="2574">
        <f>'数据-取费表'!B48+'数据-取费表'!B49</f>
        <v>3.0499999999999999E-2</v>
      </c>
      <c r="E77" s="3463" t="s">
        <v>1402</v>
      </c>
      <c r="F77" s="186"/>
      <c r="G77" s="1821"/>
      <c r="H77" s="3477"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75" t="e">
        <f ca="1">ROUND(D45*D78/(1+'数据-取费表'!C42),0)</f>
        <v>#N/A</v>
      </c>
      <c r="D78" s="2576">
        <f>'数据-取费表'!B43</f>
        <v>6.000000000000001E-3</v>
      </c>
      <c r="E78" s="3594" t="s">
        <v>1404</v>
      </c>
      <c r="F78" s="3595"/>
      <c r="G78" s="3595"/>
      <c r="H78" s="360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1405</v>
      </c>
      <c r="C79" s="2567" t="e">
        <f ca="1">C72-C73</f>
        <v>#N/A</v>
      </c>
      <c r="D79" s="170" t="s">
        <v>26</v>
      </c>
      <c r="E79" s="3476"/>
      <c r="F79" s="3475"/>
      <c r="G79" s="3475"/>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77" t="e">
        <f ca="1">IF(C79&lt;=0,0,C79/C73)</f>
        <v>#N/A</v>
      </c>
      <c r="D80" s="170" t="s">
        <v>26</v>
      </c>
      <c r="E80" s="3463" t="e">
        <f ca="1">IF(C80&gt;=200%,"增值额超过扣除项目金额200%",IF(C80&gt;=100%,"增值额超过扣除项目金额100%，未超过200%",IF(C80&gt;=50%,"增值额超过扣除项目金额50%，未超过100%",IF(C80&lt;50%,"增值额未超过扣除项目金额50%"))))</f>
        <v>#N/A</v>
      </c>
      <c r="F80" s="3475"/>
      <c r="G80" s="3475"/>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78" t="e">
        <f ca="1">ROUND(IF(C79&lt;=0,0,IF(C80&gt;=200%,C79*60%-C73*35%,IF(C80&gt;=100%,C79*50%-C73*15%,IF(C80&gt;=50%,C79*40%-C73*5%,IF(C80&lt;50%,C79*30%,0))))),0)</f>
        <v>#N/A</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6" t="s">
        <v>1408</v>
      </c>
      <c r="B83" s="3637"/>
      <c r="C83" s="3637"/>
      <c r="D83" s="3637"/>
      <c r="E83" s="3637"/>
      <c r="F83" s="3637"/>
      <c r="G83" s="3637"/>
      <c r="H83" s="363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5" t="s">
        <v>1373</v>
      </c>
      <c r="B84" s="3616"/>
      <c r="C84" s="3474"/>
      <c r="D84" s="3474"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1393</v>
      </c>
      <c r="C85" s="2567" t="e">
        <f ca="1">ROUND(D45/(1+'数据-取费表'!C42),0)</f>
        <v>#N/A</v>
      </c>
      <c r="D85" s="170" t="s">
        <v>26</v>
      </c>
      <c r="E85" s="3476"/>
      <c r="F85" s="3475"/>
      <c r="G85" s="3475"/>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1394</v>
      </c>
      <c r="C86" s="2567" t="e">
        <f ca="1">IF(H88="仅含出让金",C87+C90+C91+C92+C93+C94,C87+C91+C92+C93+C94)</f>
        <v>#N/A</v>
      </c>
      <c r="D86" s="2580"/>
      <c r="E86" s="3476"/>
      <c r="F86" s="3475"/>
      <c r="G86" s="3475"/>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1409</v>
      </c>
      <c r="C87" s="2575">
        <f>C88+C89</f>
        <v>0</v>
      </c>
      <c r="D87" s="2576"/>
      <c r="E87" s="3471"/>
      <c r="F87" s="3472"/>
      <c r="G87" s="3472"/>
      <c r="H87" s="3473"/>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1410</v>
      </c>
      <c r="C88" s="2581"/>
      <c r="D88" s="2576"/>
      <c r="E88" s="193" t="s">
        <v>1411</v>
      </c>
      <c r="F88" s="3472"/>
      <c r="G88" s="194" t="s">
        <v>1412</v>
      </c>
      <c r="H88" s="1823"/>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1401</v>
      </c>
      <c r="C89" s="2575">
        <f>ROUND(C88*D89,0)</f>
        <v>0</v>
      </c>
      <c r="D89" s="2576">
        <f>'数据-取费表'!B48+'数据-取费表'!B49</f>
        <v>3.0499999999999999E-2</v>
      </c>
      <c r="E89" s="193" t="s">
        <v>1413</v>
      </c>
      <c r="F89" s="3472"/>
      <c r="G89" s="3472"/>
      <c r="H89" s="3473"/>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1414</v>
      </c>
      <c r="C90" s="2581"/>
      <c r="D90" s="2576"/>
      <c r="E90" s="193" t="str">
        <f>IF(H88="-","土地取得成本中已包含该笔费用"," ")</f>
        <v xml:space="preserve"> </v>
      </c>
      <c r="F90" s="3472"/>
      <c r="G90" s="3676" t="s">
        <v>2126</v>
      </c>
      <c r="H90" s="3677"/>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1415</v>
      </c>
      <c r="B91" s="170" t="s">
        <v>1416</v>
      </c>
      <c r="C91" s="2575">
        <f>IF(H91="——",成本法!C33,I91)</f>
        <v>0</v>
      </c>
      <c r="D91" s="2576"/>
      <c r="E91" s="3594" t="s">
        <v>1417</v>
      </c>
      <c r="F91" s="3595"/>
      <c r="G91" s="359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1418</v>
      </c>
      <c r="B92" s="170" t="s">
        <v>1419</v>
      </c>
      <c r="C92" s="2575">
        <f>ROUND((C87+C90+C91)*D92,0)</f>
        <v>0</v>
      </c>
      <c r="D92" s="2582"/>
      <c r="E92" s="3594" t="s">
        <v>1420</v>
      </c>
      <c r="F92" s="3595"/>
      <c r="G92" s="3595"/>
      <c r="H92" s="3604"/>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1421</v>
      </c>
      <c r="B93" s="170" t="s">
        <v>1403</v>
      </c>
      <c r="C93" s="2575" t="e">
        <f ca="1">ROUND(D45*D93/(1+'数据-取费表'!C42),0)</f>
        <v>#N/A</v>
      </c>
      <c r="D93" s="2576">
        <f>'数据-取费表'!B43</f>
        <v>6.000000000000001E-3</v>
      </c>
      <c r="E93" s="3594" t="s">
        <v>1404</v>
      </c>
      <c r="F93" s="3595"/>
      <c r="G93" s="3595"/>
      <c r="H93" s="360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1422</v>
      </c>
      <c r="B94" s="170" t="s">
        <v>1423</v>
      </c>
      <c r="C94" s="2581">
        <f>ROUND((C87+C90+C91)*D94,0)</f>
        <v>0</v>
      </c>
      <c r="D94" s="2576">
        <v>0.2</v>
      </c>
      <c r="E94" s="3605" t="s">
        <v>1424</v>
      </c>
      <c r="F94" s="3606"/>
      <c r="G94" s="3606"/>
      <c r="H94" s="360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1405</v>
      </c>
      <c r="C95" s="2567" t="e">
        <f ca="1">ROUND(C85-C86,0)</f>
        <v>#N/A</v>
      </c>
      <c r="D95" s="170" t="s">
        <v>26</v>
      </c>
      <c r="E95" s="3476"/>
      <c r="F95" s="3475"/>
      <c r="G95" s="3475"/>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1406</v>
      </c>
      <c r="C96" s="2577" t="e">
        <f ca="1">IF(C95&lt;=0,0,C95/C86)</f>
        <v>#N/A</v>
      </c>
      <c r="D96" s="170" t="s">
        <v>26</v>
      </c>
      <c r="E96" s="3463" t="e">
        <f ca="1">IF(C96&gt;=200%,"增值额超过扣除项目金额200%",IF(C96&gt;=100%,"增值额超过扣除项目金额100%，未超过200%",IF(C96&gt;=50%,"增值额超过扣除项目金额50%，未超过100%",IF(C96&lt;50%,"增值额未超过扣除项目金额50%"))))</f>
        <v>#N/A</v>
      </c>
      <c r="F96" s="3475"/>
      <c r="G96" s="3475"/>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1407</v>
      </c>
      <c r="C97" s="2578" t="e">
        <f ca="1">ROUND(IF(C95&lt;=0,0,IF(C96&gt;=200%,C95*60%-C86*35%,IF(C96&gt;=100%,C95*50%-C86*15%,IF(C96&gt;=50%,C95*40%-C86*5%,IF(C96&lt;50%,C95*30%,0))))),0)</f>
        <v>#N/A</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78" t="s">
        <v>1426</v>
      </c>
      <c r="B100" s="3579"/>
      <c r="C100" s="3579"/>
      <c r="D100" s="3596"/>
      <c r="E100" s="3579" t="s">
        <v>1427</v>
      </c>
      <c r="F100" s="3579"/>
      <c r="G100" s="3579"/>
      <c r="H100" s="3596"/>
      <c r="I100" s="129"/>
    </row>
    <row r="101" spans="1:35" ht="18.75" customHeight="1">
      <c r="A101" s="3657" t="s">
        <v>1428</v>
      </c>
      <c r="B101" s="3658"/>
      <c r="C101" s="2584" t="str">
        <f>C4</f>
        <v>成本法-6号楼</v>
      </c>
      <c r="D101" s="2585" t="str">
        <f>D4</f>
        <v>收益法-6号楼</v>
      </c>
      <c r="E101" s="3671" t="s">
        <v>1429</v>
      </c>
      <c r="F101" s="3628"/>
      <c r="G101" s="1826" t="s">
        <v>1430</v>
      </c>
      <c r="H101" s="2594" t="e">
        <f ca="1">H118</f>
        <v>#N/A</v>
      </c>
      <c r="I101" s="129"/>
    </row>
    <row r="102" spans="1:35" ht="18.75" customHeight="1">
      <c r="A102" s="3630" t="s">
        <v>1431</v>
      </c>
      <c r="B102" s="2583" t="s">
        <v>1430</v>
      </c>
      <c r="C102" s="2584" t="e">
        <f ca="1">IF(D32="楼面单价",ROUND(C19,0),C19)</f>
        <v>#N/A</v>
      </c>
      <c r="D102" s="2585" t="e">
        <f ca="1">IF(D32="楼面单价",ROUND(D19,0),D19)</f>
        <v>#N/A</v>
      </c>
      <c r="E102" s="3671"/>
      <c r="F102" s="3628"/>
      <c r="G102" s="1826" t="s">
        <v>1432</v>
      </c>
      <c r="H102" s="2554" t="e">
        <f ca="1">I118</f>
        <v>#N/A</v>
      </c>
      <c r="I102" s="129"/>
    </row>
    <row r="103" spans="1:35" ht="42.75" customHeight="1">
      <c r="A103" s="3630"/>
      <c r="B103" s="2583" t="s">
        <v>1432</v>
      </c>
      <c r="C103" s="2586" t="e">
        <f ca="1">C20</f>
        <v>#N/A</v>
      </c>
      <c r="D103" s="2587">
        <f ca="1">D20</f>
        <v>0</v>
      </c>
      <c r="E103" s="3665" t="s">
        <v>1433</v>
      </c>
      <c r="F103" s="3666"/>
      <c r="G103" s="1827" t="s">
        <v>1434</v>
      </c>
      <c r="H103" s="2594">
        <f>IF(D36="正常操作",H104+H105+H106,H105+H106)</f>
        <v>0</v>
      </c>
      <c r="I103" s="129"/>
    </row>
    <row r="104" spans="1:35" ht="18.75" customHeight="1">
      <c r="A104" s="3630" t="s">
        <v>1435</v>
      </c>
      <c r="B104" s="2588" t="s">
        <v>1430</v>
      </c>
      <c r="C104" s="2589" t="e">
        <f ca="1">H118</f>
        <v>#N/A</v>
      </c>
      <c r="D104" s="2590"/>
      <c r="E104" s="1673" t="s">
        <v>1436</v>
      </c>
      <c r="F104" s="1665"/>
      <c r="G104" s="1827" t="s">
        <v>1434</v>
      </c>
      <c r="H104" s="2595">
        <f>IF(D36="同一抵押权人同一抵押物续贷",C36&amp;"（续贷，未扣减，详见特别提示）",C36)</f>
        <v>0</v>
      </c>
      <c r="I104" s="129"/>
    </row>
    <row r="105" spans="1:35" ht="18.75" customHeight="1" thickBot="1">
      <c r="A105" s="3631"/>
      <c r="B105" s="2591" t="s">
        <v>1432</v>
      </c>
      <c r="C105" s="2592" t="e">
        <f ca="1">I118</f>
        <v>#N/A</v>
      </c>
      <c r="D105" s="2593"/>
      <c r="E105" s="1673" t="s">
        <v>1437</v>
      </c>
      <c r="F105" s="1665"/>
      <c r="G105" s="1827" t="s">
        <v>1434</v>
      </c>
      <c r="H105" s="2596">
        <f>C37</f>
        <v>0</v>
      </c>
      <c r="I105" s="129"/>
    </row>
    <row r="106" spans="1:35" ht="18.75" customHeight="1">
      <c r="A106" s="1746" t="s">
        <v>1438</v>
      </c>
      <c r="B106" s="1746"/>
      <c r="C106" s="1746"/>
      <c r="D106" s="1746"/>
      <c r="E106" s="1828" t="s">
        <v>1439</v>
      </c>
      <c r="F106" s="1665"/>
      <c r="G106" s="1827" t="s">
        <v>1434</v>
      </c>
      <c r="H106" s="2596">
        <f>C38</f>
        <v>0</v>
      </c>
      <c r="I106" s="129"/>
    </row>
    <row r="107" spans="1:35" ht="18.75" customHeight="1">
      <c r="A107" s="129"/>
      <c r="B107" s="129"/>
      <c r="C107" s="129"/>
      <c r="D107" s="129"/>
      <c r="E107" s="3627" t="str">
        <f>IF(项目基本情况!E8="已注销","——","3.房地产抵押价值")</f>
        <v>3.房地产抵押价值</v>
      </c>
      <c r="F107" s="3628"/>
      <c r="G107" s="1826" t="s">
        <v>1430</v>
      </c>
      <c r="H107" s="2594" t="e">
        <f ca="1">IF(E107="——","——",H101-H103)</f>
        <v>#N/A</v>
      </c>
      <c r="I107" s="129"/>
    </row>
    <row r="108" spans="1:35" ht="18.75" customHeight="1">
      <c r="A108" s="129"/>
      <c r="B108" s="129"/>
      <c r="C108" s="129"/>
      <c r="D108" s="129"/>
      <c r="E108" s="3627"/>
      <c r="F108" s="3628"/>
      <c r="G108" s="1826" t="s">
        <v>1432</v>
      </c>
      <c r="H108" s="2554" t="e">
        <f ca="1">IF(H107=H101,H102,ROUND(H107*10000/'数据-汇总表'!E3,0))</f>
        <v>#N/A</v>
      </c>
      <c r="I108" s="129"/>
    </row>
    <row r="109" spans="1:35" ht="18.75" customHeight="1">
      <c r="A109" s="129"/>
      <c r="B109" s="129"/>
      <c r="C109" s="129"/>
      <c r="D109" s="129"/>
      <c r="E109" s="3627" t="str">
        <f>IF(项目基本情况!E8="已注销及未注销","4.抵押担保权已注销时的房地产抵押价值",IF(项目基本情况!E8="已注销","3.抵押担保权已注销时的房地产抵押价值","——"))</f>
        <v>——</v>
      </c>
      <c r="F109" s="3628"/>
      <c r="G109" s="1826" t="s">
        <v>1430</v>
      </c>
      <c r="H109" s="2597" t="str">
        <f>IF(E109="——","——",H101-H105-H106)</f>
        <v>——</v>
      </c>
      <c r="I109" s="129"/>
    </row>
    <row r="110" spans="1:35" ht="18.75" customHeight="1">
      <c r="A110" s="129"/>
      <c r="B110" s="129"/>
      <c r="C110" s="129"/>
      <c r="D110" s="129"/>
      <c r="E110" s="3627"/>
      <c r="F110" s="3628"/>
      <c r="G110" s="1826" t="s">
        <v>1432</v>
      </c>
      <c r="H110" s="2554" t="str">
        <f>IF(H109="——","——",ROUND(H109*10000/'数据-汇总表'!E3,0))</f>
        <v>——</v>
      </c>
      <c r="I110" s="129"/>
    </row>
    <row r="111" spans="1:35" ht="18.75" customHeight="1">
      <c r="A111" s="129"/>
      <c r="B111" s="129"/>
      <c r="C111" s="129"/>
      <c r="D111" s="129"/>
      <c r="E111" s="3659" t="str">
        <f>IF(项目基本情况!E9="抵押净值",IF(OR(项目基本情况!E8="已注销",项目基本情况!E8="房地产抵押价值"),"4.抵押净值","5.抵押净值"),"——")</f>
        <v>——</v>
      </c>
      <c r="F111" s="3629"/>
      <c r="G111" s="1826" t="s">
        <v>1430</v>
      </c>
      <c r="H111" s="2594" t="str">
        <f>IF(E111="——","——",N59)</f>
        <v>——</v>
      </c>
      <c r="I111" s="129"/>
    </row>
    <row r="112" spans="1:35" ht="18.75" customHeight="1" thickBot="1">
      <c r="A112" s="129"/>
      <c r="B112" s="129"/>
      <c r="C112" s="129"/>
      <c r="D112" s="129"/>
      <c r="E112" s="3660"/>
      <c r="F112" s="3661"/>
      <c r="G112" s="1829" t="s">
        <v>1432</v>
      </c>
      <c r="H112" s="2598" t="str">
        <f>IF(E111="——","——",N61)</f>
        <v>——</v>
      </c>
      <c r="I112" s="129"/>
    </row>
    <row r="113" spans="1:27" ht="18.75" customHeight="1">
      <c r="A113" s="129"/>
      <c r="B113" s="129"/>
      <c r="C113" s="129"/>
      <c r="D113" s="129"/>
      <c r="E113" s="3632" t="s">
        <v>1438</v>
      </c>
      <c r="F113" s="3632"/>
      <c r="G113" s="3632"/>
      <c r="H113" s="3632"/>
      <c r="I113" s="129"/>
    </row>
    <row r="114" spans="1:27" ht="3.75" customHeight="1">
      <c r="A114" s="1746"/>
      <c r="B114" s="1746"/>
      <c r="C114" s="1746"/>
      <c r="D114" s="1746"/>
      <c r="E114" s="1808"/>
      <c r="F114" s="1808"/>
      <c r="G114" s="1808"/>
      <c r="H114" s="1808"/>
      <c r="I114" s="1746"/>
    </row>
    <row r="115" spans="1:27" ht="18.75" customHeight="1">
      <c r="A115" s="3642" t="s">
        <v>1440</v>
      </c>
      <c r="B115" s="3643"/>
      <c r="C115" s="3643"/>
      <c r="D115" s="3643"/>
      <c r="E115" s="3643"/>
      <c r="F115" s="3643"/>
      <c r="G115" s="3643"/>
      <c r="H115" s="3643"/>
      <c r="I115" s="3644"/>
    </row>
    <row r="116" spans="1:27" ht="27" customHeight="1">
      <c r="A116" s="3598" t="s">
        <v>1441</v>
      </c>
      <c r="B116" s="3633" t="s">
        <v>1442</v>
      </c>
      <c r="C116" s="3633" t="s">
        <v>1443</v>
      </c>
      <c r="D116" s="3646" t="s">
        <v>1444</v>
      </c>
      <c r="E116" s="3647"/>
      <c r="F116" s="3641" t="s">
        <v>1445</v>
      </c>
      <c r="G116" s="3641"/>
      <c r="H116" s="3598" t="s">
        <v>1446</v>
      </c>
      <c r="I116" s="3598"/>
    </row>
    <row r="117" spans="1:27" ht="18.75" customHeight="1">
      <c r="A117" s="3598"/>
      <c r="B117" s="3634"/>
      <c r="C117" s="3634"/>
      <c r="D117" s="3466" t="s">
        <v>1447</v>
      </c>
      <c r="E117" s="3466" t="s">
        <v>1448</v>
      </c>
      <c r="F117" s="3466" t="s">
        <v>1447</v>
      </c>
      <c r="G117" s="3466" t="s">
        <v>1449</v>
      </c>
      <c r="H117" s="3466" t="s">
        <v>1447</v>
      </c>
      <c r="I117" s="3466" t="s">
        <v>1449</v>
      </c>
    </row>
    <row r="118" spans="1:27" ht="24.75" customHeight="1">
      <c r="A118" s="2599" t="str">
        <f>项目基本情况!S2</f>
        <v>北京市房地产</v>
      </c>
      <c r="B118" s="3466">
        <f>M18</f>
        <v>0</v>
      </c>
      <c r="C118" s="3466">
        <f>M19</f>
        <v>0</v>
      </c>
      <c r="D118" s="3466" t="e">
        <f ca="1">ROUND(IF(D32="总价",C34,E118*B118/10000),0)</f>
        <v>#N/A</v>
      </c>
      <c r="E118" s="3466" t="e">
        <f ca="1">ROUND(IF(C33="自定义",IF(D32="楼面单价",C34,D118*10000/B118),I118-G118),0)</f>
        <v>#N/A</v>
      </c>
      <c r="F118" s="3466" t="e">
        <f ca="1">ROUND(IF(D32="总价",C35,G118*B118/10000),0)</f>
        <v>#N/A</v>
      </c>
      <c r="G118" s="3466" t="e">
        <f ca="1">ROUND(IF(D32="楼面单价",C35,F118*10000/B118),0)</f>
        <v>#N/A</v>
      </c>
      <c r="H118" s="3466" t="e">
        <f ca="1">ROUND(IF(D32="总价",C32,I118*B118/10000),0)</f>
        <v>#N/A</v>
      </c>
      <c r="I118" s="3466" t="e">
        <f ca="1">ROUND(IF(D32="楼面单价",C32,H118*10000/B118),0)</f>
        <v>#N/A</v>
      </c>
    </row>
    <row r="119" spans="1:27" ht="18.75" customHeight="1">
      <c r="A119" s="3598" t="s">
        <v>1450</v>
      </c>
      <c r="B119" s="3598"/>
      <c r="C119" s="3598"/>
      <c r="D119" s="3638" t="e">
        <f ca="1">NUMBERSTRING(INT(D118*10000),2)&amp;"元整"</f>
        <v>#N/A</v>
      </c>
      <c r="E119" s="3640"/>
      <c r="F119" s="3638" t="e">
        <f ca="1">NUMBERSTRING(INT(F118*10000),2)&amp;"元整"</f>
        <v>#N/A</v>
      </c>
      <c r="G119" s="3640"/>
      <c r="H119" s="3638" t="e">
        <f ca="1">NUMBERSTRING(INT(H118*10000),2)&amp;"元整"</f>
        <v>#N/A</v>
      </c>
      <c r="I119" s="3640"/>
    </row>
    <row r="120" spans="1:27" ht="18.75" customHeight="1">
      <c r="A120" s="3662" t="str">
        <f>IF(项目基本情况!B9="房地产市场价值","",MID(E103,3,LEN(E103)-2))</f>
        <v>估价师知悉的法定优先受偿款</v>
      </c>
      <c r="B120" s="3663"/>
      <c r="C120" s="3664"/>
      <c r="D120" s="3662">
        <f>H103</f>
        <v>0</v>
      </c>
      <c r="E120" s="3663"/>
      <c r="F120" s="3663"/>
      <c r="G120" s="3663"/>
      <c r="H120" s="3663"/>
      <c r="I120" s="366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38" t="s">
        <v>1450</v>
      </c>
      <c r="B121" s="3639"/>
      <c r="C121" s="3640"/>
      <c r="D121" s="3638" t="str">
        <f>IF(D120=0,"零元整",NUMBERSTRING(INT(D120*10000),2)&amp;"元整")</f>
        <v>零元整</v>
      </c>
      <c r="E121" s="3639"/>
      <c r="F121" s="3639"/>
      <c r="G121" s="3639"/>
      <c r="H121" s="3639"/>
      <c r="I121" s="3640"/>
      <c r="AA121" s="724"/>
    </row>
    <row r="122" spans="1:27" ht="18.75" customHeight="1">
      <c r="A122" s="3629" t="str">
        <f>IF(项目基本情况!B9="房地产市场价值","",MID(E107,3,LEN(E107)-2))</f>
        <v>房地产抵押价值</v>
      </c>
      <c r="B122" s="3629"/>
      <c r="C122" s="3629"/>
      <c r="D122" s="3662" t="e">
        <f ca="1">H107</f>
        <v>#N/A</v>
      </c>
      <c r="E122" s="3663"/>
      <c r="F122" s="3663"/>
      <c r="G122" s="3663"/>
      <c r="H122" s="3663"/>
      <c r="I122" s="3664"/>
      <c r="AA122" s="724"/>
    </row>
    <row r="123" spans="1:27" ht="18.75" customHeight="1">
      <c r="A123" s="3598" t="s">
        <v>1450</v>
      </c>
      <c r="B123" s="3598"/>
      <c r="C123" s="3598"/>
      <c r="D123" s="3638" t="e">
        <f ca="1">NUMBERSTRING(INT(D122*10000),2)&amp;"元整"</f>
        <v>#N/A</v>
      </c>
      <c r="E123" s="3639"/>
      <c r="F123" s="3639"/>
      <c r="G123" s="3639"/>
      <c r="H123" s="3639"/>
      <c r="I123" s="3640"/>
      <c r="AA123" s="724"/>
    </row>
    <row r="124" spans="1:27" ht="18.75" customHeight="1">
      <c r="A124" s="3629" t="str">
        <f>IF(项目基本情况!B9="房地产市场价值","",MID(E109,3,LEN(E109)-2))</f>
        <v/>
      </c>
      <c r="B124" s="3629"/>
      <c r="C124" s="3629"/>
      <c r="D124" s="3662" t="str">
        <f>H109</f>
        <v>——</v>
      </c>
      <c r="E124" s="3663"/>
      <c r="F124" s="3663"/>
      <c r="G124" s="3663"/>
      <c r="H124" s="3663"/>
      <c r="I124" s="3664"/>
      <c r="AA124" s="724"/>
    </row>
    <row r="125" spans="1:27" ht="18.75" customHeight="1">
      <c r="A125" s="3598" t="s">
        <v>1450</v>
      </c>
      <c r="B125" s="3598"/>
      <c r="C125" s="3598"/>
      <c r="D125" s="3638" t="e">
        <f>NUMBERSTRING(INT(D124*10000),2)&amp;"元整"</f>
        <v>#VALUE!</v>
      </c>
      <c r="E125" s="3639"/>
      <c r="F125" s="3639"/>
      <c r="G125" s="3639"/>
      <c r="H125" s="3639"/>
      <c r="I125" s="3640"/>
      <c r="AA125" s="724"/>
    </row>
    <row r="126" spans="1:27" ht="18.75" customHeight="1">
      <c r="A126" s="3629" t="str">
        <f>IF(项目基本情况!B9="房地产市场价值","",MID(E111,3,LEN(E111)-2))</f>
        <v/>
      </c>
      <c r="B126" s="3629"/>
      <c r="C126" s="3629"/>
      <c r="D126" s="3662" t="str">
        <f>H111</f>
        <v>——</v>
      </c>
      <c r="E126" s="3663"/>
      <c r="F126" s="3663"/>
      <c r="G126" s="3663"/>
      <c r="H126" s="3663"/>
      <c r="I126" s="3664"/>
      <c r="AA126" s="724"/>
    </row>
    <row r="127" spans="1:27" ht="18.75" customHeight="1">
      <c r="A127" s="3598" t="s">
        <v>1450</v>
      </c>
      <c r="B127" s="3598"/>
      <c r="C127" s="3598"/>
      <c r="D127" s="3638" t="e">
        <f>NUMBERSTRING(INT(D126*10000),2)&amp;"元整"</f>
        <v>#VALUE!</v>
      </c>
      <c r="E127" s="3639"/>
      <c r="F127" s="3639"/>
      <c r="G127" s="3639"/>
      <c r="H127" s="3639"/>
      <c r="I127" s="3640"/>
      <c r="AA127" s="724"/>
    </row>
    <row r="128" spans="1:27" ht="21.75" customHeight="1">
      <c r="A128" s="3645" t="s">
        <v>1451</v>
      </c>
      <c r="B128" s="3645"/>
      <c r="C128" s="3645"/>
      <c r="D128" s="3645"/>
      <c r="E128" s="3645"/>
      <c r="F128" s="3645"/>
      <c r="G128" s="3645"/>
      <c r="H128" s="3645"/>
      <c r="I128" s="3645"/>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zoomScaleSheetLayoutView="100" workbookViewId="0">
      <selection activeCell="D38" sqref="D3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t="s">
        <v>3453</v>
      </c>
      <c r="C1" s="198"/>
      <c r="D1" s="198"/>
      <c r="E1" s="198"/>
      <c r="F1" s="198"/>
      <c r="G1" s="1125" t="e">
        <f>MATCH(B1,'数据-取费表'!A6:A16,0)+5</f>
        <v>#N/A</v>
      </c>
    </row>
    <row r="2" spans="1:9" s="200" customFormat="1" ht="18" customHeight="1">
      <c r="A2" s="201" t="s">
        <v>1460</v>
      </c>
      <c r="B2" s="202" t="e">
        <f ca="1">IF(D2="——",C52,C52-E2)</f>
        <v>#N/A</v>
      </c>
      <c r="C2" s="199" t="s">
        <v>1461</v>
      </c>
      <c r="D2" s="1852" t="s">
        <v>43</v>
      </c>
      <c r="E2" s="1168" t="e">
        <f ca="1">SUMIF(INDIRECT("'"&amp;G2&amp;"'"&amp;"!A:A"),"承租人权益价值",INDIRECT("'"&amp;G2&amp;"'"&amp;"!c:c"))</f>
        <v>#REF!</v>
      </c>
      <c r="F2" s="1853" t="s">
        <v>1461</v>
      </c>
      <c r="G2" s="1854"/>
    </row>
    <row r="3" spans="1:9" s="200" customFormat="1" ht="18" customHeight="1" thickBot="1">
      <c r="A3" s="203" t="s">
        <v>1462</v>
      </c>
      <c r="B3" s="204" t="e">
        <f ca="1">ROUND(B2*10000/(IF(B1="",'数据-汇总表'!E3,INDIRECT("'数据-取费表'!k"&amp;$G$1))),0)</f>
        <v>#N/A</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t="e">
        <f ca="1">C6+C7+C8</f>
        <v>#N/A</v>
      </c>
      <c r="D5" s="211" t="s">
        <v>1467</v>
      </c>
      <c r="E5" s="212" t="s">
        <v>1468</v>
      </c>
      <c r="F5" s="212" t="s">
        <v>1469</v>
      </c>
      <c r="G5" s="213"/>
    </row>
    <row r="6" spans="1:9" s="214" customFormat="1" ht="13.5" customHeight="1">
      <c r="A6" s="777" t="s">
        <v>1470</v>
      </c>
      <c r="B6" s="215" t="s">
        <v>1471</v>
      </c>
      <c r="C6" s="216">
        <f>'基准地价修正 (2)'!D33+'基准地价修正 (2)'!D37</f>
        <v>0</v>
      </c>
      <c r="D6" s="217"/>
      <c r="E6" s="218"/>
      <c r="F6" s="218"/>
      <c r="G6" s="219"/>
    </row>
    <row r="7" spans="1:9" s="214" customFormat="1" ht="13.5" customHeight="1">
      <c r="A7" s="777" t="s">
        <v>1472</v>
      </c>
      <c r="B7" s="215" t="s">
        <v>1473</v>
      </c>
      <c r="C7" s="220">
        <f>ROUND(C6*F7,0)</f>
        <v>0</v>
      </c>
      <c r="D7" s="220"/>
      <c r="E7" s="218"/>
      <c r="F7" s="221">
        <f>IF(项目基本情况!B8="出让",0,'数据-取费表'!B48+'数据-取费表'!B49)</f>
        <v>3.0499999999999999E-2</v>
      </c>
      <c r="G7" s="219"/>
    </row>
    <row r="8" spans="1:9" s="223" customFormat="1">
      <c r="A8" s="777" t="s">
        <v>1474</v>
      </c>
      <c r="B8" s="215" t="s">
        <v>1475</v>
      </c>
      <c r="C8" s="220" t="e">
        <f ca="1">IF(G8="已包含在土地购买价格中","0",IF(B1="",'数据-取费表'!B29,IF(G9="全部缴纳",C9+C10,H9)))</f>
        <v>#N/A</v>
      </c>
      <c r="D8" s="222"/>
      <c r="E8" s="220"/>
      <c r="F8" s="221"/>
      <c r="G8" s="1855" t="s">
        <v>3436</v>
      </c>
    </row>
    <row r="9" spans="1:9" s="214" customFormat="1" ht="13.5" customHeight="1">
      <c r="A9" s="778" t="s">
        <v>355</v>
      </c>
      <c r="B9" s="224" t="s">
        <v>1476</v>
      </c>
      <c r="C9" s="225" t="e">
        <f ca="1">ROUND(D9*E9/10000,0)</f>
        <v>#N/A</v>
      </c>
      <c r="D9" s="844" t="e">
        <f ca="1">IF(B1="",'数据-汇总表'!E5,IF(INDIRECT("'数据-取费表'!c"&amp;$G$1)="住宅",INDIRECT("'数据-取费表'!k"&amp;$G$1),0))</f>
        <v>#N/A</v>
      </c>
      <c r="E9" s="225">
        <f>'数据-取费表'!B27</f>
        <v>0</v>
      </c>
      <c r="F9" s="221"/>
      <c r="G9" s="1856" t="s">
        <v>3442</v>
      </c>
      <c r="H9" s="1136"/>
      <c r="I9" s="1857" t="s">
        <v>1477</v>
      </c>
    </row>
    <row r="10" spans="1:9" s="214" customFormat="1" ht="13.5" customHeight="1">
      <c r="A10" s="778" t="s">
        <v>356</v>
      </c>
      <c r="B10" s="224" t="s">
        <v>1478</v>
      </c>
      <c r="C10" s="225" t="e">
        <f ca="1">ROUND(D10*E10/10000,0)</f>
        <v>#N/A</v>
      </c>
      <c r="D10" s="844"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1475</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1475</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t="e">
        <f ca="1">D9+D10</f>
        <v>#N/A</v>
      </c>
      <c r="E19" s="211">
        <f>'数据-取费表'!B31</f>
        <v>200</v>
      </c>
      <c r="F19" s="231"/>
      <c r="G19" s="1855" t="s">
        <v>3437</v>
      </c>
    </row>
    <row r="20" spans="1:7" s="214" customFormat="1" ht="13.5" customHeight="1">
      <c r="A20" s="255" t="s">
        <v>1491</v>
      </c>
      <c r="B20" s="210" t="s">
        <v>1492</v>
      </c>
      <c r="C20" s="232" t="e">
        <f ca="1">ROUND((C5+C19)*F20,0)</f>
        <v>#N/A</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t="e">
        <f ca="1">ROUND(SUM(C23:C25),0)</f>
        <v>#N/A</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9" t="s">
        <v>1470</v>
      </c>
      <c r="B23" s="215" t="s">
        <v>1501</v>
      </c>
      <c r="C23" s="1104" t="e">
        <f ca="1">ROUND(IF('数据-取费表'!B22&lt;=1,C5*F22*'数据-取费表'!B23,C5*(POWER((1+F22),'数据-取费表'!B23)-1)),0)</f>
        <v>#N/A</v>
      </c>
      <c r="D23" s="238"/>
      <c r="E23" s="238"/>
      <c r="F23" s="239"/>
      <c r="G23" s="240" t="s">
        <v>1502</v>
      </c>
    </row>
    <row r="24" spans="1:7" s="214" customFormat="1" ht="13.5" customHeight="1">
      <c r="A24" s="779" t="s">
        <v>1472</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1474</v>
      </c>
      <c r="B25" s="215" t="s">
        <v>1507</v>
      </c>
      <c r="C25" s="1104" t="e">
        <f ca="1">ROUND(IF('数据-取费表'!B22&lt;=1,C20*F22*'数据-取费表'!B23/2,C20*(POWER((1+F22),'数据-取费表'!B23/2)-1)),0)</f>
        <v>#N/A</v>
      </c>
      <c r="D25" s="238"/>
      <c r="E25" s="241"/>
      <c r="F25" s="239"/>
      <c r="G25" s="242" t="s">
        <v>1508</v>
      </c>
    </row>
    <row r="26" spans="1:7" s="214" customFormat="1">
      <c r="A26" s="779"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t="e">
        <f ca="1">C28</f>
        <v>#N/A</v>
      </c>
      <c r="D27" s="235" t="e">
        <f ca="1">C29</f>
        <v>#N/A</v>
      </c>
      <c r="E27" s="236" t="s">
        <v>1496</v>
      </c>
      <c r="F27" s="246" t="e">
        <f ca="1">IF(B1="",'数据-取费表'!Q16,INDIRECT("'数据-取费表'!q"&amp;$G$1))</f>
        <v>#N/A</v>
      </c>
      <c r="G27" s="247" t="s">
        <v>1513</v>
      </c>
    </row>
    <row r="28" spans="1:7" s="214" customFormat="1" ht="13.5" customHeight="1">
      <c r="A28" s="779" t="s">
        <v>346</v>
      </c>
      <c r="B28" s="248" t="s">
        <v>1514</v>
      </c>
      <c r="C28" s="249" t="e">
        <f ca="1">ROUND((C5+C19+C20)*F27*'数据-取费表'!B21/'数据-取费表'!B20,0)</f>
        <v>#N/A</v>
      </c>
      <c r="D28" s="235"/>
      <c r="E28" s="236"/>
      <c r="F28" s="246"/>
      <c r="G28" s="247"/>
    </row>
    <row r="29" spans="1:7" s="214" customFormat="1" ht="13.5" customHeight="1">
      <c r="A29" s="779" t="s">
        <v>347</v>
      </c>
      <c r="B29" s="248" t="s">
        <v>1515</v>
      </c>
      <c r="C29" s="238" t="e">
        <f ca="1">ROUND(C21*F27*'数据-取费表'!B21/'数据-取费表'!B20,4)</f>
        <v>#N/A</v>
      </c>
      <c r="D29" s="235"/>
      <c r="E29" s="236"/>
      <c r="F29" s="246"/>
      <c r="G29" s="247"/>
    </row>
    <row r="30" spans="1:7" s="214" customFormat="1" ht="13.5" customHeight="1">
      <c r="A30" s="255" t="s">
        <v>1516</v>
      </c>
      <c r="B30" s="210" t="s">
        <v>1517</v>
      </c>
      <c r="C30" s="235">
        <f>ROUND(F30/(1+'数据-取费表'!C42),4)</f>
        <v>5.33E-2</v>
      </c>
      <c r="D30" s="236" t="s">
        <v>1496</v>
      </c>
      <c r="E30" s="241"/>
      <c r="F30" s="237">
        <f>'数据-取费表'!B41</f>
        <v>5.6000000000000001E-2</v>
      </c>
      <c r="G30" s="234" t="s">
        <v>1518</v>
      </c>
    </row>
    <row r="31" spans="1:7" ht="16.5" customHeight="1">
      <c r="A31" s="209">
        <v>1</v>
      </c>
      <c r="B31" s="210" t="s">
        <v>1519</v>
      </c>
      <c r="C31" s="211" t="e">
        <f ca="1">ROUND((C5+C19+C20+C22+C27)/(1-C21-D22-D27-C30),0)</f>
        <v>#N/A</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t="e">
        <f ca="1">SUM(C34:C38)</f>
        <v>#N/A</v>
      </c>
      <c r="D33" s="232"/>
      <c r="E33" s="212"/>
      <c r="F33" s="241"/>
      <c r="G33" s="234"/>
    </row>
    <row r="34" spans="1:7" s="258" customFormat="1" ht="13.5" customHeight="1">
      <c r="A34" s="779" t="s">
        <v>346</v>
      </c>
      <c r="B34" s="215" t="s">
        <v>1523</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1524</v>
      </c>
    </row>
    <row r="35" spans="1:7" ht="13.5" customHeight="1">
      <c r="A35" s="779" t="s">
        <v>351</v>
      </c>
      <c r="B35" s="215" t="s">
        <v>1525</v>
      </c>
      <c r="C35" s="220" t="e">
        <f ca="1">ROUND(C34*F35,0)</f>
        <v>#N/A</v>
      </c>
      <c r="D35" s="220"/>
      <c r="E35" s="220"/>
      <c r="F35" s="259">
        <f>'数据-取费表'!B33</f>
        <v>0.03</v>
      </c>
      <c r="G35" s="219" t="s">
        <v>1526</v>
      </c>
    </row>
    <row r="36" spans="1:7" ht="24">
      <c r="A36" s="779" t="s">
        <v>352</v>
      </c>
      <c r="B36" s="215" t="s">
        <v>1527</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1528</v>
      </c>
    </row>
    <row r="37" spans="1:7" s="258" customFormat="1" ht="13.5" customHeight="1">
      <c r="A37" s="779" t="s">
        <v>353</v>
      </c>
      <c r="B37" s="215" t="s">
        <v>1529</v>
      </c>
      <c r="C37" s="249" t="e">
        <f ca="1">ROUND(E37*D37*F34/10000,0)</f>
        <v>#N/A</v>
      </c>
      <c r="D37" s="217" t="e">
        <f ca="1">D19</f>
        <v>#N/A</v>
      </c>
      <c r="E37" s="249">
        <f>'数据-取费表'!B35</f>
        <v>200</v>
      </c>
      <c r="F37" s="259"/>
      <c r="G37" s="261" t="s">
        <v>1530</v>
      </c>
    </row>
    <row r="38" spans="1:7" ht="13.5" customHeight="1">
      <c r="A38" s="779" t="s">
        <v>354</v>
      </c>
      <c r="B38" s="215" t="s">
        <v>1531</v>
      </c>
      <c r="C38" s="220" t="e">
        <f ca="1">ROUND(C34*F38,0)</f>
        <v>#N/A</v>
      </c>
      <c r="D38" s="220"/>
      <c r="E38" s="220"/>
      <c r="F38" s="259">
        <f>'数据-取费表'!B36</f>
        <v>0.02</v>
      </c>
      <c r="G38" s="219" t="s">
        <v>1526</v>
      </c>
    </row>
    <row r="39" spans="1:7" s="214" customFormat="1" ht="13.5" customHeight="1">
      <c r="A39" s="255" t="s">
        <v>1489</v>
      </c>
      <c r="B39" s="210" t="s">
        <v>1492</v>
      </c>
      <c r="C39" s="232" t="e">
        <f ca="1">ROUND(C33*F20,0)</f>
        <v>#N/A</v>
      </c>
      <c r="D39" s="232"/>
      <c r="E39" s="232"/>
      <c r="F39" s="233">
        <f>F20</f>
        <v>0.02</v>
      </c>
      <c r="G39" s="234" t="s">
        <v>1534</v>
      </c>
    </row>
    <row r="40" spans="1:7" s="214" customFormat="1" ht="13.5" customHeight="1">
      <c r="A40" s="255" t="s">
        <v>1491</v>
      </c>
      <c r="B40" s="210" t="s">
        <v>1495</v>
      </c>
      <c r="C40" s="1326">
        <f>F21</f>
        <v>0.02</v>
      </c>
      <c r="D40" s="236" t="s">
        <v>1537</v>
      </c>
      <c r="E40" s="232"/>
      <c r="F40" s="233">
        <f>F21</f>
        <v>0.02</v>
      </c>
      <c r="G40" s="234" t="s">
        <v>1538</v>
      </c>
    </row>
    <row r="41" spans="1:7" s="214" customFormat="1" ht="13.5" customHeight="1">
      <c r="A41" s="255" t="s">
        <v>1494</v>
      </c>
      <c r="B41" s="210" t="s">
        <v>1499</v>
      </c>
      <c r="C41" s="232" t="e">
        <f ca="1">ROUND(SUM(C42:C43),0)</f>
        <v>#N/A</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1501</v>
      </c>
      <c r="C42" s="238" t="e">
        <f ca="1">ROUND(IF('数据-取费表'!B22&lt;=1,C33*F22*'数据-取费表'!B21/2,C33*(POWER((1+F22),'数据-取费表'!B21/2)-1)),0)</f>
        <v>#N/A</v>
      </c>
      <c r="D42" s="238"/>
      <c r="E42" s="238"/>
      <c r="F42" s="239"/>
      <c r="G42" s="3678" t="s">
        <v>1542</v>
      </c>
    </row>
    <row r="43" spans="1:7" ht="13.5" customHeight="1">
      <c r="A43" s="779" t="s">
        <v>347</v>
      </c>
      <c r="B43" s="215" t="s">
        <v>1504</v>
      </c>
      <c r="C43" s="238" t="e">
        <f ca="1">ROUND(IF('数据-取费表'!B22&lt;=1,C39*F22*'数据-取费表'!B21/2,C39*(POWER((1+F22),'数据-取费表'!B21/2)-1)),0)</f>
        <v>#N/A</v>
      </c>
      <c r="D43" s="238"/>
      <c r="E43" s="238"/>
      <c r="F43" s="239"/>
      <c r="G43" s="3679"/>
    </row>
    <row r="44" spans="1:7" ht="13.5" customHeight="1">
      <c r="A44" s="779" t="s">
        <v>348</v>
      </c>
      <c r="B44" s="215" t="s">
        <v>1507</v>
      </c>
      <c r="C44" s="238">
        <f ca="1">ROUND(IF('数据-取费表'!B22&lt;=1,C40*F22*'数据-取费表'!B21/2,C40*(POWER((1+F22),'数据-取费表'!B21/2)-1)),4)</f>
        <v>6.9999999999999999E-4</v>
      </c>
      <c r="D44" s="238"/>
      <c r="E44" s="238"/>
      <c r="F44" s="239"/>
      <c r="G44" s="3680"/>
    </row>
    <row r="45" spans="1:7" s="214" customFormat="1" ht="13.5" customHeight="1">
      <c r="A45" s="255" t="s">
        <v>1498</v>
      </c>
      <c r="B45" s="244" t="s">
        <v>1511</v>
      </c>
      <c r="C45" s="245" t="e">
        <f ca="1">C46</f>
        <v>#N/A</v>
      </c>
      <c r="D45" s="235" t="e">
        <f ca="1">C47</f>
        <v>#N/A</v>
      </c>
      <c r="E45" s="236" t="s">
        <v>1537</v>
      </c>
      <c r="F45" s="246" t="e">
        <f ca="1">F27</f>
        <v>#N/A</v>
      </c>
      <c r="G45" s="247" t="s">
        <v>1546</v>
      </c>
    </row>
    <row r="46" spans="1:7" s="214" customFormat="1" ht="13.5" customHeight="1">
      <c r="A46" s="779" t="s">
        <v>346</v>
      </c>
      <c r="B46" s="248" t="s">
        <v>1547</v>
      </c>
      <c r="C46" s="249" t="e">
        <f ca="1">ROUND((C33+C39)*F27,0)</f>
        <v>#N/A</v>
      </c>
      <c r="D46" s="263"/>
      <c r="E46" s="236"/>
      <c r="F46" s="246"/>
      <c r="G46" s="247"/>
    </row>
    <row r="47" spans="1:7" s="214" customFormat="1" ht="13.5" customHeight="1">
      <c r="A47" s="779" t="s">
        <v>347</v>
      </c>
      <c r="B47" s="248" t="s">
        <v>1548</v>
      </c>
      <c r="C47" s="238" t="e">
        <f ca="1">ROUND(C40*F27,4)</f>
        <v>#N/A</v>
      </c>
      <c r="D47" s="263"/>
      <c r="E47" s="236"/>
      <c r="F47" s="246"/>
      <c r="G47" s="247"/>
    </row>
    <row r="48" spans="1:7" s="214" customFormat="1" ht="13.5" customHeight="1">
      <c r="A48" s="255" t="s">
        <v>1510</v>
      </c>
      <c r="B48" s="210" t="s">
        <v>1549</v>
      </c>
      <c r="C48" s="1326">
        <f>ROUND(F30/(1+'数据-取费表'!C42),4)</f>
        <v>5.33E-2</v>
      </c>
      <c r="D48" s="236" t="s">
        <v>1537</v>
      </c>
      <c r="E48" s="232"/>
      <c r="F48" s="237">
        <f>F30</f>
        <v>5.6000000000000001E-2</v>
      </c>
      <c r="G48" s="234" t="s">
        <v>1550</v>
      </c>
    </row>
    <row r="49" spans="1:7" ht="16.5" customHeight="1">
      <c r="A49" s="255" t="s">
        <v>1516</v>
      </c>
      <c r="B49" s="210" t="s">
        <v>1551</v>
      </c>
      <c r="C49" s="232" t="e">
        <f ca="1">ROUND((C33+C39+C41+C45)/(1-C40-D41-D45-C48),0)</f>
        <v>#N/A</v>
      </c>
      <c r="D49" s="232"/>
      <c r="E49" s="232"/>
      <c r="F49" s="264"/>
      <c r="G49" s="234" t="s">
        <v>1552</v>
      </c>
    </row>
    <row r="50" spans="1:7" s="258" customFormat="1" ht="24">
      <c r="A50" s="255" t="s">
        <v>1553</v>
      </c>
      <c r="B50" s="210" t="s">
        <v>1554</v>
      </c>
      <c r="C50" s="232"/>
      <c r="D50" s="232"/>
      <c r="E50" s="232"/>
      <c r="F50" s="264">
        <f>IF('数据-取费表'!B24=0,'数据-取费表'!N16,1)</f>
        <v>0.82</v>
      </c>
      <c r="G50" s="247" t="s">
        <v>1555</v>
      </c>
    </row>
    <row r="51" spans="1:7" ht="16.5" customHeight="1">
      <c r="A51" s="255" t="s">
        <v>1556</v>
      </c>
      <c r="B51" s="210" t="s">
        <v>1557</v>
      </c>
      <c r="C51" s="232" t="e">
        <f ca="1">ROUND(C49*F50,0)</f>
        <v>#N/A</v>
      </c>
      <c r="D51" s="232"/>
      <c r="E51" s="232"/>
      <c r="F51" s="264"/>
      <c r="G51" s="234" t="s">
        <v>1558</v>
      </c>
    </row>
    <row r="52" spans="1:7" s="208" customFormat="1" ht="16.5" thickBot="1">
      <c r="A52" s="265" t="s">
        <v>1559</v>
      </c>
      <c r="B52" s="266"/>
      <c r="C52" s="267" t="e">
        <f ca="1">C31+C51</f>
        <v>#N/A</v>
      </c>
      <c r="D52" s="266"/>
      <c r="E52" s="266"/>
      <c r="F52" s="266"/>
      <c r="G52" s="268"/>
    </row>
    <row r="55" spans="1:7" ht="15">
      <c r="B55" s="270" t="s">
        <v>1560</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D38" sqref="D3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3453</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#N/A</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t="e">
        <f ca="1">C6+C10+C12</f>
        <v>#N/A</v>
      </c>
      <c r="D5" s="1363" t="s">
        <v>693</v>
      </c>
      <c r="E5" s="1070"/>
      <c r="F5" s="1071"/>
      <c r="G5" s="1383"/>
      <c r="H5" s="299">
        <v>1</v>
      </c>
      <c r="I5" s="300" t="s">
        <v>692</v>
      </c>
      <c r="J5" s="1069" t="e">
        <f ca="1">J6+J10+J12</f>
        <v>#N/A</v>
      </c>
      <c r="K5" s="1363" t="s">
        <v>693</v>
      </c>
      <c r="L5" s="1070"/>
      <c r="M5" s="1071"/>
    </row>
    <row r="6" spans="1:37" ht="18" customHeight="1">
      <c r="A6" s="1068" t="s">
        <v>398</v>
      </c>
      <c r="B6" s="3683" t="s">
        <v>694</v>
      </c>
      <c r="C6" s="1073" t="e">
        <f ca="1">ROUND(F6*F8*F7*(1-F9)/10000,0)</f>
        <v>#N/A</v>
      </c>
      <c r="D6" s="155" t="s">
        <v>2106</v>
      </c>
      <c r="E6" s="302" t="s">
        <v>696</v>
      </c>
      <c r="F6" s="303" t="e">
        <f ca="1">INDIRECT("'数据-取费表'!u"&amp;$G$1)</f>
        <v>#N/A</v>
      </c>
      <c r="G6" s="1383"/>
      <c r="H6" s="1068" t="s">
        <v>398</v>
      </c>
      <c r="I6" s="3683" t="s">
        <v>694</v>
      </c>
      <c r="J6" s="301" t="e">
        <f ca="1">ROUND(M6*M8*M7*(1-M9)/10000,0)</f>
        <v>#N/A</v>
      </c>
      <c r="K6" s="155" t="s">
        <v>2105</v>
      </c>
      <c r="L6" s="302" t="s">
        <v>696</v>
      </c>
      <c r="M6" s="303" t="e">
        <f ca="1">INDIRECT("'数据-取费表'!z"&amp;$G$1)</f>
        <v>#N/A</v>
      </c>
    </row>
    <row r="7" spans="1:37" ht="18" customHeight="1">
      <c r="A7" s="1072"/>
      <c r="B7" s="3684"/>
      <c r="C7" s="1074"/>
      <c r="D7" s="307"/>
      <c r="E7" s="3465" t="s">
        <v>697</v>
      </c>
      <c r="F7" s="303" t="e">
        <f ca="1">IF(INDIRECT("'数据-取费表'!ah"&amp;$G$1)="",INDIRECT("'数据-取费表'!k"&amp;$G$1),INDIRECT("'数据-取费表'!ah"&amp;$G$1))</f>
        <v>#N/A</v>
      </c>
      <c r="G7" s="1383"/>
      <c r="H7" s="304"/>
      <c r="I7" s="3684"/>
      <c r="J7" s="306"/>
      <c r="K7" s="307"/>
      <c r="L7" s="302" t="s">
        <v>697</v>
      </c>
      <c r="M7" s="303" t="e">
        <f ca="1">F7</f>
        <v>#N/A</v>
      </c>
    </row>
    <row r="8" spans="1:37" ht="18" customHeight="1">
      <c r="A8" s="304"/>
      <c r="B8" s="3684"/>
      <c r="C8" s="306"/>
      <c r="D8" s="307"/>
      <c r="E8" s="302" t="s">
        <v>698</v>
      </c>
      <c r="F8" s="303" t="e">
        <f ca="1">INDIRECT("'数据-取费表'!ai"&amp;$G$1)</f>
        <v>#N/A</v>
      </c>
      <c r="G8" s="1383"/>
      <c r="H8" s="304"/>
      <c r="I8" s="3684"/>
      <c r="J8" s="306"/>
      <c r="K8" s="307"/>
      <c r="L8" s="302" t="s">
        <v>698</v>
      </c>
      <c r="M8" s="303" t="e">
        <f ca="1">INDIRECT("'数据-取费表'!ai"&amp;$G$1)</f>
        <v>#N/A</v>
      </c>
    </row>
    <row r="9" spans="1:37" ht="18" customHeight="1">
      <c r="A9" s="304"/>
      <c r="B9" s="3685"/>
      <c r="C9" s="306"/>
      <c r="D9" s="307"/>
      <c r="E9" s="302" t="s">
        <v>699</v>
      </c>
      <c r="F9" s="312" t="e">
        <f ca="1">INDIRECT("'数据-取费表'!w"&amp;$G$1)</f>
        <v>#N/A</v>
      </c>
      <c r="G9" s="1383"/>
      <c r="H9" s="304"/>
      <c r="I9" s="3685"/>
      <c r="J9" s="306"/>
      <c r="K9" s="307"/>
      <c r="L9" s="313" t="s">
        <v>699</v>
      </c>
      <c r="M9" s="314" t="e">
        <f ca="1">INDIRECT("'数据-取费表'!ab"&amp;$G$1)</f>
        <v>#N/A</v>
      </c>
    </row>
    <row r="10" spans="1:37" ht="18" customHeight="1">
      <c r="A10" s="1068" t="s">
        <v>402</v>
      </c>
      <c r="B10" s="1364" t="s">
        <v>700</v>
      </c>
      <c r="C10" s="316" t="e">
        <f ca="1">ROUND(IF(F10="押一",C6/12*F11,IF(F10="押二",C6/12*2*F11,IF(F10="押三",C6/12*3*F11,C11*F11))),0)</f>
        <v>#N/A</v>
      </c>
      <c r="D10" s="1365" t="s">
        <v>2113</v>
      </c>
      <c r="E10" s="313" t="s">
        <v>701</v>
      </c>
      <c r="F10" s="1115" t="s">
        <v>3431</v>
      </c>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#N/A</v>
      </c>
      <c r="D13" s="3459" t="s">
        <v>705</v>
      </c>
      <c r="E13" s="3459"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2" t="s">
        <v>707</v>
      </c>
      <c r="C14" s="318" t="e">
        <f ca="1">INDIRECT("'数据-取费表'!m"&amp;$G$1)+INDIRECT("'数据-取费表'!t"&amp;$G$1)</f>
        <v>#N/A</v>
      </c>
      <c r="D14" s="3476" t="s">
        <v>708</v>
      </c>
      <c r="E14" s="3475"/>
      <c r="F14" s="319"/>
      <c r="G14" s="1383"/>
      <c r="H14" s="981" t="s">
        <v>398</v>
      </c>
      <c r="I14" s="302" t="s">
        <v>709</v>
      </c>
      <c r="J14" s="21" t="e">
        <f ca="1">C29</f>
        <v>#N/A</v>
      </c>
      <c r="K14" s="3463"/>
      <c r="L14" s="806"/>
      <c r="M14" s="807"/>
    </row>
    <row r="15" spans="1:37" s="1396" customFormat="1" ht="18" customHeight="1" thickBot="1">
      <c r="A15" s="981" t="s">
        <v>399</v>
      </c>
      <c r="B15" s="302" t="s">
        <v>710</v>
      </c>
      <c r="C15" s="21" t="e">
        <f ca="1">ROUND(C14*F15,0)</f>
        <v>#N/A</v>
      </c>
      <c r="D15" s="3460" t="s">
        <v>711</v>
      </c>
      <c r="E15" s="3460" t="s">
        <v>712</v>
      </c>
      <c r="F15" s="321">
        <f>'数据-取费表'!B33</f>
        <v>0.03</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3"/>
      <c r="H16" s="1078" t="s">
        <v>393</v>
      </c>
      <c r="I16" s="1079" t="s">
        <v>714</v>
      </c>
      <c r="J16" s="310" t="e">
        <f ca="1">ROUND(J17+J22+J23+J24,0)</f>
        <v>#N/A</v>
      </c>
      <c r="K16" s="1086" t="s">
        <v>715</v>
      </c>
      <c r="L16" s="3480"/>
      <c r="M16" s="1071"/>
    </row>
    <row r="17" spans="1:37" s="1396" customFormat="1" ht="18" customHeight="1">
      <c r="A17" s="981" t="s">
        <v>681</v>
      </c>
      <c r="B17" s="302" t="s">
        <v>716</v>
      </c>
      <c r="C17" s="21" t="e">
        <f ca="1">ROUND(F17*(F43+INDIRECT("'数据-取费表'!S"&amp;$G$1))/10000,0)</f>
        <v>#N/A</v>
      </c>
      <c r="D17" s="302" t="s">
        <v>717</v>
      </c>
      <c r="E17" s="302" t="s">
        <v>718</v>
      </c>
      <c r="F17" s="23">
        <f>'数据-取费表'!B35</f>
        <v>200</v>
      </c>
      <c r="G17" s="1395"/>
      <c r="H17" s="981" t="s">
        <v>398</v>
      </c>
      <c r="I17" s="302" t="s">
        <v>719</v>
      </c>
      <c r="J17" s="2315" t="e">
        <f ca="1">ROUND(IF(AND(项目基本情况!B11="自然人",项目基本情况!B10="北京市"),J6*M17/(1+'数据-取费表'!C42),J18+J19+J20),2)</f>
        <v>#N/A</v>
      </c>
      <c r="K17" s="3476" t="s">
        <v>720</v>
      </c>
      <c r="L17" s="3479"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t="e">
        <f ca="1">ROUND(C14*F18,0)</f>
        <v>#N/A</v>
      </c>
      <c r="D18" s="302" t="s">
        <v>711</v>
      </c>
      <c r="E18" s="302" t="s">
        <v>712</v>
      </c>
      <c r="F18" s="322">
        <f>'数据-取费表'!B36</f>
        <v>0.02</v>
      </c>
      <c r="G18" s="1395"/>
      <c r="H18" s="981" t="s">
        <v>397</v>
      </c>
      <c r="I18" s="302" t="s">
        <v>723</v>
      </c>
      <c r="J18" s="21" t="e">
        <f ca="1">ROUND(J6*M18/(1+'数据-取费表'!C42),2)</f>
        <v>#N/A</v>
      </c>
      <c r="K18" s="3479"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t="e">
        <f ca="1">SUM(C14:C18)</f>
        <v>#N/A</v>
      </c>
      <c r="D19" s="131" t="s">
        <v>726</v>
      </c>
      <c r="E19" s="3490"/>
      <c r="F19" s="23"/>
      <c r="G19" s="1383"/>
      <c r="H19" s="981" t="s">
        <v>399</v>
      </c>
      <c r="I19" s="302" t="s">
        <v>727</v>
      </c>
      <c r="J19" s="21" t="e">
        <f ca="1">IF(K19="按租金收入计税",ROUND(J6*M19/(1+'数据-取费表'!C42),2),ROUND(C29*M19*0.7,2))</f>
        <v>#N/A</v>
      </c>
      <c r="K19" s="1369" t="s">
        <v>3335</v>
      </c>
      <c r="L19" s="302" t="s">
        <v>712</v>
      </c>
      <c r="M19" s="322">
        <f>IF(K19="按租金收入计税",'数据-取费表'!B51,'数据-取费表'!B50)</f>
        <v>0.12</v>
      </c>
    </row>
    <row r="20" spans="1:37" s="1396" customFormat="1" ht="18" customHeight="1">
      <c r="A20" s="981" t="s">
        <v>402</v>
      </c>
      <c r="B20" s="302" t="s">
        <v>728</v>
      </c>
      <c r="C20" s="21" t="e">
        <f ca="1">ROUND(C19*F20,0)</f>
        <v>#N/A</v>
      </c>
      <c r="D20" s="2427" t="s">
        <v>729</v>
      </c>
      <c r="E20" s="302" t="s">
        <v>712</v>
      </c>
      <c r="F20" s="322">
        <f>'数据-取费表'!B37</f>
        <v>0.02</v>
      </c>
      <c r="G20" s="1395"/>
      <c r="H20" s="981" t="s">
        <v>680</v>
      </c>
      <c r="I20" s="155" t="s">
        <v>730</v>
      </c>
      <c r="J20" s="22" t="e">
        <f ca="1">ROUND(M20*M21/10000,2)</f>
        <v>#N/A</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2427" t="s">
        <v>734</v>
      </c>
      <c r="E21" s="302" t="s">
        <v>735</v>
      </c>
      <c r="F21" s="322">
        <f>'数据-取费表'!B38</f>
        <v>0.02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90"/>
      <c r="F22" s="23"/>
      <c r="G22" s="1383"/>
      <c r="H22" s="981" t="s">
        <v>402</v>
      </c>
      <c r="I22" s="302" t="s">
        <v>738</v>
      </c>
      <c r="J22" s="21" t="e">
        <f ca="1">ROUND(J14*M22,2)</f>
        <v>#N/A</v>
      </c>
      <c r="K22" s="3479" t="s">
        <v>739</v>
      </c>
      <c r="L22" s="302" t="s">
        <v>712</v>
      </c>
      <c r="M22" s="328" t="e">
        <f ca="1">INDIRECT("'数据-取费表'!Ak"&amp;$G$1)</f>
        <v>#N/A</v>
      </c>
    </row>
    <row r="23" spans="1:37" s="1396"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t="e">
        <f ca="1">ROUND(J13*M23,2)</f>
        <v>#N/A</v>
      </c>
      <c r="K23" s="3479"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t="e">
        <f ca="1">ROUND(J5*M24,2)</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3490"/>
      <c r="F25" s="23"/>
      <c r="G25" s="1383"/>
      <c r="H25" s="1078" t="s">
        <v>394</v>
      </c>
      <c r="I25" s="1093" t="s">
        <v>752</v>
      </c>
      <c r="J25" s="310" t="e">
        <f ca="1">J5-J16</f>
        <v>#N/A</v>
      </c>
      <c r="K25" s="1094" t="s">
        <v>753</v>
      </c>
      <c r="L25" s="1095"/>
      <c r="M25" s="1096"/>
    </row>
    <row r="26" spans="1:37">
      <c r="A26" s="981" t="s">
        <v>397</v>
      </c>
      <c r="B26" s="302" t="s">
        <v>754</v>
      </c>
      <c r="C26" s="21" t="e">
        <f ca="1">ROUND((C19+C20)*F26,0)</f>
        <v>#N/A</v>
      </c>
      <c r="D26" s="2427"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2427" t="s">
        <v>761</v>
      </c>
      <c r="E27" s="3460"/>
      <c r="F27" s="321"/>
      <c r="G27" s="1383"/>
      <c r="H27" s="304"/>
      <c r="I27" s="305"/>
      <c r="J27" s="306"/>
      <c r="K27" s="332" t="s">
        <v>762</v>
      </c>
      <c r="L27" s="302" t="s">
        <v>763</v>
      </c>
      <c r="M27" s="333" t="e">
        <f ca="1">INDIRECT("'数据-取费表'!ag"&amp;$G$1)</f>
        <v>#N/A</v>
      </c>
    </row>
    <row r="28" spans="1:37" s="1396" customFormat="1" ht="18" customHeight="1">
      <c r="A28" s="981" t="s">
        <v>400</v>
      </c>
      <c r="B28" s="302" t="s">
        <v>764</v>
      </c>
      <c r="C28" s="21">
        <f>ROUND(F28/(1+'数据-取费表'!C42),4)</f>
        <v>5.33E-2</v>
      </c>
      <c r="D28" s="2427" t="s">
        <v>765</v>
      </c>
      <c r="E28" s="302" t="s">
        <v>712</v>
      </c>
      <c r="F28" s="322">
        <f>'数据-取费表'!B41</f>
        <v>5.6000000000000001E-2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#N/A</v>
      </c>
      <c r="D30" s="1086" t="s">
        <v>715</v>
      </c>
      <c r="E30" s="3480"/>
      <c r="F30" s="1071"/>
      <c r="G30" s="1383"/>
      <c r="H30" s="2696"/>
      <c r="I30" s="1397"/>
      <c r="J30" s="1398"/>
      <c r="K30" s="2474"/>
      <c r="L30" s="2697"/>
      <c r="M30" s="2698"/>
    </row>
    <row r="31" spans="1:37" ht="18" customHeight="1">
      <c r="A31" s="981" t="s">
        <v>398</v>
      </c>
      <c r="B31" s="302" t="s">
        <v>719</v>
      </c>
      <c r="C31" s="2315" t="e">
        <f ca="1">ROUND(IF(AND(项目基本情况!B11="自然人",项目基本情况!B10="北京市"),C6*F31/(1+'数据-取费表'!C42),C32+C33+C34),2)</f>
        <v>#N/A</v>
      </c>
      <c r="D31" s="3476" t="s">
        <v>720</v>
      </c>
      <c r="E31" s="3479"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t="e">
        <f ca="1">IF(项目基本情况!B11="自然人","——",ROUND(C6*F32/(1+'数据-取费表'!C42),2))</f>
        <v>#N/A</v>
      </c>
      <c r="D32" s="3479"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e">
        <f ca="1">IF(项目基本情况!B11="自然人","——",IF(D33="按租金收入计税",ROUND(C6*F33/(1+'数据-取费表'!C42),2),IF(D33="按房产原值计税",ROUND(C29*F33*0.7,2),INDIRECT("'数据-取费表'!Aj"&amp;$G$1))))</f>
        <v>#N/A</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e">
        <f ca="1">IF(项目基本情况!B11="自然人","——",ROUND(F34*F35/10000,2))</f>
        <v>#N/A</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t="e">
        <f ca="1">INDIRECT("'数据-取费表'!r"&amp;$G$1)</f>
        <v>#N/A</v>
      </c>
      <c r="G35" s="1383"/>
      <c r="H35" s="2696"/>
      <c r="I35" s="1397"/>
      <c r="J35" s="1398"/>
      <c r="K35" s="2700"/>
      <c r="L35" s="2699"/>
      <c r="M35" s="2699"/>
    </row>
    <row r="36" spans="1:18" ht="18" customHeight="1">
      <c r="A36" s="1101" t="s">
        <v>402</v>
      </c>
      <c r="B36" s="302" t="s">
        <v>738</v>
      </c>
      <c r="C36" s="21" t="e">
        <f ca="1">ROUND(C29*F36,2)</f>
        <v>#N/A</v>
      </c>
      <c r="D36" s="3479" t="s">
        <v>771</v>
      </c>
      <c r="E36" s="302" t="s">
        <v>712</v>
      </c>
      <c r="F36" s="328" t="e">
        <f ca="1">INDIRECT("'数据-取费表'!Ak"&amp;$G$1)</f>
        <v>#N/A</v>
      </c>
      <c r="G36" s="1383"/>
      <c r="H36" s="2699"/>
      <c r="I36" s="1397"/>
      <c r="J36" s="1398"/>
      <c r="K36" s="2543"/>
      <c r="L36" s="2699"/>
      <c r="M36" s="2699"/>
    </row>
    <row r="37" spans="1:18" ht="18" customHeight="1">
      <c r="A37" s="981" t="s">
        <v>437</v>
      </c>
      <c r="B37" s="302" t="s">
        <v>742</v>
      </c>
      <c r="C37" s="21" t="e">
        <f ca="1">ROUND(C13*F37,2)</f>
        <v>#N/A</v>
      </c>
      <c r="D37" s="3479" t="s">
        <v>743</v>
      </c>
      <c r="E37" s="302" t="s">
        <v>744</v>
      </c>
      <c r="F37" s="330" t="e">
        <f ca="1">INDIRECT("'数据-取费表'!Al"&amp;$G$1)</f>
        <v>#N/A</v>
      </c>
      <c r="G37" s="1383"/>
      <c r="H37" s="2699"/>
      <c r="I37" s="1397"/>
      <c r="J37" s="1398"/>
      <c r="K37" s="2543"/>
      <c r="L37" s="2699"/>
      <c r="M37" s="2699"/>
    </row>
    <row r="38" spans="1:18" ht="18" customHeight="1" thickBot="1">
      <c r="A38" s="1088" t="s">
        <v>684</v>
      </c>
      <c r="B38" s="1089" t="s">
        <v>728</v>
      </c>
      <c r="C38" s="1090" t="e">
        <f ca="1">ROUND(C5*F38,2)</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10" t="e">
        <f ca="1">C5-C30</f>
        <v>#N/A</v>
      </c>
      <c r="D39" s="1094" t="s">
        <v>753</v>
      </c>
      <c r="E39" s="1095"/>
      <c r="F39" s="1096"/>
      <c r="G39" s="1383"/>
      <c r="H39" s="2699"/>
      <c r="I39" s="1397"/>
      <c r="J39" s="1398"/>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3"/>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3"/>
      <c r="L41" s="1190"/>
      <c r="M41" s="1190"/>
    </row>
    <row r="42" spans="1:18" ht="18" customHeight="1">
      <c r="A42" s="308"/>
      <c r="B42" s="309"/>
      <c r="C42" s="310"/>
      <c r="D42" s="327"/>
      <c r="E42" s="302" t="s">
        <v>766</v>
      </c>
      <c r="F42" s="312" t="e">
        <f ca="1">INDIRECT("'数据-取费表'!v"&amp;$G$1)</f>
        <v>#N/A</v>
      </c>
      <c r="G42" s="1383"/>
      <c r="H42" s="1190"/>
      <c r="I42" s="1397"/>
      <c r="J42" s="1398"/>
      <c r="K42" s="2543"/>
      <c r="L42" s="1190"/>
      <c r="M42" s="1190"/>
    </row>
    <row r="43" spans="1:18" ht="18" customHeight="1" thickBot="1">
      <c r="A43" s="334" t="s">
        <v>396</v>
      </c>
      <c r="B43" s="335" t="s">
        <v>776</v>
      </c>
      <c r="C43" s="336" t="e">
        <f ca="1">ROUND(C40*10000/F43,0)</f>
        <v>#N/A</v>
      </c>
      <c r="D43" s="337" t="s">
        <v>777</v>
      </c>
      <c r="E43" s="338" t="s">
        <v>778</v>
      </c>
      <c r="F43" s="339"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3407</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3489" t="e">
        <f ca="1">C49+C53+C55</f>
        <v>#N/A</v>
      </c>
      <c r="D48" s="1111"/>
      <c r="E48" s="1112"/>
      <c r="F48" s="961"/>
      <c r="G48" s="721"/>
      <c r="H48" s="722"/>
      <c r="I48" s="1420" t="s">
        <v>819</v>
      </c>
      <c r="J48" s="1421" t="s">
        <v>3432</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ROUND(F49*F51*F50*(1-F52)/10000,0)</f>
        <v>#N/A</v>
      </c>
      <c r="D49" s="1054" t="s">
        <v>2105</v>
      </c>
      <c r="E49" s="1371" t="s">
        <v>780</v>
      </c>
      <c r="F49" s="1059"/>
      <c r="G49" s="1424"/>
      <c r="H49" s="722"/>
      <c r="I49" s="1420" t="s">
        <v>823</v>
      </c>
      <c r="J49" s="1425">
        <f>'数据-取费表'!N17</f>
        <v>2013</v>
      </c>
      <c r="K49" s="1422" t="s">
        <v>824</v>
      </c>
      <c r="L49" s="1426"/>
      <c r="O49" s="1427" t="s">
        <v>405</v>
      </c>
      <c r="P49" s="1418" t="s">
        <v>825</v>
      </c>
      <c r="Q49" s="1419" t="e">
        <f ca="1">C29</f>
        <v>#N/A</v>
      </c>
      <c r="R49" s="1419" t="s">
        <v>818</v>
      </c>
    </row>
    <row r="50" spans="1:18" s="1383" customFormat="1" ht="13.5" thickBot="1">
      <c r="A50" s="975"/>
      <c r="B50" s="978"/>
      <c r="C50" s="1117"/>
      <c r="D50" s="952"/>
      <c r="E50" s="1055" t="s">
        <v>697</v>
      </c>
      <c r="F50" s="1056" t="e">
        <f ca="1">F7</f>
        <v>#N/A</v>
      </c>
      <c r="H50" s="722"/>
      <c r="I50" s="1420" t="s">
        <v>826</v>
      </c>
      <c r="J50" s="1428">
        <f>SUMPRODUCT((I63:I65=J47)*(J62:L62=J48)*(J63:L65))</f>
        <v>60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3" t="e">
        <f ca="1">F8</f>
        <v>#N/A</v>
      </c>
      <c r="I51" s="1431" t="s">
        <v>829</v>
      </c>
      <c r="J51" s="1432">
        <f>IF(J49="",J50,J49+J50-YEAR('数据-取费表'!B2))</f>
        <v>49</v>
      </c>
      <c r="K51" s="1433" t="s">
        <v>830</v>
      </c>
      <c r="L51" s="1434" t="e">
        <f ca="1">ROUND(-PV(INDIRECT("'数据-取费表'!h"&amp;$G$1),J51,(C39-C13*C76),0),0)</f>
        <v>#N/A</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t="e">
        <f ca="1">J53</f>
        <v>#N/A</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7" t="e">
        <f ca="1">IF(M47="住宅",IF(D1="——",MAX(J51,L48),MAX(J51,L48-'数据-取费表'!B24)),IF(D1="——",MIN(J51,L48),MIN(J51,L48-'数据-取费表'!B24)))</f>
        <v>#N/A</v>
      </c>
      <c r="K53" s="3681" t="s">
        <v>837</v>
      </c>
      <c r="L53" s="3682"/>
      <c r="O53" s="1417" t="s">
        <v>409</v>
      </c>
      <c r="P53" s="1418" t="s">
        <v>838</v>
      </c>
      <c r="Q53" s="1419" t="e">
        <f ca="1">Q47+Q48</f>
        <v>#N/A</v>
      </c>
      <c r="R53" s="1419" t="s">
        <v>410</v>
      </c>
    </row>
    <row r="54" spans="1:18" s="1383" customFormat="1" ht="13.5" thickBot="1">
      <c r="A54" s="1152"/>
      <c r="B54" s="1366" t="s">
        <v>679</v>
      </c>
      <c r="C54" s="958"/>
      <c r="D54" s="1365"/>
      <c r="E54" s="3467"/>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3467"/>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6">
        <v>2</v>
      </c>
      <c r="B56" s="957" t="s">
        <v>704</v>
      </c>
      <c r="C56" s="232" t="e">
        <f ca="1">C13</f>
        <v>#N/A</v>
      </c>
      <c r="D56" s="1446"/>
      <c r="E56" s="1447"/>
      <c r="F56" s="1439"/>
      <c r="I56" s="1448" t="s">
        <v>842</v>
      </c>
      <c r="J56" s="1449" t="s">
        <v>3382</v>
      </c>
      <c r="K56" s="1420" t="s">
        <v>843</v>
      </c>
      <c r="L56" s="1423" t="e">
        <f ca="1">IF(L48&lt;J51,"——",L48-J53)</f>
        <v>#N/A</v>
      </c>
      <c r="O56" s="1417" t="s">
        <v>403</v>
      </c>
      <c r="P56" s="1418" t="s">
        <v>817</v>
      </c>
      <c r="Q56" s="1419" t="e">
        <f ca="1">C40+J29</f>
        <v>#N/A</v>
      </c>
      <c r="R56" s="1419" t="s">
        <v>818</v>
      </c>
    </row>
    <row r="57" spans="1:18" s="1383" customFormat="1" ht="24.75" thickBot="1">
      <c r="A57" s="1450"/>
      <c r="B57" s="949" t="s">
        <v>767</v>
      </c>
      <c r="C57" s="238"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5" t="s">
        <v>393</v>
      </c>
      <c r="B58" s="957" t="s">
        <v>714</v>
      </c>
      <c r="C58" s="316" t="e">
        <f ca="1">ROUND(C59+C64+C65+C66,0)</f>
        <v>#N/A</v>
      </c>
      <c r="D58" s="959" t="s">
        <v>715</v>
      </c>
      <c r="E58" s="960"/>
      <c r="F58" s="961"/>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e">
        <f ca="1">IF(项目基本情况!B11="自然人","——",ROUND(C48*F60/(1+'数据-取费表'!C42),2))</f>
        <v>#N/A</v>
      </c>
      <c r="D60" s="963" t="s">
        <v>724</v>
      </c>
      <c r="E60" s="949" t="s">
        <v>712</v>
      </c>
      <c r="F60" s="331">
        <f t="shared" ref="F60:F66" si="0">F32</f>
        <v>5.6000000000000001E-2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727</v>
      </c>
      <c r="C61" s="21" t="e">
        <f ca="1">IF(项目基本情况!B11="自然人","——",IF(D61="按租金收入计税",ROUND(C49*F61/(1+'数据-取费表'!C42),2),IF(D61="按房产原值计税",ROUND(C57*F61*0.7,2),INDIRECT("'数据-取费表'!Aj"&amp;$G$1))))</f>
        <v>#N/A</v>
      </c>
      <c r="D61" s="1369" t="s">
        <v>3335</v>
      </c>
      <c r="E61" s="949" t="s">
        <v>744</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730</v>
      </c>
      <c r="C62" s="22" t="e">
        <f ca="1">IF(项目基本情况!B11="自然人","——",ROUND(F62*F63/10000,2))</f>
        <v>#N/A</v>
      </c>
      <c r="D62" s="964" t="s">
        <v>731</v>
      </c>
      <c r="E62" s="949" t="s">
        <v>732</v>
      </c>
      <c r="F62" s="325">
        <f t="shared" si="0"/>
        <v>0</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738</v>
      </c>
      <c r="C64" s="21" t="e">
        <f ca="1">ROUND(C57*F64,2)</f>
        <v>#N/A</v>
      </c>
      <c r="D64" s="963" t="s">
        <v>791</v>
      </c>
      <c r="E64" s="949" t="s">
        <v>744</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#N/A</v>
      </c>
      <c r="D65" s="963" t="s">
        <v>743</v>
      </c>
      <c r="E65" s="949"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ROUND(C48*F66,2)</f>
        <v>#N/A</v>
      </c>
      <c r="D66" s="963" t="s">
        <v>794</v>
      </c>
      <c r="E66" s="949" t="s">
        <v>712</v>
      </c>
      <c r="F66" s="312" t="e">
        <f t="shared" ca="1" si="0"/>
        <v>#N/A</v>
      </c>
      <c r="O66" s="1417" t="s">
        <v>404</v>
      </c>
      <c r="P66" s="1418" t="s">
        <v>846</v>
      </c>
      <c r="Q66" s="1419" t="e">
        <f ca="1">L60</f>
        <v>#N/A</v>
      </c>
      <c r="R66" s="1419" t="s">
        <v>869</v>
      </c>
    </row>
    <row r="67" spans="1:18" s="1383" customFormat="1" ht="16.5" thickBot="1">
      <c r="A67" s="956" t="s">
        <v>394</v>
      </c>
      <c r="B67" s="966" t="s">
        <v>752</v>
      </c>
      <c r="C67" s="316"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1" t="e">
        <f ca="1">ROUND(C67*(1-((1+F70)/(1+F68))^F69)/(F68-F70),0)</f>
        <v>#N/A</v>
      </c>
      <c r="D68" s="964" t="s">
        <v>758</v>
      </c>
      <c r="E68" s="949" t="s">
        <v>759</v>
      </c>
      <c r="F68" s="312" t="e">
        <f ca="1">F40</f>
        <v>#N/A</v>
      </c>
      <c r="O68" s="1427" t="s">
        <v>406</v>
      </c>
      <c r="P68" s="1466" t="s">
        <v>871</v>
      </c>
      <c r="Q68" s="1419" t="e">
        <f ca="1">ROUND(Q69-Q70*Q71,0)</f>
        <v>#N/A</v>
      </c>
      <c r="R68" s="1419" t="s">
        <v>414</v>
      </c>
    </row>
    <row r="69" spans="1:18" s="1383" customFormat="1" ht="13.5" thickBot="1">
      <c r="A69" s="950"/>
      <c r="B69" s="951"/>
      <c r="C69" s="306"/>
      <c r="D69" s="969" t="s">
        <v>762</v>
      </c>
      <c r="E69" s="949" t="s">
        <v>763</v>
      </c>
      <c r="F69" s="333" t="e">
        <f ca="1">F41</f>
        <v>#N/A</v>
      </c>
      <c r="O69" s="1427" t="s">
        <v>411</v>
      </c>
      <c r="P69" s="1466" t="s">
        <v>872</v>
      </c>
      <c r="Q69" s="1419" t="e">
        <f ca="1">C39</f>
        <v>#N/A</v>
      </c>
      <c r="R69" s="1419" t="s">
        <v>818</v>
      </c>
    </row>
    <row r="70" spans="1:18" s="1383" customFormat="1" ht="13.5" thickBot="1">
      <c r="A70" s="953"/>
      <c r="B70" s="954"/>
      <c r="C70" s="310"/>
      <c r="D70" s="965"/>
      <c r="E70" s="949" t="s">
        <v>766</v>
      </c>
      <c r="F70" s="1053"/>
      <c r="O70" s="1427" t="s">
        <v>412</v>
      </c>
      <c r="P70" s="1466" t="s">
        <v>873</v>
      </c>
      <c r="Q70" s="1419" t="e">
        <f ca="1">C13</f>
        <v>#N/A</v>
      </c>
      <c r="R70" s="1419" t="s">
        <v>818</v>
      </c>
    </row>
    <row r="71" spans="1:18" s="1383" customFormat="1" ht="13.5" thickBot="1">
      <c r="A71" s="970" t="s">
        <v>396</v>
      </c>
      <c r="B71" s="971" t="s">
        <v>776</v>
      </c>
      <c r="C71" s="336" t="e">
        <f ca="1">ROUND(C68*10000/F71,0)</f>
        <v>#N/A</v>
      </c>
      <c r="D71" s="972" t="s">
        <v>777</v>
      </c>
      <c r="E71" s="973" t="s">
        <v>778</v>
      </c>
      <c r="F71" s="339"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zoomScaleSheetLayoutView="100" workbookViewId="0">
      <selection activeCell="D38" sqref="D3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1923</v>
      </c>
      <c r="B1" s="197"/>
      <c r="C1" s="201" t="s">
        <v>1924</v>
      </c>
      <c r="D1" s="342">
        <f>SUM(D33:D34,D37:D42)</f>
        <v>0</v>
      </c>
      <c r="E1" s="1994"/>
      <c r="F1" s="1994"/>
      <c r="G1" s="1994"/>
      <c r="H1" s="1994"/>
      <c r="I1" s="1994"/>
      <c r="J1" s="1994"/>
      <c r="K1" s="1118"/>
      <c r="L1" s="1995" t="s">
        <v>1925</v>
      </c>
      <c r="M1" s="862">
        <f>SUMPRODUCT((区片价!B5:B9=I2)*(区片价!C3:G3=E2)*(区片价!C5:G9))</f>
        <v>0</v>
      </c>
      <c r="N1" s="865">
        <f>SUMPRODUCT((因素修正幅度!B5:B9=I2)*(因素修正幅度!C3:G3=E2)*(因素修正幅度!C5:G9))</f>
        <v>0</v>
      </c>
      <c r="O1" s="1996"/>
      <c r="P1" s="1996"/>
      <c r="Q1" s="1118"/>
      <c r="R1" s="1211" t="s">
        <v>1926</v>
      </c>
      <c r="S1" s="1211" t="s">
        <v>1927</v>
      </c>
      <c r="T1" s="1211" t="s">
        <v>1928</v>
      </c>
      <c r="U1" s="1211" t="s">
        <v>1929</v>
      </c>
      <c r="V1" s="1211" t="s">
        <v>1930</v>
      </c>
      <c r="W1" s="1215"/>
      <c r="X1" s="1215"/>
      <c r="Y1" s="1215"/>
      <c r="Z1" s="1215"/>
      <c r="AA1" s="1215"/>
      <c r="AB1" s="1215"/>
      <c r="AC1" s="1216"/>
      <c r="AD1" s="1217"/>
      <c r="AE1" s="1217"/>
      <c r="AF1" s="1217"/>
      <c r="AG1" s="1217"/>
      <c r="AH1" s="1217"/>
      <c r="AI1" s="1217"/>
      <c r="AJ1" s="1218"/>
    </row>
    <row r="2" spans="1:36" ht="15.75">
      <c r="A2" s="201" t="s">
        <v>1931</v>
      </c>
      <c r="B2" s="204" t="e">
        <f>C30</f>
        <v>#DIV/0!</v>
      </c>
      <c r="C2" s="1998" t="s">
        <v>1932</v>
      </c>
      <c r="D2" s="1999" t="s">
        <v>1933</v>
      </c>
      <c r="E2" s="3421" t="s">
        <v>673</v>
      </c>
      <c r="F2" s="1999" t="s">
        <v>1934</v>
      </c>
      <c r="G2" s="2000" t="str">
        <f>IF(E2="商业",项目基本情况!B37,IF(E2="办公",项目基本情况!C37,IF(E2="住宅",项目基本情况!D37,IF(E2="工业",项目基本情况!E37,项目基本情况!F37))))</f>
        <v>四级</v>
      </c>
      <c r="H2" s="1999" t="s">
        <v>1935</v>
      </c>
      <c r="I2" s="2000" t="str">
        <f>IF(E2="商业",项目基本情况!B38,IF(E2="办公",项目基本情况!C38,IF(E2="住宅",项目基本情况!D38,IF(E2="工业",项目基本情况!E38,项目基本情况!F38))))</f>
        <v>Ⅳ-20</v>
      </c>
      <c r="J2" s="2001"/>
      <c r="K2" s="1118"/>
      <c r="L2" s="2002" t="s">
        <v>1936</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1937</v>
      </c>
      <c r="B3" s="204" t="e">
        <f>ROUND(B2*10000/D1,0)</f>
        <v>#DIV/0!</v>
      </c>
      <c r="C3" s="1998" t="s">
        <v>1938</v>
      </c>
      <c r="D3" s="1999" t="s">
        <v>1939</v>
      </c>
      <c r="E3" s="3419" t="s">
        <v>2440</v>
      </c>
      <c r="F3" s="2003" t="s">
        <v>3457</v>
      </c>
      <c r="G3" s="751">
        <f>IF(F3="宗地容积率",'数据-汇总表'!I4,IF(F3="估价对象容积率",'数据-汇总表'!I6,'数据-汇总表'!I7))</f>
        <v>1.5</v>
      </c>
      <c r="H3" s="170" t="s">
        <v>1940</v>
      </c>
      <c r="I3" s="774">
        <v>1</v>
      </c>
      <c r="J3" s="2001" t="s">
        <v>1941</v>
      </c>
      <c r="K3" s="1118"/>
      <c r="L3" s="2002" t="s">
        <v>1942</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80"/>
      <c r="B4" s="3781"/>
      <c r="C4" s="3781"/>
      <c r="D4" s="3782"/>
      <c r="E4" s="3782"/>
      <c r="F4" s="3782"/>
      <c r="G4" s="3782"/>
      <c r="H4" s="3782"/>
      <c r="I4" s="3782"/>
      <c r="J4" s="3783"/>
      <c r="K4" s="1118"/>
      <c r="L4" s="2002" t="s">
        <v>1943</v>
      </c>
      <c r="M4" s="863">
        <f>SUMPRODUCT((区片价!B55:B86=I2)*(区片价!C3:G3=E2)*(区片价!C55:G86))</f>
        <v>18600</v>
      </c>
      <c r="N4" s="865">
        <f>SUMPRODUCT((因素修正幅度!B55:B86=I2)*(因素修正幅度!C3:G3=E2)*(因素修正幅度!C55:G86))</f>
        <v>0.1</v>
      </c>
      <c r="O4" s="1118"/>
      <c r="P4" s="1118"/>
      <c r="Q4" s="1118"/>
      <c r="R4" s="1211">
        <v>3</v>
      </c>
      <c r="S4" s="3360">
        <f>ROUND(SUMPRODUCT((B106:B110=R4)*(C105:N105=G2)*(C106:N110)),4)</f>
        <v>1.0004999999999999</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1944</v>
      </c>
      <c r="C5" s="752">
        <f>ROUND(IF(E2="商业",C6*C7*C17+C20,(IF(E2="住宅",C6*C13*C17+C20,IF(E2="办公",C6*C12*C17+C20,C6+C20)))),0)</f>
        <v>18600</v>
      </c>
      <c r="D5" s="1338">
        <f>ROUND(C6*C17+C20,0)</f>
        <v>18600</v>
      </c>
      <c r="E5" s="1338"/>
      <c r="F5" s="2006"/>
      <c r="G5" s="2007"/>
      <c r="H5" s="2007"/>
      <c r="I5" s="2007"/>
      <c r="J5" s="2008"/>
      <c r="K5" s="2009"/>
      <c r="L5" s="2002" t="s">
        <v>1945</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1946</v>
      </c>
      <c r="B6" s="2015" t="s">
        <v>1947</v>
      </c>
      <c r="C6" s="753">
        <f>SUMIF(L1:L12,G2,M1:M12)</f>
        <v>18600</v>
      </c>
      <c r="D6" s="2016"/>
      <c r="E6" s="2017"/>
      <c r="F6" s="2017"/>
      <c r="G6" s="2018"/>
      <c r="H6" s="2018"/>
      <c r="I6" s="2018"/>
      <c r="J6" s="2019"/>
      <c r="K6" s="1383"/>
      <c r="L6" s="2002" t="s">
        <v>1948</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3238</v>
      </c>
      <c r="B7" s="3474" t="s">
        <v>1949</v>
      </c>
      <c r="C7" s="754">
        <f>IF(C8="不临65条商业街",1,ROUND(1+(1.6*E8+1.2*E9+0.8*E10+0.4*E11)*C9,4))</f>
        <v>1</v>
      </c>
      <c r="D7" s="2021" t="s">
        <v>1950</v>
      </c>
      <c r="E7" s="775"/>
      <c r="F7" s="2022"/>
      <c r="G7" s="2023"/>
      <c r="H7" s="2023"/>
      <c r="I7" s="2023"/>
      <c r="J7" s="2024"/>
      <c r="K7" s="1383"/>
      <c r="L7" s="2002" t="s">
        <v>1951</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3485" t="s">
        <v>1952</v>
      </c>
      <c r="X7" s="1213" t="str">
        <f>G2</f>
        <v>四级</v>
      </c>
      <c r="Y7" s="1213" t="s">
        <v>1953</v>
      </c>
      <c r="Z7" s="1214">
        <f>G3</f>
        <v>1.5</v>
      </c>
      <c r="AA7" s="1215"/>
      <c r="AB7" s="1215"/>
      <c r="AC7" s="1216"/>
      <c r="AD7" s="1217"/>
      <c r="AE7" s="1217"/>
      <c r="AF7" s="1217"/>
      <c r="AG7" s="1217"/>
      <c r="AH7" s="1217"/>
      <c r="AI7" s="1217"/>
      <c r="AJ7" s="1218"/>
    </row>
    <row r="8" spans="1:36" ht="25.5">
      <c r="A8" s="3298"/>
      <c r="B8" s="170" t="s">
        <v>1954</v>
      </c>
      <c r="C8" s="2025" t="s">
        <v>3439</v>
      </c>
      <c r="D8" s="755" t="s">
        <v>112</v>
      </c>
      <c r="E8" s="756" t="e">
        <f>ROUND(C11/E7,4)</f>
        <v>#DIV/0!</v>
      </c>
      <c r="F8" s="2026" t="s">
        <v>1955</v>
      </c>
      <c r="G8" s="2027"/>
      <c r="H8" s="2027"/>
      <c r="I8" s="2027"/>
      <c r="J8" s="2028"/>
      <c r="K8" s="1118"/>
      <c r="L8" s="2002" t="s">
        <v>1956</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77" t="s">
        <v>1957</v>
      </c>
      <c r="X8" s="3778"/>
      <c r="Y8" s="1219" t="s">
        <v>1958</v>
      </c>
      <c r="Z8" s="1219" t="s">
        <v>1959</v>
      </c>
      <c r="AA8" s="1219" t="s">
        <v>1960</v>
      </c>
      <c r="AB8" s="1219" t="s">
        <v>1961</v>
      </c>
      <c r="AC8" s="1219" t="s">
        <v>1962</v>
      </c>
      <c r="AD8" s="1219" t="s">
        <v>1963</v>
      </c>
      <c r="AE8" s="1219" t="s">
        <v>1964</v>
      </c>
      <c r="AF8" s="1219" t="s">
        <v>1965</v>
      </c>
      <c r="AG8" s="1219" t="s">
        <v>1966</v>
      </c>
      <c r="AH8" s="1219" t="s">
        <v>1967</v>
      </c>
      <c r="AI8" s="1219" t="s">
        <v>1968</v>
      </c>
      <c r="AJ8" s="1219" t="s">
        <v>1969</v>
      </c>
    </row>
    <row r="9" spans="1:36" ht="15">
      <c r="A9" s="3298"/>
      <c r="B9" s="170" t="s">
        <v>1970</v>
      </c>
      <c r="C9" s="757">
        <f>SUMIF(修正!C71:C138,C8,修正!E71:E138)</f>
        <v>0</v>
      </c>
      <c r="D9" s="171" t="s">
        <v>113</v>
      </c>
      <c r="E9" s="171" t="e">
        <f>ROUND(C11/E7,4)</f>
        <v>#DIV/0!</v>
      </c>
      <c r="F9" s="2026" t="s">
        <v>1971</v>
      </c>
      <c r="G9" s="2027"/>
      <c r="H9" s="2027"/>
      <c r="I9" s="2027"/>
      <c r="J9" s="2028"/>
      <c r="K9" s="1118"/>
      <c r="L9" s="2002" t="s">
        <v>1972</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79"/>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1973</v>
      </c>
      <c r="C10" s="171">
        <f>SUMIF(修正!C71:C138,C8,修正!F71:F138)</f>
        <v>0</v>
      </c>
      <c r="D10" s="171" t="s">
        <v>114</v>
      </c>
      <c r="E10" s="171" t="e">
        <f>ROUND(C11/E7,4)</f>
        <v>#DIV/0!</v>
      </c>
      <c r="F10" s="2026" t="s">
        <v>1974</v>
      </c>
      <c r="G10" s="2027"/>
      <c r="H10" s="2027"/>
      <c r="I10" s="2027"/>
      <c r="J10" s="2028"/>
      <c r="K10" s="1118"/>
      <c r="L10" s="2002" t="s">
        <v>1975</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7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1976</v>
      </c>
      <c r="C11" s="758">
        <f>C10/4</f>
        <v>0</v>
      </c>
      <c r="D11" s="758" t="s">
        <v>115</v>
      </c>
      <c r="E11" s="758" t="e">
        <f>ROUND(C11/E7,4)</f>
        <v>#DIV/0!</v>
      </c>
      <c r="F11" s="2030" t="s">
        <v>1977</v>
      </c>
      <c r="G11" s="2031"/>
      <c r="H11" s="2031"/>
      <c r="I11" s="2031"/>
      <c r="J11" s="2032"/>
      <c r="K11" s="1118"/>
      <c r="L11" s="2002" t="s">
        <v>1978</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3239</v>
      </c>
      <c r="B12" s="3304" t="s">
        <v>3240</v>
      </c>
      <c r="C12" s="3305">
        <v>1</v>
      </c>
      <c r="D12" s="3306" t="s">
        <v>3241</v>
      </c>
      <c r="E12" s="3307" t="s">
        <v>3242</v>
      </c>
      <c r="F12" s="3308"/>
      <c r="G12" s="3309"/>
      <c r="H12" s="3309"/>
      <c r="I12" s="3309"/>
      <c r="J12" s="3310"/>
      <c r="K12" s="1118"/>
      <c r="L12" s="2038" t="s">
        <v>1981</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3243</v>
      </c>
      <c r="B13" s="2033" t="s">
        <v>1979</v>
      </c>
      <c r="C13" s="754">
        <f>ROUND(C16*D16*E16*F16*G16*H16*I16*J16,4)</f>
        <v>0</v>
      </c>
      <c r="D13" s="2034" t="s">
        <v>1980</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3469" t="s">
        <v>1982</v>
      </c>
      <c r="C14" s="2040" t="s">
        <v>1983</v>
      </c>
      <c r="D14" s="1349" t="s">
        <v>1984</v>
      </c>
      <c r="E14" s="27" t="s">
        <v>1985</v>
      </c>
      <c r="F14" s="3311" t="s">
        <v>3244</v>
      </c>
      <c r="G14" s="3311" t="s">
        <v>3244</v>
      </c>
      <c r="H14" s="3311" t="s">
        <v>3244</v>
      </c>
      <c r="I14" s="3311" t="s">
        <v>3244</v>
      </c>
      <c r="J14" s="3311" t="s">
        <v>3244</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3470"/>
      <c r="C15" s="2042"/>
      <c r="D15" s="2043"/>
      <c r="E15" s="2044"/>
      <c r="F15" s="3312" t="s">
        <v>3245</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1986</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468"/>
      <c r="C18" s="3327"/>
      <c r="D18" s="3322" t="s">
        <v>3249</v>
      </c>
      <c r="E18" s="3328"/>
      <c r="F18" s="3323" t="s">
        <v>3252</v>
      </c>
      <c r="G18" s="3327">
        <f>ROUND(1-(1/(POWER(1+G24,E18))),4)</f>
        <v>0</v>
      </c>
      <c r="H18" s="3323" t="s">
        <v>3254</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3250</v>
      </c>
      <c r="E19" s="3337"/>
      <c r="F19" s="3338" t="s">
        <v>3253</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84" t="s">
        <v>3255</v>
      </c>
      <c r="B20" s="167" t="s">
        <v>1991</v>
      </c>
      <c r="C20" s="3324">
        <f>ROUND(IF(F21="与级别开发程度一致",0,(G21-E21)/C21),0)</f>
        <v>0</v>
      </c>
      <c r="D20" s="3340" t="s">
        <v>1995</v>
      </c>
      <c r="E20" s="3341"/>
      <c r="F20" s="3790" t="s">
        <v>1992</v>
      </c>
      <c r="G20" s="3791"/>
      <c r="H20" s="3325" t="s">
        <v>3384</v>
      </c>
      <c r="I20" s="3325" t="s">
        <v>3385</v>
      </c>
      <c r="J20" s="3326" t="s">
        <v>3386</v>
      </c>
      <c r="K20" s="2046" t="s">
        <v>3387</v>
      </c>
      <c r="L20" s="2046" t="s">
        <v>3388</v>
      </c>
      <c r="M20" s="2046" t="s">
        <v>3441</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85"/>
      <c r="B21" s="2163" t="s">
        <v>1994</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3458</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1997</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1998</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3" t="s">
        <v>1999</v>
      </c>
      <c r="E23" s="760">
        <v>44197</v>
      </c>
      <c r="F23" s="2053" t="s">
        <v>2000</v>
      </c>
      <c r="G23" s="761">
        <f>'数据-取费表'!B2</f>
        <v>45449</v>
      </c>
      <c r="H23" s="3342" t="s">
        <v>3256</v>
      </c>
      <c r="I23" s="3343" t="str">
        <f>IF(H23="季度增幅（自定义）",SUMIF(N25:N28,E2,O25:O28),"")</f>
        <v/>
      </c>
      <c r="J23" s="3445" t="s">
        <v>3459</v>
      </c>
      <c r="K23" s="1124"/>
      <c r="L23" s="2054" t="s">
        <v>2001</v>
      </c>
      <c r="M23" s="1327">
        <f>ROUND(SUMIF(地价!B2:G2,E2,地价!B16:G16),0)</f>
        <v>350</v>
      </c>
      <c r="N23" s="2055" t="s">
        <v>2002</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2003</v>
      </c>
      <c r="C24" s="763" t="e">
        <f>ROUND(POWER(1+G24,J24-I24)*(POWER(1+G24,I24)-1)/(POWER(1+G24,J24)-1),4)</f>
        <v>#DIV/0!</v>
      </c>
      <c r="D24" s="2059" t="s">
        <v>2004</v>
      </c>
      <c r="E24" s="1334">
        <f>存贷款利率!E24/100</f>
        <v>4.3499999999999997E-2</v>
      </c>
      <c r="F24" s="2059" t="s">
        <v>1996</v>
      </c>
      <c r="G24" s="767">
        <f>SUMIF(M30:Q30,E2,M33:Q33)</f>
        <v>5.5E-2</v>
      </c>
      <c r="H24" s="2059" t="s">
        <v>2005</v>
      </c>
      <c r="I24" s="768" t="e">
        <f>SUMIF('数据-取费表'!C6:C15,E2,'数据-取费表'!F6:F15)/COUNTIF('数据-取费表'!C6:C15,E2)</f>
        <v>#DIV/0!</v>
      </c>
      <c r="J24" s="769">
        <f>IF(E2="住宅",70,IF(E2="商业",40,50))</f>
        <v>40</v>
      </c>
      <c r="K24" s="1124"/>
      <c r="L24" s="2060" t="s">
        <v>2006</v>
      </c>
      <c r="M24" s="1328">
        <f>ROUND(SUMPRODUCT((地价!A4:A16=YEAR(G23)&amp;"-"&amp;ROUNDUP(MONTH(G23)/3,0))*(地价!B2:G2=E2)*(地价!B4:G16)),0)</f>
        <v>0</v>
      </c>
      <c r="N24" s="2061" t="s">
        <v>2007</v>
      </c>
      <c r="O24" s="2062" t="s">
        <v>2008</v>
      </c>
      <c r="P24" s="2063" t="s">
        <v>2009</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3440</v>
      </c>
      <c r="C25" s="3483">
        <f>IF(B25="容积率修正",IF(G3&lt;10,D26,J26),C27)</f>
        <v>1.1084000000000001</v>
      </c>
      <c r="D25" s="2066"/>
      <c r="E25" s="2066"/>
      <c r="F25" s="2066"/>
      <c r="G25" s="2066"/>
      <c r="H25" s="2066"/>
      <c r="I25" s="2066"/>
      <c r="J25" s="2067"/>
      <c r="K25" s="1124"/>
      <c r="L25" s="2787"/>
      <c r="M25" s="2787"/>
      <c r="N25" s="2068" t="s">
        <v>2010</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2011</v>
      </c>
      <c r="B26" s="2069" t="s">
        <v>2012</v>
      </c>
      <c r="C26" s="3344" t="s">
        <v>3257</v>
      </c>
      <c r="D26" s="3482">
        <f>IF(E26=G26,F26,IF(G3&lt;10,ROUND(F26+(H26-F26)*(G3-E26)/(G26-E26),4),"——"))</f>
        <v>1.1084000000000001</v>
      </c>
      <c r="E26" s="751">
        <f>ROUNDDOWN(G3,1)</f>
        <v>1.5</v>
      </c>
      <c r="F26" s="34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1.1084000000000001</v>
      </c>
      <c r="G26" s="751">
        <f>ROUNDUP(G3,1)</f>
        <v>1.5</v>
      </c>
      <c r="H26" s="34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1.1084000000000001</v>
      </c>
      <c r="I26" s="3344" t="s">
        <v>3258</v>
      </c>
      <c r="J26" s="771" t="str">
        <f>IF(G3&gt;=10,D115,"——")</f>
        <v>——</v>
      </c>
      <c r="K26" s="1124"/>
      <c r="L26" s="2787"/>
      <c r="M26" s="2787"/>
      <c r="N26" s="2068" t="s">
        <v>2013</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2014</v>
      </c>
      <c r="B27" s="2070" t="s">
        <v>2015</v>
      </c>
      <c r="C27" s="840">
        <f>ROUND(IF(I3&lt;6,SUMPRODUCT((B106:B110=I3)*(C105:N105=G2)*(C106:N110)),SUMIF(C105:N105,G2,C112:N112)),4)</f>
        <v>1.5019</v>
      </c>
      <c r="D27" s="2045"/>
      <c r="E27" s="2045"/>
      <c r="F27" s="2071"/>
      <c r="G27" s="2072"/>
      <c r="H27" s="2073"/>
      <c r="I27" s="2074"/>
      <c r="J27" s="2075"/>
      <c r="K27" s="1118"/>
      <c r="L27" s="1996"/>
      <c r="M27" s="1996"/>
      <c r="N27" s="2068" t="s">
        <v>2016</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2017</v>
      </c>
      <c r="C28" s="759">
        <f>SUMIF(A47:A101,E2,B47:B101)</f>
        <v>1.054</v>
      </c>
      <c r="D28" s="2051"/>
      <c r="E28" s="2076"/>
      <c r="F28" s="2076"/>
      <c r="G28" s="2076"/>
      <c r="H28" s="2076"/>
      <c r="I28" s="2076"/>
      <c r="J28" s="2077"/>
      <c r="K28" s="1124"/>
      <c r="L28" s="2787"/>
      <c r="M28" s="2787"/>
      <c r="N28" s="2078"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2019</v>
      </c>
      <c r="C29" s="764"/>
      <c r="D29" s="2023"/>
      <c r="E29" s="2023"/>
      <c r="F29" s="2080"/>
      <c r="G29" s="2023"/>
      <c r="H29" s="2023"/>
      <c r="I29" s="2023"/>
      <c r="J29" s="2024"/>
      <c r="K29" s="1118"/>
      <c r="L29" s="1996"/>
      <c r="M29" s="1996"/>
      <c r="N29" s="2784" t="s">
        <v>2020</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2021</v>
      </c>
      <c r="C30" s="2320" t="e">
        <f>IF(B25="容积率修正",E33+SUM(E37:E42),SUM(V2:V16)+SUM(E37:E42))</f>
        <v>#DIV/0!</v>
      </c>
      <c r="D30" s="2082"/>
      <c r="E30" s="2045"/>
      <c r="F30" s="2083"/>
      <c r="G30" s="2045"/>
      <c r="H30" s="2045"/>
      <c r="I30" s="2045"/>
      <c r="J30" s="2084"/>
      <c r="K30" s="1118"/>
      <c r="L30" s="3350" t="s">
        <v>1933</v>
      </c>
      <c r="M30" s="3351" t="s">
        <v>1987</v>
      </c>
      <c r="N30" s="3351" t="s">
        <v>1988</v>
      </c>
      <c r="O30" s="3351" t="s">
        <v>1989</v>
      </c>
      <c r="P30" s="3351" t="s">
        <v>1990</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2022</v>
      </c>
      <c r="C31" s="765" t="e">
        <f>E34+SUM(I37:I42)</f>
        <v>#DIV/0!</v>
      </c>
      <c r="D31" s="2086"/>
      <c r="E31" s="2087"/>
      <c r="F31" s="2088"/>
      <c r="G31" s="2087"/>
      <c r="H31" s="2087"/>
      <c r="I31" s="2087"/>
      <c r="J31" s="2089"/>
      <c r="K31" s="1118"/>
      <c r="L31" s="3352" t="s">
        <v>1993</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2023</v>
      </c>
      <c r="C32" s="2092" t="s">
        <v>2024</v>
      </c>
      <c r="D32" s="2092" t="s">
        <v>2025</v>
      </c>
      <c r="E32" s="2093" t="s">
        <v>2026</v>
      </c>
      <c r="F32" s="2094"/>
      <c r="G32" s="2036"/>
      <c r="H32" s="2036"/>
      <c r="I32" s="2036"/>
      <c r="J32" s="2037"/>
      <c r="K32" s="1118"/>
      <c r="L32" s="3353" t="s">
        <v>1996</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2027</v>
      </c>
      <c r="C33" s="175" t="e">
        <f>ROUND(C5*C22*C23*C24*C25*C28,0)</f>
        <v>#DIV/0!</v>
      </c>
      <c r="D33" s="2097">
        <f>'数据-汇总表'!F20</f>
        <v>0</v>
      </c>
      <c r="E33" s="772" t="e">
        <f>ROUND(C33*D33/10000,0)</f>
        <v>#DIV/0!</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2028</v>
      </c>
      <c r="C34" s="187" t="e">
        <f>ROUND(IF(E2="工业",C33*M42,IF(B25="楼层修正",SUM(V2:V16)*M41*10000/D34,C33*M41)),0)</f>
        <v>#DIV/0!</v>
      </c>
      <c r="D34" s="2102"/>
      <c r="E34" s="772" t="e">
        <f>ROUND(IF(B25="楼层修正",SUM(V2:V16)*M40,C34*D34/10000),0)</f>
        <v>#DIV/0!</v>
      </c>
      <c r="F34" s="2103" t="s">
        <v>2029</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2030</v>
      </c>
      <c r="C35" s="3346" t="s">
        <v>3261</v>
      </c>
      <c r="D35" s="2036"/>
      <c r="E35" s="2108"/>
      <c r="F35" s="2108"/>
      <c r="G35" s="2034" t="s">
        <v>2031</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2024</v>
      </c>
      <c r="D36" s="447" t="s">
        <v>2025</v>
      </c>
      <c r="E36" s="447" t="s">
        <v>2026</v>
      </c>
      <c r="F36" s="342" t="s">
        <v>2032</v>
      </c>
      <c r="G36" s="2111" t="s">
        <v>2024</v>
      </c>
      <c r="H36" s="2111" t="s">
        <v>2025</v>
      </c>
      <c r="I36" s="2111" t="s">
        <v>2026</v>
      </c>
      <c r="J36" s="243"/>
      <c r="K36" s="3356" t="s">
        <v>3265</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8"/>
      <c r="B37" s="2112" t="s">
        <v>2033</v>
      </c>
      <c r="C37" s="175" t="e">
        <f>ROUND(D5*C22*C23*C24*C28*F37,0)</f>
        <v>#DIV/0!</v>
      </c>
      <c r="D37" s="2097">
        <f>'数据-汇总表'!G20</f>
        <v>0</v>
      </c>
      <c r="E37" s="171" t="e">
        <f>ROUND(C37*D37/10000,0)</f>
        <v>#DIV/0!</v>
      </c>
      <c r="F37" s="171">
        <f>SUMIF(修正!A57:A68,G2,修正!B57:B68)</f>
        <v>0.6</v>
      </c>
      <c r="G37" s="171" t="e">
        <f>ROUND(IF(E2="工业",C37*$M$42,C37*$M$41),0)</f>
        <v>#DIV/0!</v>
      </c>
      <c r="H37" s="171">
        <f>D37</f>
        <v>0</v>
      </c>
      <c r="I37" s="171" t="e">
        <f>ROUND(G37*H37/10000,0)</f>
        <v>#DIV/0!</v>
      </c>
      <c r="J37" s="3011"/>
      <c r="K37" s="3358" t="s">
        <v>3266</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9"/>
      <c r="B38" s="2040" t="s">
        <v>2034</v>
      </c>
      <c r="C38" s="175" t="e">
        <f>ROUND(D5*C22*C23*C24*C28*F38,0)</f>
        <v>#DIV/0!</v>
      </c>
      <c r="D38" s="2097"/>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488"/>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9"/>
      <c r="B39" s="2040" t="s">
        <v>3259</v>
      </c>
      <c r="C39" s="175" t="e">
        <f>ROUND(D5*C22*C23*C24*C28*F39,0)</f>
        <v>#DIV/0!</v>
      </c>
      <c r="D39" s="2097"/>
      <c r="E39" s="171" t="e">
        <f t="shared" si="4"/>
        <v>#DIV/0!</v>
      </c>
      <c r="F39" s="171">
        <f>SUMIF(修正!A57:A68,G2,修正!D57:D68)</f>
        <v>0.25</v>
      </c>
      <c r="G39" s="171" t="e">
        <f>ROUND(IF(E2="工业",C39*$M$42,C39*$M$41),0)</f>
        <v>#DIV/0!</v>
      </c>
      <c r="H39" s="171">
        <f t="shared" si="5"/>
        <v>0</v>
      </c>
      <c r="I39" s="171" t="e">
        <f t="shared" si="6"/>
        <v>#DIV/0!</v>
      </c>
      <c r="J39" s="348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2035</v>
      </c>
      <c r="C40" s="171" t="e">
        <f>ROUND(D5*C22*C23*C24*C28*F40,0)</f>
        <v>#DIV/0!</v>
      </c>
      <c r="D40" s="2097"/>
      <c r="E40" s="171" t="e">
        <f t="shared" si="4"/>
        <v>#DIV/0!</v>
      </c>
      <c r="F40" s="175">
        <f>SUMIF(修正!A57:A68,G2,修正!E57:E68)</f>
        <v>0.25</v>
      </c>
      <c r="G40" s="171" t="e">
        <f>ROUND(IF(E2="工业",C40*$M$42,C40*$M$41),0)</f>
        <v>#DIV/0!</v>
      </c>
      <c r="H40" s="171">
        <f t="shared" si="5"/>
        <v>0</v>
      </c>
      <c r="I40" s="171" t="e">
        <f t="shared" si="6"/>
        <v>#DIV/0!</v>
      </c>
      <c r="J40" s="2113"/>
      <c r="L40" s="2115" t="s">
        <v>2036</v>
      </c>
      <c r="M40" s="2116"/>
      <c r="Z40" s="1119"/>
      <c r="AA40" s="1119"/>
      <c r="AB40" s="1119"/>
      <c r="AC40" s="1119"/>
      <c r="AD40" s="1119"/>
      <c r="AE40" s="1119"/>
      <c r="AF40" s="1119"/>
      <c r="AG40" s="1119"/>
      <c r="AH40" s="1119"/>
      <c r="AI40" s="1119"/>
      <c r="AJ40" s="1119"/>
    </row>
    <row r="41" spans="1:37" s="1118" customFormat="1">
      <c r="A41" s="2114"/>
      <c r="B41" s="2040" t="s">
        <v>2037</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2038</v>
      </c>
      <c r="C42" s="187">
        <f>ROUND(D5*C22*C23*C44*C28*F42,0)</f>
        <v>0</v>
      </c>
      <c r="D42" s="2102"/>
      <c r="E42" s="187">
        <f t="shared" si="4"/>
        <v>0</v>
      </c>
      <c r="F42" s="766">
        <f>SUMIF(修正!A57:A68,G2,修正!G57:G68)</f>
        <v>0.15</v>
      </c>
      <c r="G42" s="187">
        <f>ROUND(IF(E2="工业",C42*$M$42,C42*$M$41),0)</f>
        <v>0</v>
      </c>
      <c r="H42" s="187">
        <f t="shared" si="5"/>
        <v>0</v>
      </c>
      <c r="I42" s="187">
        <f t="shared" si="6"/>
        <v>0</v>
      </c>
      <c r="J42" s="2119"/>
      <c r="L42" s="2120" t="s">
        <v>1990</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2119</v>
      </c>
      <c r="C44" s="342">
        <f>ROUND(POWER(1+E44,H44-G44)*(POWER(1+E44,G44)-1)/(POWER(1+E44,H44)-1),4)</f>
        <v>0</v>
      </c>
      <c r="D44" s="171" t="s">
        <v>1996</v>
      </c>
      <c r="E44" s="2152">
        <f>G24</f>
        <v>5.5E-2</v>
      </c>
      <c r="F44" s="171" t="s">
        <v>2005</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2039</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2040</v>
      </c>
      <c r="B48" s="2126">
        <f>1+E50</f>
        <v>1.054</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2041</v>
      </c>
      <c r="B49" s="1350" t="s">
        <v>2042</v>
      </c>
      <c r="C49" s="1350" t="s">
        <v>2043</v>
      </c>
      <c r="D49" s="1350" t="s">
        <v>2044</v>
      </c>
      <c r="E49" s="742" t="s">
        <v>2045</v>
      </c>
      <c r="F49" s="2130" t="s">
        <v>2046</v>
      </c>
      <c r="G49" s="1350" t="s">
        <v>310</v>
      </c>
      <c r="H49" s="2131" t="s">
        <v>2047</v>
      </c>
      <c r="I49" s="1350" t="s">
        <v>2048</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38.25">
      <c r="A50" s="2129" t="s">
        <v>2049</v>
      </c>
      <c r="B50" s="2132" t="str">
        <f>估价对象房地状况!C4</f>
        <v>估价对象位于XX商圈，周边商业氛围成熟，人流量大，商业繁华度好</v>
      </c>
      <c r="C50" s="2043" t="s">
        <v>3401</v>
      </c>
      <c r="D50" s="1064">
        <f t="shared" ref="D50:D58" si="7">SUMIF($J$49:$N$49,C50,J50:N50)</f>
        <v>1.4999999999999999E-2</v>
      </c>
      <c r="E50" s="743">
        <f>ROUND(SUM(D50:D58),4)</f>
        <v>5.3999999999999999E-2</v>
      </c>
      <c r="F50" s="1813">
        <f>IF(E2="商业",SUMIF(L1:L12,G2,N1:N12),"——")</f>
        <v>0.1</v>
      </c>
      <c r="G50" s="1062">
        <f t="shared" ref="G50:G58" si="8">H50</f>
        <v>1.4999999999999999E-2</v>
      </c>
      <c r="H50" s="1065">
        <f t="shared" ref="H50:H58" si="9">IFERROR(ROUNDDOWN($F$50*I50/2,4),"——")</f>
        <v>1.4999999999999999E-2</v>
      </c>
      <c r="I50" s="3366">
        <v>0.3</v>
      </c>
      <c r="J50" s="1063">
        <f t="shared" ref="J50:J58" si="10">K50+$G50</f>
        <v>0.03</v>
      </c>
      <c r="K50" s="1063">
        <f t="shared" ref="K50:K58" si="11">$L50+$G50</f>
        <v>1.4999999999999999E-2</v>
      </c>
      <c r="L50" s="1063">
        <v>0</v>
      </c>
      <c r="M50" s="1063">
        <f t="shared" ref="M50:N58" si="12">L50-$G50</f>
        <v>-1.4999999999999999E-2</v>
      </c>
      <c r="N50" s="1063">
        <f t="shared" si="12"/>
        <v>-0.03</v>
      </c>
      <c r="AA50" s="1119"/>
      <c r="AB50" s="1119"/>
      <c r="AC50" s="1119"/>
      <c r="AD50" s="1119"/>
      <c r="AE50" s="1119"/>
      <c r="AF50" s="1119"/>
      <c r="AG50" s="1119"/>
      <c r="AH50" s="1119"/>
      <c r="AI50" s="1119"/>
      <c r="AJ50" s="1119"/>
      <c r="AK50" s="1119"/>
    </row>
    <row r="51" spans="1:37" s="1118" customFormat="1" ht="38.25">
      <c r="A51" s="2129" t="s">
        <v>2050</v>
      </c>
      <c r="B51" s="2133" t="str">
        <f>估价对象房地状况!C18</f>
        <v>估价对象周边道路状况、公共交通通达情况、停车便捷程度，综合评价交通便捷度较好</v>
      </c>
      <c r="C51" s="2043" t="s">
        <v>3401</v>
      </c>
      <c r="D51" s="1064">
        <f t="shared" si="7"/>
        <v>1.0999999999999999E-2</v>
      </c>
      <c r="E51" s="744"/>
      <c r="F51" s="1813"/>
      <c r="G51" s="1062">
        <f t="shared" si="8"/>
        <v>1.0999999999999999E-2</v>
      </c>
      <c r="H51" s="1065">
        <f t="shared" si="9"/>
        <v>1.0999999999999999E-2</v>
      </c>
      <c r="I51" s="3366">
        <v>0.22</v>
      </c>
      <c r="J51" s="1063">
        <f t="shared" si="10"/>
        <v>2.1999999999999999E-2</v>
      </c>
      <c r="K51" s="1063">
        <f t="shared" si="11"/>
        <v>1.0999999999999999E-2</v>
      </c>
      <c r="L51" s="1063">
        <v>0</v>
      </c>
      <c r="M51" s="1063">
        <f t="shared" si="12"/>
        <v>-1.0999999999999999E-2</v>
      </c>
      <c r="N51" s="1063">
        <f t="shared" si="12"/>
        <v>-2.1999999999999999E-2</v>
      </c>
      <c r="AA51" s="1119"/>
      <c r="AB51" s="1119"/>
      <c r="AC51" s="1119"/>
      <c r="AD51" s="1119"/>
      <c r="AE51" s="1119"/>
      <c r="AF51" s="1119"/>
      <c r="AG51" s="1119"/>
      <c r="AH51" s="1119"/>
      <c r="AI51" s="1119"/>
      <c r="AJ51" s="1119"/>
      <c r="AK51" s="1119"/>
    </row>
    <row r="52" spans="1:37" s="1118" customFormat="1" ht="36">
      <c r="A52" s="3368" t="s">
        <v>3269</v>
      </c>
      <c r="B52" s="2133">
        <f>估价对象房地状况!C19</f>
        <v>0</v>
      </c>
      <c r="C52" s="2043" t="s">
        <v>3401</v>
      </c>
      <c r="D52" s="1064">
        <f t="shared" si="7"/>
        <v>6.0000000000000001E-3</v>
      </c>
      <c r="E52" s="744"/>
      <c r="F52" s="1813"/>
      <c r="G52" s="1062">
        <f t="shared" si="8"/>
        <v>6.0000000000000001E-3</v>
      </c>
      <c r="H52" s="1065">
        <f t="shared" si="9"/>
        <v>6.0000000000000001E-3</v>
      </c>
      <c r="I52" s="3366">
        <v>0.12</v>
      </c>
      <c r="J52" s="1063">
        <f t="shared" si="10"/>
        <v>1.2E-2</v>
      </c>
      <c r="K52" s="1063">
        <f t="shared" si="11"/>
        <v>6.0000000000000001E-3</v>
      </c>
      <c r="L52" s="1063">
        <v>0</v>
      </c>
      <c r="M52" s="1063">
        <f t="shared" si="12"/>
        <v>-6.0000000000000001E-3</v>
      </c>
      <c r="N52" s="1063">
        <f t="shared" si="12"/>
        <v>-1.2E-2</v>
      </c>
      <c r="AA52" s="1119"/>
      <c r="AB52" s="1119"/>
      <c r="AC52" s="1119"/>
      <c r="AD52" s="1119"/>
      <c r="AE52" s="1119"/>
      <c r="AF52" s="1119"/>
      <c r="AG52" s="1119"/>
      <c r="AH52" s="1119"/>
      <c r="AI52" s="1119"/>
      <c r="AJ52" s="1119"/>
      <c r="AK52" s="1119"/>
    </row>
    <row r="53" spans="1:37" s="1118" customFormat="1" ht="36.75">
      <c r="A53" s="2129" t="s">
        <v>2051</v>
      </c>
      <c r="B53" s="2134" t="s">
        <v>2052</v>
      </c>
      <c r="C53" s="2043" t="s">
        <v>3401</v>
      </c>
      <c r="D53" s="1064">
        <f t="shared" si="7"/>
        <v>2.5000000000000001E-3</v>
      </c>
      <c r="E53" s="744"/>
      <c r="F53" s="1813"/>
      <c r="G53" s="1062">
        <f t="shared" si="8"/>
        <v>2.5000000000000001E-3</v>
      </c>
      <c r="H53" s="1065">
        <f t="shared" si="9"/>
        <v>2.5000000000000001E-3</v>
      </c>
      <c r="I53" s="3366">
        <v>0.05</v>
      </c>
      <c r="J53" s="1063">
        <f t="shared" si="10"/>
        <v>5.0000000000000001E-3</v>
      </c>
      <c r="K53" s="1063">
        <f t="shared" si="11"/>
        <v>2.5000000000000001E-3</v>
      </c>
      <c r="L53" s="1063">
        <v>0</v>
      </c>
      <c r="M53" s="1063">
        <f t="shared" si="12"/>
        <v>-2.5000000000000001E-3</v>
      </c>
      <c r="N53" s="1063">
        <f t="shared" si="12"/>
        <v>-5.0000000000000001E-3</v>
      </c>
      <c r="AA53" s="1119"/>
      <c r="AB53" s="1119"/>
      <c r="AC53" s="1119"/>
      <c r="AD53" s="1119"/>
      <c r="AE53" s="1119"/>
      <c r="AF53" s="1119"/>
      <c r="AG53" s="1119"/>
      <c r="AH53" s="1119"/>
      <c r="AI53" s="1119"/>
      <c r="AJ53" s="1119"/>
      <c r="AK53" s="1119"/>
    </row>
    <row r="54" spans="1:37" s="1118" customFormat="1" ht="24">
      <c r="A54" s="2129" t="s">
        <v>2053</v>
      </c>
      <c r="B54" s="2133">
        <f>估价对象房地状况!C24</f>
        <v>0</v>
      </c>
      <c r="C54" s="2043" t="s">
        <v>3401</v>
      </c>
      <c r="D54" s="1064">
        <f t="shared" si="7"/>
        <v>4.0000000000000001E-3</v>
      </c>
      <c r="E54" s="744"/>
      <c r="F54" s="1813"/>
      <c r="G54" s="1062">
        <f t="shared" si="8"/>
        <v>4.0000000000000001E-3</v>
      </c>
      <c r="H54" s="1065">
        <f t="shared" si="9"/>
        <v>4.0000000000000001E-3</v>
      </c>
      <c r="I54" s="3366">
        <v>0.08</v>
      </c>
      <c r="J54" s="1063">
        <f t="shared" si="10"/>
        <v>8.0000000000000002E-3</v>
      </c>
      <c r="K54" s="1063">
        <f t="shared" si="11"/>
        <v>4.0000000000000001E-3</v>
      </c>
      <c r="L54" s="1063">
        <v>0</v>
      </c>
      <c r="M54" s="1063">
        <f t="shared" si="12"/>
        <v>-4.0000000000000001E-3</v>
      </c>
      <c r="N54" s="1063">
        <f t="shared" si="12"/>
        <v>-8.0000000000000002E-3</v>
      </c>
      <c r="AA54" s="1119"/>
      <c r="AB54" s="1119"/>
      <c r="AC54" s="1119"/>
      <c r="AD54" s="1119"/>
      <c r="AE54" s="1119"/>
      <c r="AF54" s="1119"/>
      <c r="AG54" s="1119"/>
      <c r="AH54" s="1119"/>
      <c r="AI54" s="1119"/>
      <c r="AJ54" s="1119"/>
      <c r="AK54" s="1119"/>
    </row>
    <row r="55" spans="1:37" s="1118" customFormat="1" ht="24">
      <c r="A55" s="2129" t="s">
        <v>2054</v>
      </c>
      <c r="B55" s="2135" t="s">
        <v>2055</v>
      </c>
      <c r="C55" s="2043" t="s">
        <v>3401</v>
      </c>
      <c r="D55" s="1064">
        <f t="shared" si="7"/>
        <v>2.5000000000000001E-3</v>
      </c>
      <c r="E55" s="744"/>
      <c r="F55" s="1813"/>
      <c r="G55" s="1062">
        <f t="shared" si="8"/>
        <v>2.5000000000000001E-3</v>
      </c>
      <c r="H55" s="1065">
        <f t="shared" si="9"/>
        <v>2.5000000000000001E-3</v>
      </c>
      <c r="I55" s="3366">
        <v>0.05</v>
      </c>
      <c r="J55" s="1063">
        <f t="shared" si="10"/>
        <v>5.0000000000000001E-3</v>
      </c>
      <c r="K55" s="1063">
        <f t="shared" si="11"/>
        <v>2.5000000000000001E-3</v>
      </c>
      <c r="L55" s="1063">
        <v>0</v>
      </c>
      <c r="M55" s="1063">
        <f t="shared" si="12"/>
        <v>-2.5000000000000001E-3</v>
      </c>
      <c r="N55" s="1063">
        <f t="shared" si="12"/>
        <v>-5.0000000000000001E-3</v>
      </c>
      <c r="AA55" s="1119"/>
      <c r="AB55" s="1119"/>
      <c r="AC55" s="1119"/>
      <c r="AD55" s="1119"/>
      <c r="AE55" s="1119"/>
      <c r="AF55" s="1119"/>
      <c r="AG55" s="1119"/>
      <c r="AH55" s="1119"/>
      <c r="AI55" s="1119"/>
      <c r="AJ55" s="1119"/>
      <c r="AK55" s="1119"/>
    </row>
    <row r="56" spans="1:37" s="1118" customFormat="1" ht="25.5">
      <c r="A56" s="2136" t="s">
        <v>2056</v>
      </c>
      <c r="B56" s="1325" t="str">
        <f>估价对象房地状况!C21</f>
        <v>估价对象所在区域公共配套设施齐备情况</v>
      </c>
      <c r="C56" s="2043" t="s">
        <v>3401</v>
      </c>
      <c r="D56" s="1064">
        <f t="shared" si="7"/>
        <v>2.5000000000000001E-3</v>
      </c>
      <c r="E56" s="744"/>
      <c r="F56" s="1813"/>
      <c r="G56" s="1062">
        <f t="shared" si="8"/>
        <v>2.5000000000000001E-3</v>
      </c>
      <c r="H56" s="1065">
        <f t="shared" si="9"/>
        <v>2.5000000000000001E-3</v>
      </c>
      <c r="I56" s="3366">
        <v>0.05</v>
      </c>
      <c r="J56" s="1063">
        <f t="shared" si="10"/>
        <v>5.0000000000000001E-3</v>
      </c>
      <c r="K56" s="1063">
        <f t="shared" si="11"/>
        <v>2.5000000000000001E-3</v>
      </c>
      <c r="L56" s="1063">
        <v>0</v>
      </c>
      <c r="M56" s="1063">
        <f t="shared" si="12"/>
        <v>-2.5000000000000001E-3</v>
      </c>
      <c r="N56" s="1063">
        <f t="shared" si="12"/>
        <v>-5.0000000000000001E-3</v>
      </c>
      <c r="AA56" s="1119"/>
      <c r="AB56" s="1119"/>
      <c r="AC56" s="1119"/>
      <c r="AD56" s="1119"/>
      <c r="AE56" s="1119"/>
      <c r="AF56" s="1119"/>
      <c r="AG56" s="1119"/>
      <c r="AH56" s="1119"/>
      <c r="AI56" s="1119"/>
      <c r="AJ56" s="1119"/>
      <c r="AK56" s="1119"/>
    </row>
    <row r="57" spans="1:37" s="1118" customFormat="1" ht="25.5">
      <c r="A57" s="2136" t="s">
        <v>2057</v>
      </c>
      <c r="B57" s="2133" t="str">
        <f>估价对象房地状况!C22</f>
        <v>估价对象所在区域基础设施水平</v>
      </c>
      <c r="C57" s="2043" t="s">
        <v>3400</v>
      </c>
      <c r="D57" s="1064">
        <f t="shared" si="7"/>
        <v>8.0000000000000002E-3</v>
      </c>
      <c r="E57" s="744"/>
      <c r="F57" s="1813"/>
      <c r="G57" s="1062">
        <f t="shared" si="8"/>
        <v>4.0000000000000001E-3</v>
      </c>
      <c r="H57" s="1065">
        <f t="shared" si="9"/>
        <v>4.0000000000000001E-3</v>
      </c>
      <c r="I57" s="3366">
        <v>0.08</v>
      </c>
      <c r="J57" s="1063">
        <f t="shared" si="10"/>
        <v>8.0000000000000002E-3</v>
      </c>
      <c r="K57" s="1063">
        <f t="shared" si="11"/>
        <v>4.0000000000000001E-3</v>
      </c>
      <c r="L57" s="1063">
        <v>0</v>
      </c>
      <c r="M57" s="1063">
        <f t="shared" si="12"/>
        <v>-4.0000000000000001E-3</v>
      </c>
      <c r="N57" s="1063">
        <f t="shared" si="12"/>
        <v>-8.0000000000000002E-3</v>
      </c>
      <c r="AA57" s="1119"/>
      <c r="AB57" s="1119"/>
      <c r="AC57" s="1119"/>
      <c r="AD57" s="1119"/>
      <c r="AE57" s="1119"/>
      <c r="AF57" s="1119"/>
      <c r="AG57" s="1119"/>
      <c r="AH57" s="1119"/>
      <c r="AI57" s="1119"/>
      <c r="AJ57" s="1119"/>
      <c r="AK57" s="1119"/>
    </row>
    <row r="58" spans="1:37" s="1118" customFormat="1" ht="26.25" thickBot="1">
      <c r="A58" s="2137" t="s">
        <v>2058</v>
      </c>
      <c r="B58" s="2138" t="str">
        <f>估价对象房地状况!C20</f>
        <v>区域自然环境：；人文环境；综合评价环境状况一般</v>
      </c>
      <c r="C58" s="2043" t="s">
        <v>3401</v>
      </c>
      <c r="D58" s="1064">
        <f t="shared" si="7"/>
        <v>2.5000000000000001E-3</v>
      </c>
      <c r="E58" s="745"/>
      <c r="F58" s="1813"/>
      <c r="G58" s="1062">
        <f t="shared" si="8"/>
        <v>2.5000000000000001E-3</v>
      </c>
      <c r="H58" s="1065">
        <f t="shared" si="9"/>
        <v>2.5000000000000001E-3</v>
      </c>
      <c r="I58" s="3367">
        <v>0.05</v>
      </c>
      <c r="J58" s="1063">
        <f t="shared" si="10"/>
        <v>5.0000000000000001E-3</v>
      </c>
      <c r="K58" s="1063">
        <f t="shared" si="11"/>
        <v>2.5000000000000001E-3</v>
      </c>
      <c r="L58" s="1063">
        <v>0</v>
      </c>
      <c r="M58" s="1063">
        <f t="shared" si="12"/>
        <v>-2.5000000000000001E-3</v>
      </c>
      <c r="N58" s="1063">
        <f t="shared" si="12"/>
        <v>-5.0000000000000001E-3</v>
      </c>
      <c r="AA58" s="1119"/>
      <c r="AB58" s="1119"/>
      <c r="AC58" s="1119"/>
      <c r="AD58" s="1119"/>
      <c r="AE58" s="1119"/>
      <c r="AF58" s="1119"/>
      <c r="AG58" s="1119"/>
      <c r="AH58" s="1119"/>
      <c r="AI58" s="1119"/>
      <c r="AJ58" s="1119"/>
      <c r="AK58" s="1119"/>
    </row>
    <row r="59" spans="1:37" s="1118" customFormat="1" ht="15">
      <c r="A59" s="2125" t="s">
        <v>2059</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2041</v>
      </c>
      <c r="B60" s="1350"/>
      <c r="C60" s="1350" t="s">
        <v>2043</v>
      </c>
      <c r="D60" s="1350" t="s">
        <v>2044</v>
      </c>
      <c r="E60" s="742" t="s">
        <v>2045</v>
      </c>
      <c r="F60" s="2130" t="s">
        <v>2060</v>
      </c>
      <c r="G60" s="1350" t="s">
        <v>310</v>
      </c>
      <c r="H60" s="2131" t="s">
        <v>2047</v>
      </c>
      <c r="I60" s="1350" t="s">
        <v>2048</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38.25">
      <c r="A61" s="2129" t="s">
        <v>2061</v>
      </c>
      <c r="B61" s="2132" t="str">
        <f>估价对象房地状况!C17</f>
        <v>估价对象位于XX商圈，周边办公楼项目较多，入驻率高，办公集聚程度较好</v>
      </c>
      <c r="C61" s="2043" t="s">
        <v>3401</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6">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2050</v>
      </c>
      <c r="B62" s="2133" t="str">
        <f>估价对象房地状况!C18</f>
        <v>估价对象周边道路状况、公共交通通达情况、停车便捷程度，综合评价交通便捷度较好</v>
      </c>
      <c r="C62" s="2043" t="s">
        <v>3401</v>
      </c>
      <c r="D62" s="1064">
        <f t="shared" si="13"/>
        <v>1.67E-2</v>
      </c>
      <c r="E62" s="744"/>
      <c r="F62" s="1813"/>
      <c r="G62" s="1062">
        <v>1.67E-2</v>
      </c>
      <c r="H62" s="1065" t="str">
        <f t="shared" si="14"/>
        <v>——</v>
      </c>
      <c r="I62" s="3366">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8" t="s">
        <v>3269</v>
      </c>
      <c r="B63" s="2133">
        <f>估价对象房地状况!C19</f>
        <v>0</v>
      </c>
      <c r="C63" s="2043" t="s">
        <v>3401</v>
      </c>
      <c r="D63" s="1064">
        <f t="shared" si="13"/>
        <v>7.0000000000000001E-3</v>
      </c>
      <c r="E63" s="744"/>
      <c r="F63" s="1813"/>
      <c r="G63" s="1062">
        <v>7.0000000000000001E-3</v>
      </c>
      <c r="H63" s="1065" t="str">
        <f t="shared" si="14"/>
        <v>——</v>
      </c>
      <c r="I63" s="3366">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2051</v>
      </c>
      <c r="B64" s="2134" t="s">
        <v>2052</v>
      </c>
      <c r="C64" s="2043" t="s">
        <v>3402</v>
      </c>
      <c r="D64" s="1064">
        <f t="shared" si="13"/>
        <v>0</v>
      </c>
      <c r="E64" s="744"/>
      <c r="F64" s="1813"/>
      <c r="G64" s="1062">
        <v>3.2000000000000002E-3</v>
      </c>
      <c r="H64" s="1065" t="str">
        <f t="shared" si="14"/>
        <v>——</v>
      </c>
      <c r="I64" s="3366">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2053</v>
      </c>
      <c r="B65" s="2133">
        <f>估价对象房地状况!C24</f>
        <v>0</v>
      </c>
      <c r="C65" s="2043" t="s">
        <v>3403</v>
      </c>
      <c r="D65" s="1064">
        <f t="shared" si="13"/>
        <v>-3.2000000000000002E-3</v>
      </c>
      <c r="E65" s="744"/>
      <c r="F65" s="1813"/>
      <c r="G65" s="1062">
        <v>3.2000000000000002E-3</v>
      </c>
      <c r="H65" s="1065" t="str">
        <f t="shared" si="14"/>
        <v>——</v>
      </c>
      <c r="I65" s="3366">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2054</v>
      </c>
      <c r="B66" s="2135" t="s">
        <v>2055</v>
      </c>
      <c r="C66" s="2043" t="s">
        <v>3401</v>
      </c>
      <c r="D66" s="1064">
        <f t="shared" si="13"/>
        <v>3.8E-3</v>
      </c>
      <c r="E66" s="744"/>
      <c r="F66" s="1813"/>
      <c r="G66" s="1062">
        <v>3.8E-3</v>
      </c>
      <c r="H66" s="1065" t="str">
        <f t="shared" si="14"/>
        <v>——</v>
      </c>
      <c r="I66" s="3366">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2056</v>
      </c>
      <c r="B67" s="1325" t="str">
        <f>估价对象房地状况!C21</f>
        <v>估价对象所在区域公共配套设施齐备情况</v>
      </c>
      <c r="C67" s="2043" t="s">
        <v>3401</v>
      </c>
      <c r="D67" s="1064">
        <f t="shared" si="13"/>
        <v>3.8E-3</v>
      </c>
      <c r="E67" s="744"/>
      <c r="F67" s="1813"/>
      <c r="G67" s="1062">
        <v>3.8E-3</v>
      </c>
      <c r="H67" s="1065" t="str">
        <f t="shared" si="14"/>
        <v>——</v>
      </c>
      <c r="I67" s="3366">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2057</v>
      </c>
      <c r="B68" s="1325" t="str">
        <f>估价对象房地状况!C22</f>
        <v>估价对象所在区域基础设施水平</v>
      </c>
      <c r="C68" s="2043" t="s">
        <v>3400</v>
      </c>
      <c r="D68" s="1064">
        <f t="shared" si="13"/>
        <v>1.1599999999999999E-2</v>
      </c>
      <c r="E68" s="744"/>
      <c r="F68" s="1813"/>
      <c r="G68" s="1062">
        <v>5.7999999999999996E-3</v>
      </c>
      <c r="H68" s="1065" t="str">
        <f t="shared" si="14"/>
        <v>——</v>
      </c>
      <c r="I68" s="3366">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2058</v>
      </c>
      <c r="B69" s="2139" t="str">
        <f>估价对象房地状况!C20</f>
        <v>区域自然环境：；人文环境；综合评价环境状况一般</v>
      </c>
      <c r="C69" s="2043" t="s">
        <v>3401</v>
      </c>
      <c r="D69" s="1064">
        <f t="shared" si="13"/>
        <v>4.4999999999999997E-3</v>
      </c>
      <c r="E69" s="745"/>
      <c r="F69" s="1813"/>
      <c r="G69" s="1062">
        <v>4.4999999999999997E-3</v>
      </c>
      <c r="H69" s="1065" t="str">
        <f t="shared" si="14"/>
        <v>——</v>
      </c>
      <c r="I69" s="3367">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2062</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2041</v>
      </c>
      <c r="B71" s="1350"/>
      <c r="C71" s="1350" t="s">
        <v>2043</v>
      </c>
      <c r="D71" s="1350" t="s">
        <v>2044</v>
      </c>
      <c r="E71" s="742" t="s">
        <v>2045</v>
      </c>
      <c r="F71" s="2130" t="s">
        <v>2060</v>
      </c>
      <c r="G71" s="1350" t="s">
        <v>310</v>
      </c>
      <c r="H71" s="2131" t="s">
        <v>2047</v>
      </c>
      <c r="I71" s="1350" t="s">
        <v>2048</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51">
      <c r="A72" s="2129" t="s">
        <v>2063</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2050</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3269</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2064</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2056</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2057</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2054</v>
      </c>
      <c r="B78" s="2135" t="s">
        <v>2055</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2058</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2065</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2066</v>
      </c>
      <c r="B81" s="2126" t="e">
        <f>1+E83</f>
        <v>#VALUE!</v>
      </c>
      <c r="C81" s="740"/>
      <c r="D81" s="740"/>
      <c r="E81" s="741"/>
      <c r="F81" s="2128"/>
      <c r="G81" s="3"/>
      <c r="H81" s="3"/>
      <c r="I81" s="3"/>
      <c r="J81" s="4"/>
      <c r="K81" s="4"/>
      <c r="L81" s="4"/>
      <c r="M81" s="4"/>
      <c r="N81" s="4"/>
      <c r="Z81" s="1997"/>
      <c r="AA81" s="2052"/>
      <c r="AG81" s="1120"/>
      <c r="AK81" s="2052"/>
    </row>
    <row r="82" spans="1:37" ht="24.75">
      <c r="A82" s="2129" t="s">
        <v>2041</v>
      </c>
      <c r="B82" s="1350"/>
      <c r="C82" s="1350" t="s">
        <v>2043</v>
      </c>
      <c r="D82" s="1350" t="s">
        <v>2044</v>
      </c>
      <c r="E82" s="742" t="s">
        <v>2045</v>
      </c>
      <c r="F82" s="2130" t="s">
        <v>2060</v>
      </c>
      <c r="G82" s="1350" t="s">
        <v>310</v>
      </c>
      <c r="H82" s="2131" t="s">
        <v>2047</v>
      </c>
      <c r="I82" s="1350" t="s">
        <v>2048</v>
      </c>
      <c r="J82" s="552" t="s">
        <v>1719</v>
      </c>
      <c r="K82" s="552" t="s">
        <v>1720</v>
      </c>
      <c r="L82" s="552" t="s">
        <v>1721</v>
      </c>
      <c r="M82" s="552" t="s">
        <v>1722</v>
      </c>
      <c r="N82" s="552" t="s">
        <v>1723</v>
      </c>
      <c r="Z82" s="1997"/>
      <c r="AA82" s="2052"/>
      <c r="AG82" s="1120"/>
      <c r="AK82" s="2052"/>
    </row>
    <row r="83" spans="1:37" ht="38.25">
      <c r="A83" s="2129" t="s">
        <v>2067</v>
      </c>
      <c r="B83" s="2133" t="str">
        <f>估价对象房地状况!G15</f>
        <v>估价对象位于XX开发区，园区建设成熟度XX，产业集聚程度XX</v>
      </c>
      <c r="C83" s="2043" t="s">
        <v>3401</v>
      </c>
      <c r="D83" s="1064" t="e">
        <f t="shared" ref="D83:D90" si="23">SUMIF($J$82:$N$82,C83,J83:N83)</f>
        <v>#VALUE!</v>
      </c>
      <c r="E83" s="743" t="e">
        <f>ROUND(SUM(D83:D90),4)</f>
        <v>#VALUE!</v>
      </c>
      <c r="F83" s="1813" t="str">
        <f>IF(E2="工业",SUMIF(L1:L12,G2,N1:N12),"——")</f>
        <v>——</v>
      </c>
      <c r="G83" s="1062" t="str">
        <f>H83</f>
        <v>——</v>
      </c>
      <c r="H83" s="1065" t="str">
        <f t="shared" ref="H83:H90" si="24">IFERROR(ROUNDDOWN($F$83*I83/2,4),"——")</f>
        <v>——</v>
      </c>
      <c r="I83" s="3366">
        <v>0.26</v>
      </c>
      <c r="J83" s="1063" t="e">
        <f t="shared" ref="J83:J90" si="25">K83+$G83</f>
        <v>#VALUE!</v>
      </c>
      <c r="K83" s="1063" t="e">
        <f t="shared" ref="K83:K90" si="26">$L83+$G83</f>
        <v>#VALUE!</v>
      </c>
      <c r="L83" s="1063">
        <v>0</v>
      </c>
      <c r="M83" s="1063" t="e">
        <f t="shared" ref="M83:N90" si="27">L83-$G83</f>
        <v>#VALUE!</v>
      </c>
      <c r="N83" s="1063" t="e">
        <f t="shared" si="27"/>
        <v>#VALUE!</v>
      </c>
      <c r="Z83" s="1997"/>
      <c r="AA83" s="2052"/>
      <c r="AG83" s="1120"/>
      <c r="AK83" s="2052"/>
    </row>
    <row r="84" spans="1:37" ht="38.25">
      <c r="A84" s="2129" t="s">
        <v>2050</v>
      </c>
      <c r="B84" s="2133" t="str">
        <f>估价对象房地状况!G16</f>
        <v>估价对象周边道路状况、公共交通通达情况、停车便捷程度，综合评价交通便捷度较好</v>
      </c>
      <c r="C84" s="2043" t="s">
        <v>3402</v>
      </c>
      <c r="D84" s="1064">
        <f t="shared" si="23"/>
        <v>0</v>
      </c>
      <c r="E84" s="746"/>
      <c r="F84" s="1813"/>
      <c r="G84" s="1062" t="str">
        <f t="shared" ref="G84:G90" si="28">H84</f>
        <v>——</v>
      </c>
      <c r="H84" s="1065" t="str">
        <f t="shared" si="24"/>
        <v>——</v>
      </c>
      <c r="I84" s="3366">
        <v>0.3</v>
      </c>
      <c r="J84" s="1063" t="e">
        <f t="shared" si="25"/>
        <v>#VALUE!</v>
      </c>
      <c r="K84" s="1063" t="e">
        <f t="shared" si="26"/>
        <v>#VALUE!</v>
      </c>
      <c r="L84" s="1063">
        <v>0</v>
      </c>
      <c r="M84" s="1063" t="e">
        <f t="shared" si="27"/>
        <v>#VALUE!</v>
      </c>
      <c r="N84" s="1063" t="e">
        <f t="shared" si="27"/>
        <v>#VALUE!</v>
      </c>
      <c r="Z84" s="1997"/>
      <c r="AA84" s="2052"/>
      <c r="AG84" s="1120"/>
      <c r="AK84" s="2052"/>
    </row>
    <row r="85" spans="1:37" ht="36">
      <c r="A85" s="3368" t="s">
        <v>3269</v>
      </c>
      <c r="B85" s="2133">
        <f>估价对象房地状况!G17</f>
        <v>0</v>
      </c>
      <c r="C85" s="2043" t="s">
        <v>3401</v>
      </c>
      <c r="D85" s="1064" t="e">
        <f t="shared" si="23"/>
        <v>#VALUE!</v>
      </c>
      <c r="E85" s="746"/>
      <c r="F85" s="1813"/>
      <c r="G85" s="1062" t="str">
        <f t="shared" si="28"/>
        <v>——</v>
      </c>
      <c r="H85" s="1065" t="str">
        <f t="shared" si="24"/>
        <v>——</v>
      </c>
      <c r="I85" s="3366">
        <v>0.1</v>
      </c>
      <c r="J85" s="1063" t="e">
        <f t="shared" si="25"/>
        <v>#VALUE!</v>
      </c>
      <c r="K85" s="1063" t="e">
        <f t="shared" si="26"/>
        <v>#VALUE!</v>
      </c>
      <c r="L85" s="1063">
        <v>0</v>
      </c>
      <c r="M85" s="1063" t="e">
        <f t="shared" si="27"/>
        <v>#VALUE!</v>
      </c>
      <c r="N85" s="1063" t="e">
        <f t="shared" si="27"/>
        <v>#VALUE!</v>
      </c>
      <c r="Z85" s="1997"/>
      <c r="AA85" s="2052"/>
      <c r="AG85" s="1120"/>
      <c r="AK85" s="2052"/>
    </row>
    <row r="86" spans="1:37" ht="14.25">
      <c r="A86" s="2129" t="s">
        <v>2064</v>
      </c>
      <c r="B86" s="2133">
        <f>估价对象房地状况!G22</f>
        <v>0</v>
      </c>
      <c r="C86" s="2043" t="s">
        <v>3403</v>
      </c>
      <c r="D86" s="1064" t="e">
        <f t="shared" si="23"/>
        <v>#VALUE!</v>
      </c>
      <c r="E86" s="746"/>
      <c r="F86" s="1813"/>
      <c r="G86" s="1062" t="str">
        <f t="shared" si="28"/>
        <v>——</v>
      </c>
      <c r="H86" s="1065" t="str">
        <f t="shared" si="24"/>
        <v>——</v>
      </c>
      <c r="I86" s="3366">
        <v>0.05</v>
      </c>
      <c r="J86" s="1063" t="e">
        <f t="shared" si="25"/>
        <v>#VALUE!</v>
      </c>
      <c r="K86" s="1063" t="e">
        <f t="shared" si="26"/>
        <v>#VALUE!</v>
      </c>
      <c r="L86" s="1063">
        <v>0</v>
      </c>
      <c r="M86" s="1063" t="e">
        <f t="shared" si="27"/>
        <v>#VALUE!</v>
      </c>
      <c r="N86" s="1063" t="e">
        <f t="shared" si="27"/>
        <v>#VALUE!</v>
      </c>
      <c r="Z86" s="1997"/>
      <c r="AA86" s="2052"/>
      <c r="AG86" s="1120"/>
      <c r="AK86" s="2052"/>
    </row>
    <row r="87" spans="1:37" ht="25.5">
      <c r="A87" s="2129" t="s">
        <v>2056</v>
      </c>
      <c r="B87" s="1325" t="str">
        <f>估价对象房地状况!G19</f>
        <v>估价对象所在区域公共配套设施齐备情况</v>
      </c>
      <c r="C87" s="2043" t="s">
        <v>3403</v>
      </c>
      <c r="D87" s="1064" t="e">
        <f t="shared" si="23"/>
        <v>#VALUE!</v>
      </c>
      <c r="E87" s="746"/>
      <c r="F87" s="1813"/>
      <c r="G87" s="1062" t="str">
        <f t="shared" si="28"/>
        <v>——</v>
      </c>
      <c r="H87" s="1065" t="str">
        <f t="shared" si="24"/>
        <v>——</v>
      </c>
      <c r="I87" s="3366">
        <v>0.06</v>
      </c>
      <c r="J87" s="1063" t="e">
        <f t="shared" si="25"/>
        <v>#VALUE!</v>
      </c>
      <c r="K87" s="1063" t="e">
        <f t="shared" si="26"/>
        <v>#VALUE!</v>
      </c>
      <c r="L87" s="1063">
        <v>0</v>
      </c>
      <c r="M87" s="1063" t="e">
        <f t="shared" si="27"/>
        <v>#VALUE!</v>
      </c>
      <c r="N87" s="1063" t="e">
        <f t="shared" si="27"/>
        <v>#VALUE!</v>
      </c>
    </row>
    <row r="88" spans="1:37" ht="25.5">
      <c r="A88" s="2129" t="s">
        <v>2057</v>
      </c>
      <c r="B88" s="1325" t="str">
        <f>估价对象房地状况!G20</f>
        <v>估价对象所在区域基础设施水平</v>
      </c>
      <c r="C88" s="2043" t="s">
        <v>3402</v>
      </c>
      <c r="D88" s="1064">
        <f t="shared" si="23"/>
        <v>0</v>
      </c>
      <c r="E88" s="746"/>
      <c r="F88" s="1813"/>
      <c r="G88" s="1062" t="str">
        <f t="shared" si="28"/>
        <v>——</v>
      </c>
      <c r="H88" s="1065" t="str">
        <f t="shared" si="24"/>
        <v>——</v>
      </c>
      <c r="I88" s="3366">
        <v>0.12</v>
      </c>
      <c r="J88" s="1063" t="e">
        <f t="shared" si="25"/>
        <v>#VALUE!</v>
      </c>
      <c r="K88" s="1063" t="e">
        <f t="shared" si="26"/>
        <v>#VALUE!</v>
      </c>
      <c r="L88" s="1063">
        <v>0</v>
      </c>
      <c r="M88" s="1063" t="e">
        <f t="shared" si="27"/>
        <v>#VALUE!</v>
      </c>
      <c r="N88" s="1063" t="e">
        <f t="shared" si="27"/>
        <v>#VALUE!</v>
      </c>
    </row>
    <row r="89" spans="1:37" ht="24">
      <c r="A89" s="2129" t="s">
        <v>2054</v>
      </c>
      <c r="B89" s="2135" t="s">
        <v>2068</v>
      </c>
      <c r="C89" s="2043" t="s">
        <v>3401</v>
      </c>
      <c r="D89" s="1064" t="e">
        <f t="shared" si="23"/>
        <v>#VALUE!</v>
      </c>
      <c r="E89" s="746"/>
      <c r="F89" s="1813"/>
      <c r="G89" s="1062" t="str">
        <f t="shared" si="28"/>
        <v>——</v>
      </c>
      <c r="H89" s="1065" t="str">
        <f t="shared" si="24"/>
        <v>——</v>
      </c>
      <c r="I89" s="3366">
        <v>0.06</v>
      </c>
      <c r="J89" s="1063" t="e">
        <f t="shared" si="25"/>
        <v>#VALUE!</v>
      </c>
      <c r="K89" s="1063" t="e">
        <f t="shared" si="26"/>
        <v>#VALUE!</v>
      </c>
      <c r="L89" s="1063">
        <v>0</v>
      </c>
      <c r="M89" s="1063" t="e">
        <f t="shared" si="27"/>
        <v>#VALUE!</v>
      </c>
      <c r="N89" s="1063" t="e">
        <f t="shared" si="27"/>
        <v>#VALUE!</v>
      </c>
    </row>
    <row r="90" spans="1:37" ht="39" thickBot="1">
      <c r="A90" s="2137" t="s">
        <v>2069</v>
      </c>
      <c r="B90" s="2142" t="str">
        <f>估价对象房地状况!G18</f>
        <v>该园区内是否有污染型企业，绿化情况，卫生条件，整体环境状况判断</v>
      </c>
      <c r="C90" s="2043" t="s">
        <v>3401</v>
      </c>
      <c r="D90" s="1064" t="e">
        <f t="shared" si="23"/>
        <v>#VALUE!</v>
      </c>
      <c r="E90" s="747"/>
      <c r="F90" s="1813"/>
      <c r="G90" s="1062" t="str">
        <f t="shared" si="28"/>
        <v>——</v>
      </c>
      <c r="H90" s="1065" t="str">
        <f t="shared" si="24"/>
        <v>——</v>
      </c>
      <c r="I90" s="3367">
        <v>0.05</v>
      </c>
      <c r="J90" s="1063" t="e">
        <f t="shared" si="25"/>
        <v>#VALUE!</v>
      </c>
      <c r="K90" s="1063" t="e">
        <f t="shared" si="26"/>
        <v>#VALUE!</v>
      </c>
      <c r="L90" s="1063">
        <v>0</v>
      </c>
      <c r="M90" s="1063" t="e">
        <f t="shared" si="27"/>
        <v>#VALUE!</v>
      </c>
      <c r="N90" s="1063" t="e">
        <f t="shared" si="27"/>
        <v>#VALUE!</v>
      </c>
    </row>
    <row r="91" spans="1:37" ht="15">
      <c r="A91" s="3376" t="s">
        <v>2613</v>
      </c>
      <c r="B91" s="3377">
        <f>1+E93</f>
        <v>1</v>
      </c>
      <c r="C91" s="3370"/>
      <c r="D91" s="3371"/>
      <c r="E91" s="1813"/>
      <c r="F91" s="1813"/>
      <c r="G91" s="3372"/>
      <c r="H91" s="3373"/>
      <c r="I91" s="3374"/>
      <c r="J91" s="3375"/>
      <c r="K91" s="3375"/>
      <c r="L91" s="3375"/>
      <c r="M91" s="3375"/>
      <c r="N91" s="3375"/>
    </row>
    <row r="92" spans="1:37" ht="24.75">
      <c r="A92" s="3378" t="s">
        <v>2041</v>
      </c>
      <c r="B92" s="3365"/>
      <c r="C92" s="3365" t="s">
        <v>2043</v>
      </c>
      <c r="D92" s="3365" t="s">
        <v>2044</v>
      </c>
      <c r="E92" s="3347" t="s">
        <v>2045</v>
      </c>
      <c r="F92" s="3380" t="s">
        <v>3283</v>
      </c>
      <c r="G92" s="3365" t="s">
        <v>1986</v>
      </c>
      <c r="H92" s="3387" t="s">
        <v>3287</v>
      </c>
      <c r="I92" s="3365" t="s">
        <v>2048</v>
      </c>
      <c r="J92" s="3388" t="s">
        <v>1719</v>
      </c>
      <c r="K92" s="3388" t="s">
        <v>1720</v>
      </c>
      <c r="L92" s="3388" t="s">
        <v>1721</v>
      </c>
      <c r="M92" s="3388" t="s">
        <v>1722</v>
      </c>
      <c r="N92" s="3388" t="s">
        <v>1723</v>
      </c>
    </row>
    <row r="93" spans="1:37" ht="24">
      <c r="A93" s="3368" t="s">
        <v>3272</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2050</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3269</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2051</v>
      </c>
      <c r="B96" s="3384" t="s">
        <v>3285</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2053</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2054</v>
      </c>
      <c r="B98" s="3385" t="s">
        <v>3286</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2056</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2057</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2058</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786" t="s">
        <v>3294</v>
      </c>
      <c r="B103" s="3786"/>
      <c r="C103" s="3786"/>
      <c r="D103" s="3786"/>
      <c r="E103" s="3786"/>
      <c r="F103" s="3786"/>
      <c r="G103" s="3786"/>
      <c r="H103" s="3786"/>
      <c r="I103" s="3786"/>
      <c r="J103" s="3786"/>
      <c r="K103" s="3486"/>
      <c r="L103" s="3486"/>
      <c r="M103" s="3486"/>
      <c r="N103" s="3486"/>
    </row>
    <row r="104" spans="1:14">
      <c r="A104" s="3787" t="s">
        <v>3295</v>
      </c>
      <c r="B104" s="3787" t="s">
        <v>3296</v>
      </c>
      <c r="C104" s="3390" t="s">
        <v>3297</v>
      </c>
      <c r="D104" s="3391"/>
      <c r="E104" s="3391"/>
      <c r="F104" s="3391"/>
      <c r="G104" s="3391"/>
      <c r="H104" s="3391"/>
      <c r="I104" s="3391"/>
      <c r="J104" s="3392"/>
      <c r="K104" s="3393"/>
      <c r="L104" s="3393"/>
      <c r="M104" s="3393"/>
      <c r="N104" s="3393"/>
    </row>
    <row r="105" spans="1:14">
      <c r="A105" s="3787"/>
      <c r="B105" s="3787"/>
      <c r="C105" s="3487" t="s">
        <v>1958</v>
      </c>
      <c r="D105" s="3487" t="s">
        <v>1959</v>
      </c>
      <c r="E105" s="3487" t="s">
        <v>1960</v>
      </c>
      <c r="F105" s="3487" t="s">
        <v>1961</v>
      </c>
      <c r="G105" s="3487" t="s">
        <v>1962</v>
      </c>
      <c r="H105" s="3487" t="s">
        <v>1963</v>
      </c>
      <c r="I105" s="3487" t="s">
        <v>1964</v>
      </c>
      <c r="J105" s="3487" t="s">
        <v>1965</v>
      </c>
      <c r="K105" s="3487" t="s">
        <v>1966</v>
      </c>
      <c r="L105" s="3487" t="s">
        <v>1967</v>
      </c>
      <c r="M105" s="3487" t="s">
        <v>1968</v>
      </c>
      <c r="N105" s="3487" t="s">
        <v>1969</v>
      </c>
    </row>
    <row r="106" spans="1:14">
      <c r="A106" s="3773" t="s">
        <v>3310</v>
      </c>
      <c r="B106" s="3487">
        <v>1</v>
      </c>
      <c r="C106" s="3487">
        <v>1.5206</v>
      </c>
      <c r="D106" s="3487">
        <v>1.5206</v>
      </c>
      <c r="E106" s="3487">
        <v>1.5019</v>
      </c>
      <c r="F106" s="3487">
        <v>1.5019</v>
      </c>
      <c r="G106" s="3487">
        <v>1.5019</v>
      </c>
      <c r="H106" s="3487">
        <v>1.5019</v>
      </c>
      <c r="I106" s="3487">
        <v>1.5019</v>
      </c>
      <c r="J106" s="3487">
        <v>1.5418000000000001</v>
      </c>
      <c r="K106" s="3487">
        <v>1.5418000000000001</v>
      </c>
      <c r="L106" s="3487">
        <v>1.5418000000000001</v>
      </c>
      <c r="M106" s="3487">
        <v>1.5418000000000001</v>
      </c>
      <c r="N106" s="3487">
        <v>1.5418000000000001</v>
      </c>
    </row>
    <row r="107" spans="1:14">
      <c r="A107" s="3774"/>
      <c r="B107" s="3487">
        <v>2</v>
      </c>
      <c r="C107" s="3487">
        <v>1.2072000000000001</v>
      </c>
      <c r="D107" s="3487">
        <v>1.2072000000000001</v>
      </c>
      <c r="E107" s="3487">
        <v>1.1838</v>
      </c>
      <c r="F107" s="3487">
        <v>1.1838</v>
      </c>
      <c r="G107" s="3487">
        <v>1.1838</v>
      </c>
      <c r="H107" s="3487">
        <v>1.1838</v>
      </c>
      <c r="I107" s="3487">
        <v>1.1838</v>
      </c>
      <c r="J107" s="3487">
        <v>1.1883999999999999</v>
      </c>
      <c r="K107" s="3487">
        <v>1.1883999999999999</v>
      </c>
      <c r="L107" s="3487">
        <v>1.1883999999999999</v>
      </c>
      <c r="M107" s="3487">
        <v>1.1883999999999999</v>
      </c>
      <c r="N107" s="3487">
        <v>1.1883999999999999</v>
      </c>
    </row>
    <row r="108" spans="1:14">
      <c r="A108" s="3774"/>
      <c r="B108" s="3487">
        <v>3</v>
      </c>
      <c r="C108" s="3487">
        <v>1.0430999999999999</v>
      </c>
      <c r="D108" s="3487">
        <v>1.0430999999999999</v>
      </c>
      <c r="E108" s="3487">
        <v>1.0004999999999999</v>
      </c>
      <c r="F108" s="3487">
        <v>1.0004999999999999</v>
      </c>
      <c r="G108" s="3487">
        <v>1.0004999999999999</v>
      </c>
      <c r="H108" s="3487">
        <v>1.0004999999999999</v>
      </c>
      <c r="I108" s="3487">
        <v>1.0004999999999999</v>
      </c>
      <c r="J108" s="3487">
        <v>0.96940000000000004</v>
      </c>
      <c r="K108" s="3487">
        <v>0.96940000000000004</v>
      </c>
      <c r="L108" s="3487">
        <v>0.96940000000000004</v>
      </c>
      <c r="M108" s="3487">
        <v>0.96940000000000004</v>
      </c>
      <c r="N108" s="3487">
        <v>0.96940000000000004</v>
      </c>
    </row>
    <row r="109" spans="1:14">
      <c r="A109" s="3774"/>
      <c r="B109" s="3487">
        <v>4</v>
      </c>
      <c r="C109" s="3487">
        <v>0.94389999999999996</v>
      </c>
      <c r="D109" s="3487">
        <v>0.94389999999999996</v>
      </c>
      <c r="E109" s="3487">
        <v>0.88239999999999996</v>
      </c>
      <c r="F109" s="3487">
        <v>0.88239999999999996</v>
      </c>
      <c r="G109" s="3487">
        <v>0.88239999999999996</v>
      </c>
      <c r="H109" s="3487">
        <v>0.88239999999999996</v>
      </c>
      <c r="I109" s="3487">
        <v>0.88239999999999996</v>
      </c>
      <c r="J109" s="3487">
        <v>0.82299999999999995</v>
      </c>
      <c r="K109" s="3487">
        <v>0.82299999999999995</v>
      </c>
      <c r="L109" s="3487">
        <v>0.82299999999999995</v>
      </c>
      <c r="M109" s="3487">
        <v>0.82299999999999995</v>
      </c>
      <c r="N109" s="3487">
        <v>0.82299999999999995</v>
      </c>
    </row>
    <row r="110" spans="1:14">
      <c r="A110" s="3774"/>
      <c r="B110" s="3487">
        <v>5</v>
      </c>
      <c r="C110" s="3487">
        <v>0.89959999999999996</v>
      </c>
      <c r="D110" s="3487">
        <v>0.89959999999999996</v>
      </c>
      <c r="E110" s="3487">
        <v>0.84799999999999998</v>
      </c>
      <c r="F110" s="3487">
        <v>0.84799999999999998</v>
      </c>
      <c r="G110" s="3487">
        <v>0.84799999999999998</v>
      </c>
      <c r="H110" s="3487">
        <v>0.84799999999999998</v>
      </c>
      <c r="I110" s="3487">
        <v>0.84799999999999998</v>
      </c>
      <c r="J110" s="3487">
        <v>0.74980000000000002</v>
      </c>
      <c r="K110" s="3487">
        <v>0.74980000000000002</v>
      </c>
      <c r="L110" s="3487">
        <v>0.74980000000000002</v>
      </c>
      <c r="M110" s="3487">
        <v>0.74980000000000002</v>
      </c>
      <c r="N110" s="3487">
        <v>0.74980000000000002</v>
      </c>
    </row>
    <row r="111" spans="1:14">
      <c r="A111" s="3774"/>
      <c r="B111" s="3487" t="s">
        <v>3268</v>
      </c>
      <c r="C111" s="3395">
        <f>$I$3</f>
        <v>1</v>
      </c>
      <c r="D111" s="3395">
        <f t="shared" ref="D111:M111" si="34">$I$3</f>
        <v>1</v>
      </c>
      <c r="E111" s="3395">
        <f t="shared" si="34"/>
        <v>1</v>
      </c>
      <c r="F111" s="3395">
        <f t="shared" si="34"/>
        <v>1</v>
      </c>
      <c r="G111" s="3395">
        <f t="shared" si="34"/>
        <v>1</v>
      </c>
      <c r="H111" s="3395">
        <f t="shared" si="34"/>
        <v>1</v>
      </c>
      <c r="I111" s="3395">
        <f t="shared" si="34"/>
        <v>1</v>
      </c>
      <c r="J111" s="3395">
        <f t="shared" si="34"/>
        <v>1</v>
      </c>
      <c r="K111" s="3395">
        <f t="shared" si="34"/>
        <v>1</v>
      </c>
      <c r="L111" s="3395">
        <f t="shared" si="34"/>
        <v>1</v>
      </c>
      <c r="M111" s="3395">
        <f t="shared" si="34"/>
        <v>1</v>
      </c>
      <c r="N111" s="3395">
        <f>$I$3</f>
        <v>1</v>
      </c>
    </row>
    <row r="112" spans="1:14">
      <c r="A112" s="3775"/>
      <c r="B112" s="3487">
        <v>6</v>
      </c>
      <c r="C112" s="3387">
        <f>(-0.5556*(C111^2)-0.2719*C111+8944)*(10^(-4))</f>
        <v>0.89431725000000006</v>
      </c>
      <c r="D112" s="3387">
        <f>(-0.5556*(D111^2)-0.2719*D111+8944)*(10^(-4))</f>
        <v>0.89431725000000006</v>
      </c>
      <c r="E112" s="3387">
        <f>(-0.7912*(E111^2)-11.3794*E111+8482)*(10^(-4))</f>
        <v>0.84698294000000007</v>
      </c>
      <c r="F112" s="3387">
        <f t="shared" ref="F112:I112" si="35">(-0.7912*(F111^2)-11.3794*F111+8482)*(10^(-4))</f>
        <v>0.84698294000000007</v>
      </c>
      <c r="G112" s="3387">
        <f t="shared" si="35"/>
        <v>0.84698294000000007</v>
      </c>
      <c r="H112" s="3387">
        <f t="shared" si="35"/>
        <v>0.84698294000000007</v>
      </c>
      <c r="I112" s="3387">
        <f t="shared" si="35"/>
        <v>0.84698294000000007</v>
      </c>
      <c r="J112" s="3387">
        <f>(-0.989*(J111^2)-63.78*J111+7771)*(10^(-4))</f>
        <v>0.77062310000000001</v>
      </c>
      <c r="K112" s="3387">
        <f t="shared" ref="K112:N112" si="36">(-0.989*(K111^2)-63.78*K111+7771)*(10^(-4))</f>
        <v>0.77062310000000001</v>
      </c>
      <c r="L112" s="3387">
        <f t="shared" si="36"/>
        <v>0.77062310000000001</v>
      </c>
      <c r="M112" s="3387">
        <f t="shared" si="36"/>
        <v>0.77062310000000001</v>
      </c>
      <c r="N112" s="3387">
        <f t="shared" si="36"/>
        <v>0.77062310000000001</v>
      </c>
    </row>
    <row r="113" spans="1:14">
      <c r="A113" s="3776" t="s">
        <v>3311</v>
      </c>
      <c r="B113" s="3776"/>
      <c r="C113" s="3776"/>
      <c r="D113" s="3776"/>
      <c r="E113" s="3776"/>
      <c r="F113" s="3776"/>
      <c r="G113" s="3776"/>
      <c r="H113" s="3776"/>
      <c r="I113" s="3776"/>
      <c r="J113" s="3776"/>
      <c r="K113" s="3484"/>
      <c r="L113" s="3484"/>
      <c r="M113" s="3484"/>
      <c r="N113" s="3484"/>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1.5</v>
      </c>
      <c r="C116" s="3399" t="s">
        <v>3313</v>
      </c>
      <c r="D116" s="3400">
        <f>SUMPRODUCT((A118:A122=F116)*(B117:M117=H116)*B118:M122)</f>
        <v>0.92800000000000005</v>
      </c>
      <c r="E116" s="1999" t="s">
        <v>1933</v>
      </c>
      <c r="F116" s="3401" t="str">
        <f>E2</f>
        <v>商业</v>
      </c>
      <c r="G116" s="1999" t="s">
        <v>1934</v>
      </c>
      <c r="H116" s="3401" t="str">
        <f>G2</f>
        <v>四级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1987</v>
      </c>
      <c r="B118" s="3387">
        <f>ROUND(0.9968-0.011*B116,4)</f>
        <v>0.98029999999999995</v>
      </c>
      <c r="C118" s="3387">
        <f>B118</f>
        <v>0.98029999999999995</v>
      </c>
      <c r="D118" s="3387">
        <f>ROUND(0.949-0.014*B116,4)</f>
        <v>0.92800000000000005</v>
      </c>
      <c r="E118" s="3387">
        <f>D118</f>
        <v>0.92800000000000005</v>
      </c>
      <c r="F118" s="3387">
        <f>E118</f>
        <v>0.92800000000000005</v>
      </c>
      <c r="G118" s="3387">
        <f>F118</f>
        <v>0.92800000000000005</v>
      </c>
      <c r="H118" s="3387">
        <f>G118</f>
        <v>0.92800000000000005</v>
      </c>
      <c r="I118" s="3387">
        <f>ROUND(0.8486-0.018*B116,4)</f>
        <v>0.8216</v>
      </c>
      <c r="J118" s="3387">
        <f t="shared" ref="J118:M122" si="37">I118</f>
        <v>0.8216</v>
      </c>
      <c r="K118" s="3387">
        <f t="shared" si="37"/>
        <v>0.8216</v>
      </c>
      <c r="L118" s="3387">
        <f t="shared" si="37"/>
        <v>0.8216</v>
      </c>
      <c r="M118" s="3410">
        <f t="shared" si="37"/>
        <v>0.8216</v>
      </c>
      <c r="N118" s="3397"/>
    </row>
    <row r="119" spans="1:14">
      <c r="A119" s="3409" t="s">
        <v>1988</v>
      </c>
      <c r="B119" s="3387">
        <f>ROUND(0.993-0.0112*B116,4)</f>
        <v>0.97619999999999996</v>
      </c>
      <c r="C119" s="3387">
        <f>B119</f>
        <v>0.97619999999999996</v>
      </c>
      <c r="D119" s="3387">
        <f>ROUND(0.9415-0.0142*B116,4)</f>
        <v>0.92020000000000002</v>
      </c>
      <c r="E119" s="3387">
        <f t="shared" ref="E119:H120" si="38">D119</f>
        <v>0.92020000000000002</v>
      </c>
      <c r="F119" s="3387">
        <f t="shared" si="38"/>
        <v>0.92020000000000002</v>
      </c>
      <c r="G119" s="3387">
        <f t="shared" si="38"/>
        <v>0.92020000000000002</v>
      </c>
      <c r="H119" s="3387">
        <f t="shared" si="38"/>
        <v>0.92020000000000002</v>
      </c>
      <c r="I119" s="3387">
        <f>ROUND(0.838-0.0182*B116,4)</f>
        <v>0.81069999999999998</v>
      </c>
      <c r="J119" s="3387">
        <f t="shared" si="37"/>
        <v>0.81069999999999998</v>
      </c>
      <c r="K119" s="3387">
        <f t="shared" si="37"/>
        <v>0.81069999999999998</v>
      </c>
      <c r="L119" s="3387">
        <f t="shared" si="37"/>
        <v>0.81069999999999998</v>
      </c>
      <c r="M119" s="3410">
        <f t="shared" si="37"/>
        <v>0.81069999999999998</v>
      </c>
      <c r="N119" s="3397"/>
    </row>
    <row r="120" spans="1:14">
      <c r="A120" s="3409" t="s">
        <v>1989</v>
      </c>
      <c r="B120" s="3387">
        <f>ROUND(0.9448-0.0115*B116,4)</f>
        <v>0.92759999999999998</v>
      </c>
      <c r="C120" s="3387">
        <f>B120</f>
        <v>0.92759999999999998</v>
      </c>
      <c r="D120" s="3387">
        <f>ROUND(0.937-0.0145*B116,4)</f>
        <v>0.9153</v>
      </c>
      <c r="E120" s="3387">
        <f t="shared" si="38"/>
        <v>0.9153</v>
      </c>
      <c r="F120" s="3387">
        <f t="shared" si="38"/>
        <v>0.9153</v>
      </c>
      <c r="G120" s="3387">
        <f t="shared" si="38"/>
        <v>0.9153</v>
      </c>
      <c r="H120" s="3387">
        <f t="shared" si="38"/>
        <v>0.9153</v>
      </c>
      <c r="I120" s="3387">
        <f>ROUND(0.7965-0.0185*B116,4)</f>
        <v>0.76880000000000004</v>
      </c>
      <c r="J120" s="3387">
        <f t="shared" si="37"/>
        <v>0.76880000000000004</v>
      </c>
      <c r="K120" s="3387">
        <f t="shared" si="37"/>
        <v>0.76880000000000004</v>
      </c>
      <c r="L120" s="3387">
        <f t="shared" si="37"/>
        <v>0.76880000000000004</v>
      </c>
      <c r="M120" s="3410">
        <f t="shared" si="37"/>
        <v>0.76880000000000004</v>
      </c>
      <c r="N120" s="3397"/>
    </row>
    <row r="121" spans="1:14" ht="13.5" thickBot="1">
      <c r="A121" s="3411" t="s">
        <v>1990</v>
      </c>
      <c r="B121" s="3412">
        <f>ROUND(0.7836-0.012*B116,4)</f>
        <v>0.76559999999999995</v>
      </c>
      <c r="C121" s="3412">
        <f>B121</f>
        <v>0.76559999999999995</v>
      </c>
      <c r="D121" s="3412">
        <f>ROUND(0.753-0.015*B116,4)</f>
        <v>0.73050000000000004</v>
      </c>
      <c r="E121" s="3412">
        <f>D121</f>
        <v>0.73050000000000004</v>
      </c>
      <c r="F121" s="3412">
        <f>E121</f>
        <v>0.73050000000000004</v>
      </c>
      <c r="G121" s="3412">
        <f>ROUND(0.6612-0.018*B116,4)</f>
        <v>0.63419999999999999</v>
      </c>
      <c r="H121" s="3412">
        <f>G121</f>
        <v>0.63419999999999999</v>
      </c>
      <c r="I121" s="3412">
        <f>ROUND(0.5905-0.019*B116,4)</f>
        <v>0.56200000000000006</v>
      </c>
      <c r="J121" s="3412">
        <f t="shared" si="37"/>
        <v>0.56200000000000006</v>
      </c>
      <c r="K121" s="3412">
        <f t="shared" si="37"/>
        <v>0.56200000000000006</v>
      </c>
      <c r="L121" s="3412">
        <f t="shared" si="37"/>
        <v>0.56200000000000006</v>
      </c>
      <c r="M121" s="3413">
        <f t="shared" si="37"/>
        <v>0.56200000000000006</v>
      </c>
      <c r="N121" s="3397"/>
    </row>
    <row r="122" spans="1:14">
      <c r="A122" s="3414" t="s">
        <v>2613</v>
      </c>
      <c r="B122" s="3387">
        <f>ROUND(0.9404-0.0106*B116,4)</f>
        <v>0.92449999999999999</v>
      </c>
      <c r="C122" s="3387">
        <f>B122</f>
        <v>0.92449999999999999</v>
      </c>
      <c r="D122" s="3387">
        <f>ROUND(0.8955-0.0135*B116,4)</f>
        <v>0.87529999999999997</v>
      </c>
      <c r="E122" s="3387">
        <f t="shared" ref="E122:H122" si="39">D122</f>
        <v>0.87529999999999997</v>
      </c>
      <c r="F122" s="3387">
        <f t="shared" si="39"/>
        <v>0.87529999999999997</v>
      </c>
      <c r="G122" s="3387">
        <f t="shared" si="39"/>
        <v>0.87529999999999997</v>
      </c>
      <c r="H122" s="3387">
        <f t="shared" si="39"/>
        <v>0.87529999999999997</v>
      </c>
      <c r="I122" s="3387">
        <f>ROUND(0.7632-0.0166*B116,4)</f>
        <v>0.73829999999999996</v>
      </c>
      <c r="J122" s="3387">
        <f t="shared" si="37"/>
        <v>0.73829999999999996</v>
      </c>
      <c r="K122" s="3387">
        <f t="shared" si="37"/>
        <v>0.73829999999999996</v>
      </c>
      <c r="L122" s="3387">
        <f t="shared" si="37"/>
        <v>0.73829999999999996</v>
      </c>
      <c r="M122" s="3410">
        <f t="shared" si="37"/>
        <v>0.73829999999999996</v>
      </c>
      <c r="N122" s="3397"/>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2:E17"/>
  <sheetViews>
    <sheetView topLeftCell="B43" workbookViewId="0">
      <selection activeCell="N34" sqref="N34"/>
    </sheetView>
  </sheetViews>
  <sheetFormatPr defaultRowHeight="13.5"/>
  <sheetData>
    <row r="2" spans="1:5">
      <c r="A2" s="3458"/>
    </row>
    <row r="3" spans="1:5">
      <c r="A3" s="3458"/>
    </row>
    <row r="11" spans="1:5">
      <c r="E11" s="3458"/>
    </row>
    <row r="12" spans="1:5">
      <c r="E12" s="3458"/>
    </row>
    <row r="13" spans="1:5">
      <c r="E13" s="3458"/>
    </row>
    <row r="14" spans="1:5">
      <c r="E14" s="3458"/>
    </row>
    <row r="15" spans="1:5">
      <c r="E15" s="3458"/>
    </row>
    <row r="16" spans="1:5">
      <c r="E16" s="3458"/>
    </row>
    <row r="17" spans="5:5">
      <c r="E17" s="3458"/>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0" t="s">
        <v>2840</v>
      </c>
      <c r="B1" s="3820"/>
      <c r="C1" s="3820"/>
      <c r="D1" s="3820"/>
      <c r="E1" s="3820"/>
      <c r="F1" s="3820"/>
      <c r="G1" s="3821"/>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2"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818"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2" thickBot="1">
      <c r="A4" s="3819"/>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2"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2"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2"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2"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22" t="s">
        <v>3182</v>
      </c>
      <c r="B1" s="3822"/>
    </row>
    <row r="2" spans="1:7" ht="14.25" thickBot="1">
      <c r="A2" s="3254"/>
      <c r="B2" s="3254"/>
    </row>
    <row r="3" spans="1:7" ht="14.25" thickBot="1">
      <c r="A3" s="3254"/>
      <c r="B3" s="3254"/>
      <c r="C3" s="3255" t="s">
        <v>2812</v>
      </c>
      <c r="D3" s="3255" t="s">
        <v>2868</v>
      </c>
      <c r="E3" s="3255" t="s">
        <v>2814</v>
      </c>
      <c r="F3" s="3255" t="s">
        <v>2869</v>
      </c>
      <c r="G3" s="3255" t="s">
        <v>2632</v>
      </c>
    </row>
    <row r="4" spans="1:7" ht="14.2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4.2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4.2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4.2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4.2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4.2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4.2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4.2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4.2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4.2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4.2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823" t="s">
        <v>3233</v>
      </c>
      <c r="B1" s="3823"/>
      <c r="C1" s="3823"/>
      <c r="D1" s="3823"/>
      <c r="E1" s="3823"/>
      <c r="F1" s="3824"/>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45449</v>
      </c>
      <c r="B1" s="3209" t="s">
        <v>3370</v>
      </c>
      <c r="C1" s="3210"/>
      <c r="D1" s="3210"/>
      <c r="E1" s="3210"/>
      <c r="F1" s="3210"/>
      <c r="G1" s="3210"/>
      <c r="H1" s="3210"/>
      <c r="I1" s="3210"/>
      <c r="J1" s="3164"/>
      <c r="K1" s="3210" t="s">
        <v>454</v>
      </c>
      <c r="L1" s="3210"/>
      <c r="M1" s="3210"/>
      <c r="N1" s="3210"/>
      <c r="O1" s="3210"/>
      <c r="P1" s="3210"/>
      <c r="Q1" s="3164"/>
      <c r="R1" s="3825" t="s">
        <v>456</v>
      </c>
      <c r="S1" s="3826"/>
      <c r="T1" s="3826"/>
      <c r="U1" s="3826"/>
      <c r="V1" s="3826"/>
      <c r="W1" s="3826"/>
      <c r="X1" s="3164"/>
      <c r="Y1" s="3825" t="s">
        <v>457</v>
      </c>
      <c r="Z1" s="3826"/>
      <c r="AA1" s="3826"/>
      <c r="AB1" s="3826"/>
      <c r="AC1" s="3826"/>
      <c r="AD1" s="3826"/>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3373</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3374</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3376</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3377</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3369</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3368</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3367</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3363</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3354</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2821</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2822</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2823</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2824</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2825</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3365</v>
      </c>
    </row>
    <row r="21" spans="1:30" s="3008" customFormat="1">
      <c r="I21" s="3207" t="s">
        <v>2826</v>
      </c>
    </row>
    <row r="22" spans="1:30" s="3008" customFormat="1"/>
    <row r="23" spans="1:30" s="3208" customFormat="1" ht="12.75">
      <c r="B23" s="3209" t="s">
        <v>3371</v>
      </c>
      <c r="C23" s="3210"/>
      <c r="D23" s="3210"/>
      <c r="E23" s="3210"/>
      <c r="F23" s="3210"/>
      <c r="G23" s="3210"/>
      <c r="H23" s="3210"/>
      <c r="I23" s="3210"/>
      <c r="J23" s="3164"/>
      <c r="K23" s="3210" t="s">
        <v>2827</v>
      </c>
      <c r="L23" s="3210"/>
      <c r="M23" s="3210"/>
      <c r="N23" s="3210"/>
      <c r="O23" s="3210"/>
      <c r="P23" s="3210"/>
      <c r="Q23" s="3164"/>
      <c r="R23" s="3825" t="s">
        <v>2828</v>
      </c>
      <c r="S23" s="3826"/>
      <c r="T23" s="3826"/>
      <c r="U23" s="3826"/>
      <c r="V23" s="3826"/>
      <c r="W23" s="3826"/>
      <c r="X23" s="3164"/>
      <c r="Y23" s="3825" t="s">
        <v>2829</v>
      </c>
      <c r="Z23" s="3826"/>
      <c r="AA23" s="3826"/>
      <c r="AB23" s="3826"/>
      <c r="AC23" s="3826"/>
      <c r="AD23" s="3826"/>
    </row>
    <row r="24" spans="1:30" s="3142" customFormat="1" ht="14.25" thickBot="1">
      <c r="B24" s="3143"/>
      <c r="C24" s="3144"/>
      <c r="D24" s="3145" t="s">
        <v>2830</v>
      </c>
      <c r="E24" s="3146" t="s">
        <v>2831</v>
      </c>
      <c r="F24" s="3146" t="s">
        <v>2832</v>
      </c>
      <c r="G24" s="3146" t="s">
        <v>2833</v>
      </c>
      <c r="H24" s="3146"/>
      <c r="I24" s="3146" t="s">
        <v>2834</v>
      </c>
      <c r="J24" s="3147"/>
      <c r="K24" s="3145" t="s">
        <v>2830</v>
      </c>
      <c r="L24" s="3146" t="s">
        <v>2831</v>
      </c>
      <c r="M24" s="3146" t="s">
        <v>2832</v>
      </c>
      <c r="N24" s="3146" t="s">
        <v>2833</v>
      </c>
      <c r="O24" s="3146"/>
      <c r="P24" s="3146" t="s">
        <v>2834</v>
      </c>
      <c r="Q24" s="3147"/>
      <c r="R24" s="3145" t="s">
        <v>2830</v>
      </c>
      <c r="S24" s="3146" t="s">
        <v>2831</v>
      </c>
      <c r="T24" s="3146" t="s">
        <v>2832</v>
      </c>
      <c r="U24" s="3146" t="s">
        <v>2833</v>
      </c>
      <c r="V24" s="3146"/>
      <c r="W24" s="3146" t="s">
        <v>2834</v>
      </c>
      <c r="X24" s="3147"/>
      <c r="Y24" s="3145" t="s">
        <v>2830</v>
      </c>
      <c r="Z24" s="3146" t="s">
        <v>2831</v>
      </c>
      <c r="AA24" s="3146" t="s">
        <v>2832</v>
      </c>
      <c r="AB24" s="3146" t="s">
        <v>2833</v>
      </c>
      <c r="AC24" s="3146"/>
      <c r="AD24" s="3146" t="s">
        <v>2834</v>
      </c>
    </row>
    <row r="25" spans="1:30" s="3160" customFormat="1" ht="12.75">
      <c r="A25" s="3148" t="s">
        <v>2835</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3373</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3374</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3378</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3377</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3372</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3368</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3367</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3364</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3354</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2836</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2837</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2838</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2839</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2825</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3" t="str">
        <f>IF(项目基本情况!B9="房地产市场价值","估价结果一览表","结果表-2")</f>
        <v>结果表-2</v>
      </c>
      <c r="B1" s="3513"/>
      <c r="C1" s="3513"/>
      <c r="D1" s="3513"/>
      <c r="E1" s="3513"/>
      <c r="F1" s="3513"/>
      <c r="G1" s="3513"/>
      <c r="H1" s="3513"/>
      <c r="I1" s="3513"/>
    </row>
    <row r="2" spans="1:9" ht="30" customHeight="1" thickTop="1">
      <c r="A2" s="3514" t="s">
        <v>928</v>
      </c>
      <c r="B2" s="3514" t="s">
        <v>929</v>
      </c>
      <c r="C2" s="3514" t="s">
        <v>930</v>
      </c>
      <c r="D2" s="3514" t="str">
        <f>结果表!D116</f>
        <v>出让国有建设用地使用权价值</v>
      </c>
      <c r="E2" s="3514"/>
      <c r="F2" s="3514" t="str">
        <f>结果表!F116</f>
        <v>在建建筑物价值</v>
      </c>
      <c r="G2" s="3514"/>
      <c r="H2" s="3514" t="str">
        <f>IF(项目基本情况!B9="房地产市场价值","房地产市场价值","房地产价值")</f>
        <v>房地产价值</v>
      </c>
      <c r="I2" s="3514"/>
    </row>
    <row r="3" spans="1:9" ht="15">
      <c r="A3" s="3509"/>
      <c r="B3" s="3509"/>
      <c r="C3" s="3509"/>
      <c r="D3" s="853" t="s">
        <v>925</v>
      </c>
      <c r="E3" s="853" t="s">
        <v>931</v>
      </c>
      <c r="F3" s="853" t="s">
        <v>925</v>
      </c>
      <c r="G3" s="853" t="s">
        <v>926</v>
      </c>
      <c r="H3" s="853" t="s">
        <v>925</v>
      </c>
      <c r="I3" s="853" t="s">
        <v>926</v>
      </c>
    </row>
    <row r="4" spans="1:9" ht="15">
      <c r="A4" s="1504" t="str">
        <f>项目基本情况!S2</f>
        <v>北京市房地产</v>
      </c>
      <c r="B4" s="853">
        <f>项目基本情况!C17</f>
        <v>2389.2399999999998</v>
      </c>
      <c r="C4" s="853">
        <f>项目基本情况!C18</f>
        <v>0</v>
      </c>
      <c r="D4" s="853">
        <f ca="1">结果表!D118</f>
        <v>1025</v>
      </c>
      <c r="E4" s="853">
        <f ca="1">结果表!E118</f>
        <v>4291</v>
      </c>
      <c r="F4" s="853">
        <f ca="1">结果表!F118</f>
        <v>1463</v>
      </c>
      <c r="G4" s="853">
        <f ca="1">结果表!G118</f>
        <v>6125</v>
      </c>
      <c r="H4" s="853">
        <f ca="1">结果表!H118</f>
        <v>2489</v>
      </c>
      <c r="I4" s="853">
        <f ca="1">结果表!I118</f>
        <v>10416</v>
      </c>
    </row>
    <row r="5" spans="1:9" ht="30" customHeight="1">
      <c r="A5" s="3509" t="s">
        <v>927</v>
      </c>
      <c r="B5" s="3509"/>
      <c r="C5" s="3509"/>
      <c r="D5" s="3509" t="str">
        <f ca="1">结果表!D119</f>
        <v>壹仟零贰拾伍万元整</v>
      </c>
      <c r="E5" s="3509"/>
      <c r="F5" s="3509" t="str">
        <f ca="1">结果表!F119</f>
        <v>壹仟肆佰陆拾叁万元整</v>
      </c>
      <c r="G5" s="3509"/>
      <c r="H5" s="3509" t="str">
        <f ca="1">结果表!H119</f>
        <v>贰仟肆佰捌拾玖万元整</v>
      </c>
      <c r="I5" s="3509"/>
    </row>
    <row r="6" spans="1:9" ht="15.75">
      <c r="A6" s="3508" t="str">
        <f>结果表!A120</f>
        <v>估价师知悉的法定优先受偿款</v>
      </c>
      <c r="B6" s="3508"/>
      <c r="C6" s="3508"/>
      <c r="D6" s="3508">
        <f>结果表!D120</f>
        <v>0</v>
      </c>
      <c r="E6" s="3508"/>
      <c r="F6" s="3508"/>
      <c r="G6" s="3508"/>
      <c r="H6" s="3508"/>
      <c r="I6" s="3508"/>
    </row>
    <row r="7" spans="1:9" ht="15">
      <c r="A7" s="3509" t="s">
        <v>927</v>
      </c>
      <c r="B7" s="3509"/>
      <c r="C7" s="3509"/>
      <c r="D7" s="3510" t="str">
        <f>结果表!D121</f>
        <v>零元整</v>
      </c>
      <c r="E7" s="3511"/>
      <c r="F7" s="3511"/>
      <c r="G7" s="3511"/>
      <c r="H7" s="3511"/>
      <c r="I7" s="3512"/>
    </row>
    <row r="8" spans="1:9" ht="15.75">
      <c r="A8" s="3508" t="str">
        <f>结果表!A122</f>
        <v>房地产抵押价值</v>
      </c>
      <c r="B8" s="3508"/>
      <c r="C8" s="3508"/>
      <c r="D8" s="3508">
        <f ca="1">结果表!D122</f>
        <v>2489</v>
      </c>
      <c r="E8" s="3508"/>
      <c r="F8" s="3508"/>
      <c r="G8" s="3508"/>
      <c r="H8" s="3508"/>
      <c r="I8" s="3508"/>
    </row>
    <row r="9" spans="1:9" ht="15">
      <c r="A9" s="3509" t="s">
        <v>927</v>
      </c>
      <c r="B9" s="3509"/>
      <c r="C9" s="3509"/>
      <c r="D9" s="3509" t="str">
        <f ca="1">结果表!D123</f>
        <v>贰仟肆佰捌拾玖万元整</v>
      </c>
      <c r="E9" s="3509"/>
      <c r="F9" s="3509"/>
      <c r="G9" s="3509"/>
      <c r="H9" s="3509"/>
      <c r="I9" s="3509"/>
    </row>
    <row r="10" spans="1:9" ht="15.75">
      <c r="A10" s="3508" t="str">
        <f>结果表!A124</f>
        <v/>
      </c>
      <c r="B10" s="3508"/>
      <c r="C10" s="3508"/>
      <c r="D10" s="3508" t="str">
        <f>结果表!D124</f>
        <v>——</v>
      </c>
      <c r="E10" s="3508"/>
      <c r="F10" s="3508"/>
      <c r="G10" s="3508"/>
      <c r="H10" s="3508"/>
      <c r="I10" s="3508"/>
    </row>
    <row r="11" spans="1:9" ht="15">
      <c r="A11" s="3509" t="s">
        <v>927</v>
      </c>
      <c r="B11" s="3509"/>
      <c r="C11" s="3509"/>
      <c r="D11" s="3509" t="e">
        <f>结果表!D125</f>
        <v>#VALUE!</v>
      </c>
      <c r="E11" s="3509"/>
      <c r="F11" s="3509"/>
      <c r="G11" s="3509"/>
      <c r="H11" s="3509"/>
      <c r="I11" s="3509"/>
    </row>
    <row r="12" spans="1:9" ht="15.75">
      <c r="A12" s="3508" t="str">
        <f>结果表!A126</f>
        <v/>
      </c>
      <c r="B12" s="3508"/>
      <c r="C12" s="3508"/>
      <c r="D12" s="3508" t="str">
        <f>结果表!D126</f>
        <v>——</v>
      </c>
      <c r="E12" s="3508"/>
      <c r="F12" s="3508"/>
      <c r="G12" s="3508"/>
      <c r="H12" s="3508"/>
      <c r="I12" s="3508"/>
    </row>
    <row r="13" spans="1:9" ht="15.75" thickBot="1">
      <c r="A13" s="3506" t="s">
        <v>927</v>
      </c>
      <c r="B13" s="3506"/>
      <c r="C13" s="3506"/>
      <c r="D13" s="3506" t="e">
        <f>结果表!D127</f>
        <v>#VALUE!</v>
      </c>
      <c r="E13" s="3506"/>
      <c r="F13" s="3506"/>
      <c r="G13" s="3506"/>
      <c r="H13" s="3506"/>
      <c r="I13" s="3506"/>
    </row>
    <row r="14" spans="1:9" ht="15" thickTop="1">
      <c r="A14" s="3507" t="s">
        <v>932</v>
      </c>
      <c r="B14" s="3507"/>
      <c r="C14" s="3507"/>
      <c r="D14" s="3507"/>
      <c r="E14" s="3507"/>
      <c r="F14" s="3507"/>
      <c r="G14" s="3507"/>
      <c r="H14" s="3507"/>
      <c r="I14" s="350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32" t="s">
        <v>452</v>
      </c>
      <c r="C1" s="3832"/>
      <c r="D1" s="3832"/>
      <c r="E1" s="3832"/>
      <c r="F1" s="3832"/>
      <c r="G1" s="3831" t="s">
        <v>453</v>
      </c>
      <c r="H1" s="3831"/>
      <c r="I1" s="3831"/>
      <c r="J1" s="3831"/>
      <c r="K1" s="3831"/>
      <c r="L1" s="3831"/>
      <c r="N1" s="3831" t="s">
        <v>454</v>
      </c>
      <c r="O1" s="3831"/>
      <c r="P1" s="3831"/>
      <c r="Q1" s="3831"/>
      <c r="S1" s="3831" t="s">
        <v>455</v>
      </c>
      <c r="T1" s="3831"/>
      <c r="U1" s="3831"/>
      <c r="V1" s="3831"/>
      <c r="X1" s="3830" t="s">
        <v>456</v>
      </c>
      <c r="Y1" s="3831"/>
      <c r="Z1" s="3831"/>
      <c r="AA1" s="3831"/>
      <c r="AB1" s="3831"/>
      <c r="AD1" s="3830" t="s">
        <v>457</v>
      </c>
      <c r="AE1" s="3831"/>
      <c r="AF1" s="3831"/>
      <c r="AG1" s="3831"/>
      <c r="AH1" s="383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2111</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2112</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2437</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2314</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2313</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2312</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2309</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2308</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2127</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2125</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2124</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2123</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2121</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2120</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2122</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2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2118</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2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2117</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2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2110</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3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2108</v>
      </c>
      <c r="B25" s="2219">
        <v>439</v>
      </c>
      <c r="C25" s="2219">
        <v>327</v>
      </c>
      <c r="D25" s="2219">
        <f>C25</f>
        <v>327</v>
      </c>
      <c r="E25" s="2219">
        <v>627</v>
      </c>
      <c r="F25" s="2220">
        <v>283</v>
      </c>
      <c r="G25" s="383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2109</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2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2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3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2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2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2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2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2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2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2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2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3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3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3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2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2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2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2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2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2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2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2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2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2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2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2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2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2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2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2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2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2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2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2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2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2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2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2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2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2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2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2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2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2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2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2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2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2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2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2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2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2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2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2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2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2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2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2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45449</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2310</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21" t="s">
        <v>949</v>
      </c>
      <c r="B1" s="3521"/>
      <c r="C1" s="3521"/>
      <c r="D1" s="3521"/>
    </row>
    <row r="2" spans="1:4" ht="18">
      <c r="A2" s="3522" t="s">
        <v>933</v>
      </c>
      <c r="B2" s="3522"/>
      <c r="C2" s="3522"/>
      <c r="D2" s="3522"/>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22" t="s">
        <v>939</v>
      </c>
      <c r="B6" s="3522"/>
      <c r="C6" s="3522"/>
      <c r="D6" s="3522"/>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23" t="s">
        <v>942</v>
      </c>
      <c r="B11" s="3515"/>
      <c r="C11" s="3515"/>
      <c r="D11" s="3515"/>
    </row>
    <row r="12" spans="1:4" ht="15.75">
      <c r="A12" s="35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0"/>
      <c r="C12" s="3520"/>
      <c r="D12" s="3520"/>
    </row>
    <row r="13" spans="1:4" ht="30" customHeight="1">
      <c r="A13" s="35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0"/>
      <c r="C13" s="3520"/>
      <c r="D13" s="3520"/>
    </row>
    <row r="14" spans="1:4" ht="15.75" customHeight="1">
      <c r="A14" s="3515" t="str">
        <f>IF(项目基本情况!B8="抵押","4.本次评估估价师所知悉的法定优先受偿款情况说明如下：","——")</f>
        <v>4.本次评估估价师所知悉的法定优先受偿款情况说明如下：</v>
      </c>
      <c r="B14" s="3520"/>
      <c r="C14" s="3520"/>
      <c r="D14" s="3520"/>
    </row>
    <row r="15" spans="1:4" ht="42" customHeight="1">
      <c r="A15" s="35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5"/>
      <c r="C15" s="3515"/>
      <c r="D15" s="3515"/>
    </row>
    <row r="16" spans="1:4" ht="30" customHeight="1">
      <c r="A16" s="3517" t="s">
        <v>943</v>
      </c>
      <c r="B16" s="3517"/>
      <c r="C16" s="3517"/>
      <c r="D16" s="3517"/>
    </row>
    <row r="17" spans="1:4" ht="144" customHeight="1">
      <c r="A17" s="3517" t="s">
        <v>944</v>
      </c>
      <c r="B17" s="3517"/>
      <c r="C17" s="3517"/>
      <c r="D17" s="3517"/>
    </row>
    <row r="18" spans="1:4" ht="15.75" customHeight="1">
      <c r="A18" s="3515" t="str">
        <f>IF(项目基本情况!B8="抵押",结果表!K120,"——")</f>
        <v>故，本次评估不存在估价师知悉的法定优先受偿款</v>
      </c>
      <c r="B18" s="3515"/>
      <c r="C18" s="3515"/>
      <c r="D18" s="3515"/>
    </row>
    <row r="19" spans="1:4" ht="46.5" customHeight="1">
      <c r="A19" s="35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5"/>
      <c r="C19" s="3515"/>
      <c r="D19" s="3515"/>
    </row>
    <row r="20" spans="1:4" ht="57.75" customHeight="1">
      <c r="A20" s="35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5"/>
      <c r="C20" s="3515"/>
      <c r="D20" s="3515"/>
    </row>
    <row r="21" spans="1:4" ht="57.75" customHeight="1">
      <c r="A21" s="35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8"/>
      <c r="C21" s="3518"/>
      <c r="D21" s="3518"/>
    </row>
    <row r="22" spans="1:4" ht="18.75" customHeight="1">
      <c r="A22" s="3519" t="s">
        <v>945</v>
      </c>
      <c r="B22" s="3519"/>
      <c r="C22" s="3519"/>
      <c r="D22" s="351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6">
        <v>42551</v>
      </c>
      <c r="D31" s="35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9" t="s">
        <v>956</v>
      </c>
      <c r="B15" s="3524" t="s">
        <v>109</v>
      </c>
      <c r="C15" s="3525"/>
    </row>
    <row r="16" spans="1:7" ht="13.5">
      <c r="A16" s="3530"/>
      <c r="B16" s="3524" t="s">
        <v>42</v>
      </c>
      <c r="C16" s="3525"/>
    </row>
    <row r="17" spans="1:3" ht="13.5">
      <c r="A17" s="3530"/>
      <c r="B17" s="3527" t="s">
        <v>957</v>
      </c>
      <c r="C17" s="1531" t="s">
        <v>956</v>
      </c>
    </row>
    <row r="18" spans="1:3" ht="13.5">
      <c r="A18" s="3530"/>
      <c r="B18" s="3527"/>
      <c r="C18" s="1531" t="s">
        <v>958</v>
      </c>
    </row>
    <row r="19" spans="1:3" ht="13.5">
      <c r="A19" s="3530"/>
      <c r="B19" s="3527"/>
      <c r="C19" s="1531" t="s">
        <v>959</v>
      </c>
    </row>
    <row r="20" spans="1:3" ht="13.5">
      <c r="A20" s="3531"/>
      <c r="B20" s="3526" t="s">
        <v>960</v>
      </c>
      <c r="C20" s="3525"/>
    </row>
    <row r="21" spans="1:3" ht="13.5">
      <c r="A21" s="1532" t="s">
        <v>961</v>
      </c>
      <c r="B21" s="1533"/>
      <c r="C21" s="1534"/>
    </row>
    <row r="22" spans="1:3" ht="13.5">
      <c r="A22" s="3528" t="s">
        <v>962</v>
      </c>
      <c r="B22" s="3526" t="s">
        <v>963</v>
      </c>
      <c r="C22" s="3525"/>
    </row>
    <row r="23" spans="1:3" ht="13.5">
      <c r="A23" s="3528"/>
      <c r="B23" s="3526" t="s">
        <v>964</v>
      </c>
      <c r="C23" s="3525"/>
    </row>
    <row r="24" spans="1:3" ht="13.5">
      <c r="A24" s="3528"/>
      <c r="B24" s="3526" t="s">
        <v>965</v>
      </c>
      <c r="C24" s="3525"/>
    </row>
    <row r="25" spans="1:3" ht="13.5">
      <c r="A25" s="3528"/>
      <c r="B25" s="3527" t="s">
        <v>966</v>
      </c>
      <c r="C25" s="1531" t="s">
        <v>967</v>
      </c>
    </row>
    <row r="26" spans="1:3" ht="13.5">
      <c r="A26" s="3528"/>
      <c r="B26" s="3527"/>
      <c r="C26" s="1531" t="s">
        <v>968</v>
      </c>
    </row>
    <row r="27" spans="1:3" ht="13.5">
      <c r="A27" s="3528"/>
      <c r="B27" s="3527"/>
      <c r="C27" s="1531" t="s">
        <v>969</v>
      </c>
    </row>
    <row r="28" spans="1:3" ht="13.5">
      <c r="A28" s="3528"/>
      <c r="B28" s="3527"/>
      <c r="C28" s="1531" t="s">
        <v>970</v>
      </c>
    </row>
    <row r="29" spans="1:3" ht="13.5">
      <c r="A29" s="3528"/>
      <c r="B29" s="3527"/>
      <c r="C29" s="1531" t="s">
        <v>971</v>
      </c>
    </row>
    <row r="30" spans="1:3" ht="13.5">
      <c r="A30" s="3528"/>
      <c r="B30" s="3527"/>
      <c r="C30" s="1531" t="s">
        <v>972</v>
      </c>
    </row>
    <row r="31" spans="1:3" ht="13.5">
      <c r="A31" s="3528"/>
      <c r="B31" s="3527"/>
      <c r="C31" s="1531" t="s">
        <v>973</v>
      </c>
    </row>
    <row r="32" spans="1:3" ht="13.5">
      <c r="A32" s="3528"/>
      <c r="B32" s="3527"/>
      <c r="C32" s="1531" t="s">
        <v>974</v>
      </c>
    </row>
    <row r="33" spans="1:3" ht="13.5">
      <c r="A33" s="3528"/>
      <c r="B33" s="352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2136</v>
      </c>
      <c r="B2" s="2338">
        <f ca="1">TODAY()</f>
        <v>45454</v>
      </c>
      <c r="C2" s="2339" t="s">
        <v>2137</v>
      </c>
      <c r="D2" s="2339"/>
      <c r="E2" s="2339"/>
      <c r="F2" s="2335"/>
      <c r="G2" s="2335"/>
      <c r="H2" s="2335"/>
    </row>
    <row r="3" spans="1:8" ht="24" customHeight="1">
      <c r="A3" s="2340" t="s">
        <v>2138</v>
      </c>
      <c r="B3" s="2341" t="s">
        <v>2139</v>
      </c>
      <c r="C3" s="2341" t="s">
        <v>2140</v>
      </c>
      <c r="D3" s="2342" t="s">
        <v>2141</v>
      </c>
      <c r="E3" s="2343" t="s">
        <v>2142</v>
      </c>
      <c r="F3" s="1303" t="s">
        <v>2143</v>
      </c>
      <c r="G3" s="2341" t="s">
        <v>2140</v>
      </c>
      <c r="H3" s="2342" t="s">
        <v>2144</v>
      </c>
    </row>
    <row r="4" spans="1:8" ht="24" customHeight="1">
      <c r="A4" s="1303" t="s">
        <v>2145</v>
      </c>
      <c r="B4" s="1303">
        <f ca="1">IF(C4&lt;B2,"已过期",1119970066)</f>
        <v>1119970066</v>
      </c>
      <c r="C4" s="2344">
        <v>45937</v>
      </c>
      <c r="D4" s="2345" t="str">
        <f ca="1">A4&amp;"（注册号："&amp;B4&amp;"）"</f>
        <v>梁津（注册号：1119970066）</v>
      </c>
      <c r="E4" s="2346" t="s">
        <v>2145</v>
      </c>
      <c r="F4" s="1303">
        <f ca="1">IF(G4&lt;B2,"已过期",96010014)</f>
        <v>96010014</v>
      </c>
      <c r="G4" s="2347">
        <v>47118</v>
      </c>
      <c r="H4" s="2348" t="str">
        <f ca="1">E4&amp;"（注册号："&amp;F4&amp;"）"</f>
        <v>梁津（注册号：96010014）</v>
      </c>
    </row>
    <row r="5" spans="1:8" ht="24" customHeight="1">
      <c r="A5" s="1303" t="s">
        <v>2146</v>
      </c>
      <c r="B5" s="1303">
        <f ca="1">IF(C5&lt;B2,"已过期",1119970111)</f>
        <v>1119970111</v>
      </c>
      <c r="C5" s="2344">
        <v>45937</v>
      </c>
      <c r="D5" s="2345" t="str">
        <f t="shared" ref="D5:D15" ca="1" si="0">A5&amp;"（注册号："&amp;B5&amp;"）"</f>
        <v>叶凌（注册号：1119970111）</v>
      </c>
      <c r="E5" s="2346" t="s">
        <v>2146</v>
      </c>
      <c r="F5" s="1303">
        <f ca="1">IF(G5&lt;B2,"已过期",94010078)</f>
        <v>94010078</v>
      </c>
      <c r="G5" s="2347">
        <v>46387</v>
      </c>
      <c r="H5" s="2348" t="str">
        <f t="shared" ref="H5:H16" ca="1" si="1">E5&amp;"（注册号："&amp;F5&amp;"）"</f>
        <v>叶凌（注册号：94010078）</v>
      </c>
    </row>
    <row r="6" spans="1:8" ht="24" customHeight="1">
      <c r="A6" s="1303" t="s">
        <v>2147</v>
      </c>
      <c r="B6" s="1303" t="str">
        <f ca="1">IF(C6&lt;B2,"已过期",1120050019)</f>
        <v>已过期</v>
      </c>
      <c r="C6" s="2344">
        <v>45410</v>
      </c>
      <c r="D6" s="2345" t="str">
        <f t="shared" ca="1" si="0"/>
        <v>王鹏（注册号：已过期）</v>
      </c>
      <c r="E6" s="2346" t="s">
        <v>2147</v>
      </c>
      <c r="F6" s="1303">
        <f ca="1">IF(G6&lt;B2,"已过期",2002110030)</f>
        <v>2002110030</v>
      </c>
      <c r="G6" s="2347">
        <v>46387</v>
      </c>
      <c r="H6" s="2348" t="str">
        <f t="shared" ca="1" si="1"/>
        <v>王鹏（注册号：2002110030）</v>
      </c>
    </row>
    <row r="7" spans="1:8" ht="24" customHeight="1">
      <c r="A7" s="1303" t="s">
        <v>2148</v>
      </c>
      <c r="B7" s="1303">
        <f ca="1">IF(C7&lt;B2,"已过期",1120000080)</f>
        <v>1120000080</v>
      </c>
      <c r="C7" s="2344">
        <v>45937</v>
      </c>
      <c r="D7" s="2345" t="str">
        <f t="shared" ca="1" si="0"/>
        <v>欧红伟（注册号：1120000080）</v>
      </c>
      <c r="E7" s="2346" t="s">
        <v>2148</v>
      </c>
      <c r="F7" s="1303">
        <f ca="1">IF(G7&lt;B2,"已过期",2000110082)</f>
        <v>2000110082</v>
      </c>
      <c r="G7" s="2347">
        <v>46387</v>
      </c>
      <c r="H7" s="2348" t="str">
        <f t="shared" ca="1" si="1"/>
        <v>欧红伟（注册号：2000110082）</v>
      </c>
    </row>
    <row r="8" spans="1:8" ht="24" customHeight="1">
      <c r="A8" s="1303" t="s">
        <v>2149</v>
      </c>
      <c r="B8" s="1303">
        <f ca="1">IF(C8&lt;B2,"已过期",1419970001)</f>
        <v>1419970001</v>
      </c>
      <c r="C8" s="2344">
        <v>45937</v>
      </c>
      <c r="D8" s="2345" t="str">
        <f t="shared" ca="1" si="0"/>
        <v>吴薇（注册号：1419970001）</v>
      </c>
      <c r="E8" s="2346" t="s">
        <v>2149</v>
      </c>
      <c r="F8" s="1303">
        <f ca="1">IF(G8&lt;B2,"已过期",2002110125)</f>
        <v>2002110125</v>
      </c>
      <c r="G8" s="2347">
        <v>47118</v>
      </c>
      <c r="H8" s="2348" t="str">
        <f t="shared" ca="1" si="1"/>
        <v>吴薇（注册号：2002110125）</v>
      </c>
    </row>
    <row r="9" spans="1:8" ht="24" customHeight="1">
      <c r="A9" s="1303" t="s">
        <v>2150</v>
      </c>
      <c r="B9" s="1303">
        <f ca="1">IF(C9&lt;B2,"已过期",1120060040)</f>
        <v>1120060040</v>
      </c>
      <c r="C9" s="2349">
        <v>45592</v>
      </c>
      <c r="D9" s="2345" t="str">
        <f t="shared" ca="1" si="0"/>
        <v>陈颖（注册号：1120060040）</v>
      </c>
      <c r="E9" s="2346" t="s">
        <v>2150</v>
      </c>
      <c r="F9" s="1303">
        <f ca="1">IF(G9&lt;B2,"已过期",2004110096)</f>
        <v>2004110096</v>
      </c>
      <c r="G9" s="2347">
        <v>47118</v>
      </c>
      <c r="H9" s="2348" t="str">
        <f t="shared" ca="1" si="1"/>
        <v>陈颖（注册号：2004110096）</v>
      </c>
    </row>
    <row r="10" spans="1:8" ht="24" customHeight="1">
      <c r="A10" s="1303" t="s">
        <v>2151</v>
      </c>
      <c r="B10" s="1303">
        <f ca="1">IF(C10&lt;B2,"已过期",1120100036)</f>
        <v>1120100036</v>
      </c>
      <c r="C10" s="2349">
        <v>45752</v>
      </c>
      <c r="D10" s="2345" t="str">
        <f t="shared" ca="1" si="0"/>
        <v>崔锴（注册号：1120100036）</v>
      </c>
      <c r="E10" s="2346" t="s">
        <v>2151</v>
      </c>
      <c r="F10" s="1303">
        <f ca="1">IF(G10&lt;B2,"已过期",2010110070)</f>
        <v>2010110070</v>
      </c>
      <c r="G10" s="2347">
        <v>47907</v>
      </c>
      <c r="H10" s="2348" t="str">
        <f t="shared" ca="1" si="1"/>
        <v>崔锴（注册号：2010110070）</v>
      </c>
    </row>
    <row r="11" spans="1:8" ht="24" customHeight="1">
      <c r="A11" s="1303" t="s">
        <v>2152</v>
      </c>
      <c r="B11" s="1303">
        <f ca="1">IF(C11&lt;B2,"已过期",1120070131)</f>
        <v>1120070131</v>
      </c>
      <c r="C11" s="2344">
        <v>45937</v>
      </c>
      <c r="D11" s="2345" t="str">
        <f t="shared" ca="1" si="0"/>
        <v>郑燚（注册号：1120070131）</v>
      </c>
      <c r="E11" s="2346" t="s">
        <v>2152</v>
      </c>
      <c r="F11" s="1303">
        <f ca="1">IF(G11&lt;B2,"已过期",2014110011)</f>
        <v>2014110011</v>
      </c>
      <c r="G11" s="2347">
        <v>49302</v>
      </c>
      <c r="H11" s="2348" t="str">
        <f t="shared" ca="1" si="1"/>
        <v>郑燚（注册号：2014110011）</v>
      </c>
    </row>
    <row r="12" spans="1:8" ht="24" customHeight="1">
      <c r="A12" s="1303" t="s">
        <v>2153</v>
      </c>
      <c r="B12" s="1303">
        <f ca="1">IF(C12&lt;B2,"已过期",1120040230)</f>
        <v>1120040230</v>
      </c>
      <c r="C12" s="2349">
        <v>45937</v>
      </c>
      <c r="D12" s="2345" t="str">
        <f t="shared" ca="1" si="0"/>
        <v>苏海（注册号：1120040230）</v>
      </c>
      <c r="E12" s="2346" t="s">
        <v>2153</v>
      </c>
      <c r="F12" s="1303">
        <f ca="1">IF(G12&lt;B2,"已过期",98030020)</f>
        <v>98030020</v>
      </c>
      <c r="G12" s="2347">
        <v>47118</v>
      </c>
      <c r="H12" s="2348" t="str">
        <f t="shared" ca="1" si="1"/>
        <v>苏海（注册号：98030020）</v>
      </c>
    </row>
    <row r="13" spans="1:8" ht="24" customHeight="1">
      <c r="A13" s="1303" t="s">
        <v>2154</v>
      </c>
      <c r="B13" s="1303" t="str">
        <f ca="1">IF(C13&lt;B2,"已过期",1120020033)</f>
        <v>已过期</v>
      </c>
      <c r="C13" s="2344">
        <v>45375</v>
      </c>
      <c r="D13" s="2345" t="str">
        <f t="shared" ca="1" si="0"/>
        <v>刘敬东（注册号：已过期）</v>
      </c>
      <c r="E13" s="2346" t="s">
        <v>2154</v>
      </c>
      <c r="F13" s="1303">
        <f ca="1">IF(G13&lt;B2,"已过期",2000110137)</f>
        <v>2000110137</v>
      </c>
      <c r="G13" s="2347">
        <v>46387</v>
      </c>
      <c r="H13" s="2348" t="str">
        <f t="shared" ca="1" si="1"/>
        <v>刘敬东（注册号：2000110137）</v>
      </c>
    </row>
    <row r="14" spans="1:8" ht="24" customHeight="1">
      <c r="A14" s="1303" t="s">
        <v>2155</v>
      </c>
      <c r="B14" s="1303" t="str">
        <f ca="1">IF(C14&lt;B2,"已过期",1119980106)</f>
        <v>已过期</v>
      </c>
      <c r="C14" s="2349">
        <v>44969</v>
      </c>
      <c r="D14" s="2345" t="str">
        <f t="shared" ca="1" si="0"/>
        <v>刘俊财（注册号：已过期）</v>
      </c>
      <c r="E14" s="2346" t="s">
        <v>2155</v>
      </c>
      <c r="F14" s="1303">
        <f ca="1">IF(G14&lt;B2,"已过期",96010063)</f>
        <v>96010063</v>
      </c>
      <c r="G14" s="2347">
        <v>47483</v>
      </c>
      <c r="H14" s="2348" t="str">
        <f t="shared" ca="1" si="1"/>
        <v>刘俊财（注册号：96010063）</v>
      </c>
    </row>
    <row r="15" spans="1:8" ht="24" customHeight="1">
      <c r="A15" s="1303" t="s">
        <v>2438</v>
      </c>
      <c r="B15" s="1303">
        <v>1120210056</v>
      </c>
      <c r="C15" s="2349">
        <v>45410</v>
      </c>
      <c r="D15" s="2345" t="str">
        <f t="shared" si="0"/>
        <v>宁小鳗（注册号：1120210056）</v>
      </c>
      <c r="E15" s="2346" t="s">
        <v>2156</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2" t="s">
        <v>2157</v>
      </c>
      <c r="B17" s="3532"/>
      <c r="C17" s="3532"/>
      <c r="D17" s="3532"/>
      <c r="E17" s="3532"/>
      <c r="F17" s="3532"/>
      <c r="G17" s="3532"/>
      <c r="H17" s="3532"/>
    </row>
    <row r="18" spans="1:8" ht="24" customHeight="1">
      <c r="A18" s="3533" t="s">
        <v>2158</v>
      </c>
      <c r="B18" s="3533"/>
      <c r="C18" s="3533"/>
      <c r="D18" s="2342"/>
      <c r="E18" s="3534" t="s">
        <v>2159</v>
      </c>
      <c r="F18" s="3533"/>
      <c r="G18" s="3533"/>
    </row>
    <row r="19" spans="1:8" s="2353" customFormat="1" ht="24" customHeight="1">
      <c r="A19" s="2352" t="s">
        <v>2160</v>
      </c>
      <c r="B19" s="2341" t="s">
        <v>2161</v>
      </c>
      <c r="C19" s="2341" t="s">
        <v>2140</v>
      </c>
      <c r="D19" s="2342"/>
      <c r="E19" s="2346" t="s">
        <v>2160</v>
      </c>
      <c r="F19" s="2341" t="s">
        <v>2161</v>
      </c>
      <c r="G19" s="2341" t="s">
        <v>2140</v>
      </c>
    </row>
    <row r="20" spans="1:8" s="2353" customFormat="1" ht="24" customHeight="1">
      <c r="A20" s="2354" t="s">
        <v>2162</v>
      </c>
      <c r="B20" s="2354" t="s">
        <v>2163</v>
      </c>
      <c r="C20" s="2347">
        <v>45898</v>
      </c>
      <c r="D20" s="2355"/>
      <c r="E20" s="2356" t="s">
        <v>2164</v>
      </c>
      <c r="F20" s="2359" t="s">
        <v>2439</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收益法-2号楼</vt:lpstr>
      <vt:lpstr>比较法-商业</vt:lpstr>
      <vt:lpstr>成本法 (元)</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案例信息</vt:lpstr>
      <vt:lpstr>结果表-6号楼</vt:lpstr>
      <vt:lpstr>成本法-6号楼</vt:lpstr>
      <vt:lpstr>收益法-6号楼</vt:lpstr>
      <vt:lpstr>基准地价修正 (2)</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'结果表-6号楼'!Print_Area</vt:lpstr>
      <vt:lpstr>'收益法 (元)'!Print_Area</vt:lpstr>
      <vt:lpstr>'收益法（汇总）'!Print_Area</vt:lpstr>
      <vt:lpstr>'收益法-2号楼'!Print_Area</vt:lpstr>
      <vt:lpstr>'收益法-6号楼'!Print_Area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2024-06-11T07:04:27Z</dcterms:modified>
</cp:coreProperties>
</file>