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E105" i="34"/>
  <c r="F105" i="34"/>
  <c r="D105" i="34"/>
  <c r="G19" i="6"/>
  <c r="K13" i="3"/>
  <c r="I13" i="3"/>
  <c r="N6" i="1"/>
  <c r="G7" i="34" l="1"/>
  <c r="I7" i="34" s="1"/>
  <c r="E7" i="34"/>
  <c r="G23" i="4"/>
  <c r="U3" i="43" l="1"/>
  <c r="U2" i="43"/>
  <c r="J49" i="82" l="1"/>
  <c r="A126" i="85" l="1"/>
  <c r="A120" i="85"/>
  <c r="A118" i="85"/>
  <c r="H112" i="85"/>
  <c r="H111" i="85"/>
  <c r="D126" i="85" s="1"/>
  <c r="D127" i="85" s="1"/>
  <c r="E111" i="85"/>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D73" i="84"/>
  <c r="B73" i="84"/>
  <c r="M72" i="84"/>
  <c r="N72" i="84" s="1"/>
  <c r="K72" i="84"/>
  <c r="J72" i="84" s="1"/>
  <c r="F72" i="84"/>
  <c r="H73" i="84" s="1"/>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K21"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S3" i="84" s="1"/>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Q58" i="82"/>
  <c r="Q51" i="82"/>
  <c r="J50" i="82"/>
  <c r="M47" i="82"/>
  <c r="D46" i="82"/>
  <c r="F33" i="82"/>
  <c r="F61" i="82" s="1"/>
  <c r="F32" i="82"/>
  <c r="F28" i="82"/>
  <c r="F23" i="82"/>
  <c r="D24" i="82" s="1"/>
  <c r="D23" i="82"/>
  <c r="D22" i="82"/>
  <c r="F21" i="82"/>
  <c r="F20" i="82"/>
  <c r="M19" i="82"/>
  <c r="M18" i="82"/>
  <c r="F18" i="82"/>
  <c r="F17" i="82"/>
  <c r="F15" i="82"/>
  <c r="D33" i="84"/>
  <c r="D37" i="84"/>
  <c r="H37" i="84" s="1"/>
  <c r="U19" i="1"/>
  <c r="E2" i="83"/>
  <c r="M1" i="84" l="1"/>
  <c r="M6" i="84"/>
  <c r="M10" i="84"/>
  <c r="N9" i="84"/>
  <c r="N2" i="84"/>
  <c r="S5" i="84"/>
  <c r="O21" i="84"/>
  <c r="N4" i="84"/>
  <c r="C6" i="83"/>
  <c r="J26" i="84"/>
  <c r="E26"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26" i="84" l="1"/>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G22" i="4"/>
  <c r="E50" i="84" l="1"/>
  <c r="B48" i="84" s="1"/>
  <c r="C28" i="84" s="1"/>
  <c r="E104" i="33"/>
  <c r="F104" i="33"/>
  <c r="G104" i="33"/>
  <c r="D104" i="33"/>
  <c r="J52" i="67" l="1"/>
  <c r="G89" i="33"/>
  <c r="E89" i="33"/>
  <c r="F89" i="33"/>
  <c r="D89" i="33"/>
  <c r="O19" i="1"/>
  <c r="J49" i="67"/>
  <c r="N18" i="1" l="1"/>
  <c r="I7" i="79"/>
  <c r="N20" i="1" l="1"/>
  <c r="C37" i="34" s="1"/>
  <c r="I29" i="79"/>
  <c r="I28" i="79"/>
  <c r="N28" i="79"/>
  <c r="M28" i="79"/>
  <c r="P28" i="79" s="1"/>
  <c r="L28" i="79"/>
  <c r="N29" i="79"/>
  <c r="M29" i="79"/>
  <c r="L29" i="79"/>
  <c r="P6" i="79"/>
  <c r="O6" i="79"/>
  <c r="N6" i="79"/>
  <c r="M6" i="79"/>
  <c r="L6" i="79"/>
  <c r="K6" i="79"/>
  <c r="O7" i="79"/>
  <c r="N7" i="79"/>
  <c r="M7" i="79"/>
  <c r="P7" i="79" s="1"/>
  <c r="L7" i="79"/>
  <c r="K7" i="79"/>
  <c r="I37" i="34" l="1"/>
  <c r="G37" i="34"/>
  <c r="E37" i="34"/>
  <c r="Y6" i="1"/>
  <c r="C36" i="33"/>
  <c r="E36" i="33" s="1"/>
  <c r="G36" i="33" s="1"/>
  <c r="I36" i="33" s="1"/>
  <c r="P29"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18" i="36"/>
  <c r="U18" i="36"/>
  <c r="H25" i="40"/>
  <c r="AB25" i="40" s="1"/>
  <c r="J25" i="40"/>
  <c r="AC25" i="40" s="1"/>
  <c r="H29" i="39"/>
  <c r="AB29" i="39" s="1"/>
  <c r="J29" i="39"/>
  <c r="AC29" i="39" s="1"/>
  <c r="G66" i="36"/>
  <c r="J18" i="36"/>
  <c r="F68" i="35"/>
  <c r="H18" i="35"/>
  <c r="S18" i="35"/>
  <c r="G68" i="35"/>
  <c r="J18" i="35"/>
  <c r="F77" i="37"/>
  <c r="H21" i="37"/>
  <c r="F21" i="37"/>
  <c r="F84" i="34"/>
  <c r="H21" i="34"/>
  <c r="AB21" i="34" s="1"/>
  <c r="F83" i="33"/>
  <c r="G83" i="33" s="1"/>
  <c r="H21" i="33"/>
  <c r="U21" i="33" s="1"/>
  <c r="F21" i="33"/>
  <c r="S21" i="33" s="1"/>
  <c r="E83" i="21"/>
  <c r="S21" i="21"/>
  <c r="H1" i="69"/>
  <c r="U29" i="39"/>
  <c r="W29" i="39"/>
  <c r="AC18" i="36"/>
  <c r="W18" i="36"/>
  <c r="AB21" i="37"/>
  <c r="U21" i="37"/>
  <c r="AA21" i="37"/>
  <c r="S21" i="37"/>
  <c r="AA21" i="33"/>
  <c r="AB18" i="35"/>
  <c r="U18" i="35"/>
  <c r="AC18" i="35"/>
  <c r="W18" i="35"/>
  <c r="G77" i="37"/>
  <c r="J21" i="37"/>
  <c r="G84" i="34"/>
  <c r="J21" i="34"/>
  <c r="AC21" i="34" s="1"/>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G8" i="1" s="1"/>
  <c r="A7" i="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5" s="1"/>
  <c r="B118" i="85"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F19" i="34"/>
  <c r="H17" i="34"/>
  <c r="U17" i="34" s="1"/>
  <c r="F15" i="34"/>
  <c r="J15" i="34"/>
  <c r="W15" i="34" s="1"/>
  <c r="H15" i="34"/>
  <c r="AB15" i="34" s="1"/>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s="1"/>
  <c r="J17" i="34"/>
  <c r="AC17" i="34" s="1"/>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AA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D48" i="9"/>
  <c r="M52" i="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U44" i="34"/>
  <c r="U43" i="34"/>
  <c r="AC39" i="34"/>
  <c r="W41" i="34"/>
  <c r="AC42" i="34"/>
  <c r="AB35" i="34"/>
  <c r="U39" i="34"/>
  <c r="S43" i="34"/>
  <c r="AB41" i="34"/>
  <c r="AA25" i="34"/>
  <c r="U28" i="34"/>
  <c r="S17" i="34"/>
  <c r="AA29"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L17" i="3"/>
  <c r="AZ17" i="3" s="1"/>
  <c r="BL13" i="3"/>
  <c r="J56" i="9"/>
  <c r="J57" i="9" s="1"/>
  <c r="J59" i="9" s="1"/>
  <c r="J61" i="9" s="1"/>
  <c r="A24" i="51"/>
  <c r="B18" i="72" s="1"/>
  <c r="U29" i="34"/>
  <c r="E5" i="6"/>
  <c r="E32" i="6"/>
  <c r="E19" i="69"/>
  <c r="E19" i="68"/>
  <c r="E19" i="11"/>
  <c r="E1" i="73"/>
  <c r="G22" i="69"/>
  <c r="G22" i="68"/>
  <c r="G26" i="12"/>
  <c r="G22" i="11"/>
  <c r="C6" i="43"/>
  <c r="B19" i="53"/>
  <c r="B37" i="72" s="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6" i="73"/>
  <c r="D7" i="73"/>
  <c r="F5" i="73"/>
  <c r="F7" i="73"/>
  <c r="F3" i="73"/>
  <c r="B13" i="76"/>
  <c r="E11" i="76"/>
  <c r="D6" i="73"/>
  <c r="F4" i="73"/>
  <c r="D3" i="73"/>
  <c r="E13" i="76"/>
  <c r="B10" i="76"/>
  <c r="B7" i="76"/>
  <c r="E8" i="76"/>
  <c r="E7" i="76"/>
  <c r="D5" i="73"/>
  <c r="D4" i="73"/>
  <c r="E12" i="76"/>
  <c r="B9" i="76"/>
  <c r="B8" i="76"/>
  <c r="E2" i="69"/>
  <c r="E9" i="76"/>
  <c r="E2" i="68"/>
  <c r="AO13" i="1"/>
  <c r="B12" i="76"/>
  <c r="E10" i="76"/>
  <c r="B11" i="76"/>
  <c r="AB45" i="34" l="1"/>
  <c r="S45" i="34"/>
  <c r="AC45" i="34"/>
  <c r="M20" i="15"/>
  <c r="F34" i="82"/>
  <c r="F62" i="82" s="1"/>
  <c r="M20" i="82"/>
  <c r="AB8" i="34"/>
  <c r="W8" i="34"/>
  <c r="AB33" i="34"/>
  <c r="AC33" i="34"/>
  <c r="U21" i="34"/>
  <c r="W21" i="34"/>
  <c r="S21" i="34"/>
  <c r="AC15" i="34"/>
  <c r="S27" i="34"/>
  <c r="AC27" i="34"/>
  <c r="U27" i="34"/>
  <c r="AA33" i="34"/>
  <c r="D1" i="43"/>
  <c r="B14" i="74"/>
  <c r="F19" i="6"/>
  <c r="C7" i="34"/>
  <c r="C7" i="21"/>
  <c r="J51" i="67"/>
  <c r="B7" i="1"/>
  <c r="E7" i="1" s="1"/>
  <c r="G1" i="83"/>
  <c r="G1" i="82"/>
  <c r="BA14" i="3"/>
  <c r="G29" i="6"/>
  <c r="M7" i="1"/>
  <c r="U21" i="1"/>
  <c r="G7" i="1"/>
  <c r="C7" i="37"/>
  <c r="C52" i="37" s="1"/>
  <c r="D52" i="37" s="1"/>
  <c r="E52" i="37" s="1"/>
  <c r="F52" i="37" s="1"/>
  <c r="G52" i="37" s="1"/>
  <c r="H52" i="37" s="1"/>
  <c r="I52" i="37" s="1"/>
  <c r="J52" i="37" s="1"/>
  <c r="K52" i="37" s="1"/>
  <c r="L52" i="37" s="1"/>
  <c r="M52" i="37" s="1"/>
  <c r="N52" i="37" s="1"/>
  <c r="O52" i="37" s="1"/>
  <c r="C7" i="33"/>
  <c r="M47" i="9"/>
  <c r="G23" i="84"/>
  <c r="M47" i="85"/>
  <c r="J51" i="82"/>
  <c r="G23" i="43"/>
  <c r="C23" i="43" s="1"/>
  <c r="C7" i="40"/>
  <c r="C63" i="40" s="1"/>
  <c r="C7" i="39"/>
  <c r="C67" i="39" s="1"/>
  <c r="C69" i="39" s="1"/>
  <c r="C42" i="1"/>
  <c r="C7" i="36"/>
  <c r="C46" i="36" s="1"/>
  <c r="D46" i="36" s="1"/>
  <c r="E46" i="36" s="1"/>
  <c r="F46" i="36" s="1"/>
  <c r="G46" i="36" s="1"/>
  <c r="H46" i="36" s="1"/>
  <c r="I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C28" i="67" s="1"/>
  <c r="G1" i="69"/>
  <c r="G1" i="68"/>
  <c r="G1" i="15"/>
  <c r="B6" i="1"/>
  <c r="E6" i="1" s="1"/>
  <c r="F28" i="6"/>
  <c r="BA15" i="3"/>
  <c r="AZ15" i="3" s="1"/>
  <c r="AZ18" i="3"/>
  <c r="AZ19" i="3"/>
  <c r="BL5" i="3"/>
  <c r="H5" i="3"/>
  <c r="AZ14" i="3"/>
  <c r="F29" i="6"/>
  <c r="F6" i="1"/>
  <c r="S33" i="33"/>
  <c r="H69" i="43"/>
  <c r="E19" i="6"/>
  <c r="E115" i="33"/>
  <c r="F115" i="33" s="1"/>
  <c r="G115" i="33" s="1"/>
  <c r="H115" i="33" s="1"/>
  <c r="I115" i="33" s="1"/>
  <c r="J115" i="33" s="1"/>
  <c r="K115" i="33" s="1"/>
  <c r="L115" i="33" s="1"/>
  <c r="M115" i="33" s="1"/>
  <c r="F27" i="33"/>
  <c r="AA27" i="33" s="1"/>
  <c r="C18" i="9"/>
  <c r="D18" i="9" s="1"/>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K1" i="73"/>
  <c r="B20" i="31"/>
  <c r="B21" i="31" s="1"/>
  <c r="I1" i="73"/>
  <c r="B39" i="1" s="1"/>
  <c r="B13" i="70"/>
  <c r="D9" i="69"/>
  <c r="M9" i="67"/>
  <c r="F9" i="15"/>
  <c r="F42" i="67"/>
  <c r="C76" i="67"/>
  <c r="L47" i="82"/>
  <c r="F6" i="82"/>
  <c r="F38" i="82"/>
  <c r="M23" i="67"/>
  <c r="L48" i="82"/>
  <c r="J15" i="67"/>
  <c r="M9" i="82"/>
  <c r="M28" i="82"/>
  <c r="F13" i="82"/>
  <c r="C76" i="82"/>
  <c r="F6" i="67"/>
  <c r="F36" i="82"/>
  <c r="F27" i="83"/>
  <c r="F16" i="15"/>
  <c r="J15" i="82"/>
  <c r="J15" i="15"/>
  <c r="M22" i="67"/>
  <c r="F37" i="82"/>
  <c r="F9" i="82"/>
  <c r="M6" i="82"/>
  <c r="L47" i="67"/>
  <c r="L48" i="67"/>
  <c r="M8" i="67"/>
  <c r="F13" i="15"/>
  <c r="F8" i="82"/>
  <c r="F36" i="15"/>
  <c r="F37" i="67"/>
  <c r="F26" i="15"/>
  <c r="F43" i="82"/>
  <c r="F6" i="15"/>
  <c r="F42" i="82"/>
  <c r="F42" i="15"/>
  <c r="L48" i="15"/>
  <c r="M27" i="82"/>
  <c r="F8" i="15"/>
  <c r="M26" i="67"/>
  <c r="C76" i="15"/>
  <c r="F13" i="67"/>
  <c r="F38" i="15"/>
  <c r="F9" i="67"/>
  <c r="F7" i="82"/>
  <c r="F40" i="82"/>
  <c r="M8" i="15"/>
  <c r="M26" i="82"/>
  <c r="M28" i="67"/>
  <c r="M23" i="82"/>
  <c r="F16" i="67"/>
  <c r="F26" i="82"/>
  <c r="M26" i="15"/>
  <c r="F26" i="67"/>
  <c r="M22" i="15"/>
  <c r="F36" i="67"/>
  <c r="M24" i="82"/>
  <c r="M22" i="82"/>
  <c r="G1" i="73"/>
  <c r="F16" i="82"/>
  <c r="F40" i="15"/>
  <c r="D9" i="68"/>
  <c r="M28" i="15"/>
  <c r="M24" i="15"/>
  <c r="M8" i="82"/>
  <c r="M6" i="15"/>
  <c r="L47" i="15"/>
  <c r="F37" i="15"/>
  <c r="C36" i="68"/>
  <c r="M24" i="67"/>
  <c r="M6" i="67"/>
  <c r="M9" i="15"/>
  <c r="M23" i="15"/>
  <c r="F38" i="67"/>
  <c r="C36" i="83"/>
  <c r="M29" i="82"/>
  <c r="F8" i="67"/>
  <c r="D9" i="83"/>
  <c r="F40" i="67"/>
  <c r="J34" i="34" l="1"/>
  <c r="H34" i="34"/>
  <c r="F34" i="34"/>
  <c r="J85" i="43"/>
  <c r="Q71" i="82"/>
  <c r="F64" i="82"/>
  <c r="F66" i="82"/>
  <c r="C6" i="82"/>
  <c r="C32" i="82" s="1"/>
  <c r="F31" i="82"/>
  <c r="C27" i="82"/>
  <c r="F51" i="82"/>
  <c r="L58" i="82"/>
  <c r="Q73" i="82" s="1"/>
  <c r="F65" i="82"/>
  <c r="F68" i="82"/>
  <c r="F71" i="82"/>
  <c r="F50" i="82"/>
  <c r="M7" i="82"/>
  <c r="J6" i="82" s="1"/>
  <c r="J18" i="82" s="1"/>
  <c r="L57" i="82"/>
  <c r="C9" i="83"/>
  <c r="C47" i="83"/>
  <c r="D45" i="83" s="1"/>
  <c r="C29" i="83"/>
  <c r="D27" i="83" s="1"/>
  <c r="F45" i="83"/>
  <c r="AZ5" i="3"/>
  <c r="AY6" i="3" s="1"/>
  <c r="E91" i="3"/>
  <c r="G6" i="1"/>
  <c r="I24" i="84"/>
  <c r="C24" i="84" s="1"/>
  <c r="C77" i="85"/>
  <c r="C74" i="85" s="1"/>
  <c r="C28" i="82"/>
  <c r="C48" i="83"/>
  <c r="C30" i="83"/>
  <c r="L59" i="82"/>
  <c r="N59" i="82"/>
  <c r="J53" i="82"/>
  <c r="I54" i="82"/>
  <c r="J57" i="82"/>
  <c r="J55" i="82" s="1"/>
  <c r="J58" i="82" s="1"/>
  <c r="Q50" i="82" s="1"/>
  <c r="M59" i="82"/>
  <c r="P26" i="43"/>
  <c r="O23" i="43"/>
  <c r="L60" i="82"/>
  <c r="P28" i="84"/>
  <c r="M24" i="84"/>
  <c r="O23" i="84"/>
  <c r="C23" i="84"/>
  <c r="P26" i="84"/>
  <c r="P25" i="84"/>
  <c r="P27" i="84"/>
  <c r="P29" i="84"/>
  <c r="L56" i="82"/>
  <c r="M11" i="82"/>
  <c r="J10"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A7" i="36" s="1"/>
  <c r="R36" i="36" s="1"/>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AC7" i="36" s="1"/>
  <c r="V36" i="36" s="1"/>
  <c r="I36" i="36" s="1"/>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E67" i="39"/>
  <c r="F67" i="39" s="1"/>
  <c r="J7" i="34"/>
  <c r="W7" i="34" s="1"/>
  <c r="F7" i="34"/>
  <c r="S7" i="34" s="1"/>
  <c r="AA26" i="35"/>
  <c r="S26" i="35"/>
  <c r="AC26" i="35"/>
  <c r="W26" i="35"/>
  <c r="AB26" i="35"/>
  <c r="U26" i="35"/>
  <c r="C9" i="69"/>
  <c r="C9" i="68"/>
  <c r="E72" i="43"/>
  <c r="B70" i="43" s="1"/>
  <c r="D5" i="43"/>
  <c r="C7" i="43"/>
  <c r="C5" i="43" s="1"/>
  <c r="D10" i="52"/>
  <c r="D125" i="9"/>
  <c r="D11" i="52" s="1"/>
  <c r="B7" i="74"/>
  <c r="H7" i="37"/>
  <c r="AB7" i="37" s="1"/>
  <c r="T42" i="37" s="1"/>
  <c r="G42" i="37" s="1"/>
  <c r="B40" i="1"/>
  <c r="H7" i="33"/>
  <c r="J7" i="33"/>
  <c r="D65" i="40"/>
  <c r="E63" i="40"/>
  <c r="F48" i="35"/>
  <c r="S7" i="36"/>
  <c r="AB7" i="36"/>
  <c r="T36" i="36" s="1"/>
  <c r="G36" i="36" s="1"/>
  <c r="U7" i="36"/>
  <c r="F7" i="33"/>
  <c r="E58" i="21"/>
  <c r="W7" i="36"/>
  <c r="F7" i="37"/>
  <c r="D14" i="71"/>
  <c r="C13" i="71"/>
  <c r="P28" i="43"/>
  <c r="B66" i="40" s="1"/>
  <c r="P25" i="43"/>
  <c r="P29" i="43"/>
  <c r="P27" i="43"/>
  <c r="B70" i="39" s="1"/>
  <c r="M11" i="67"/>
  <c r="J10" i="67" s="1"/>
  <c r="F11" i="15"/>
  <c r="M11" i="15"/>
  <c r="J10" i="15" s="1"/>
  <c r="F11" i="67"/>
  <c r="AE11" i="1"/>
  <c r="AE9" i="1"/>
  <c r="AE8" i="1"/>
  <c r="AE12" i="1"/>
  <c r="AE10" i="1"/>
  <c r="F43" i="67"/>
  <c r="F43" i="15"/>
  <c r="M29" i="15"/>
  <c r="M29" i="67"/>
  <c r="C16" i="82"/>
  <c r="F7" i="67"/>
  <c r="F7" i="15"/>
  <c r="C33" i="82" l="1"/>
  <c r="AA34" i="34"/>
  <c r="S34" i="34"/>
  <c r="AB34" i="34"/>
  <c r="T49" i="34" s="1"/>
  <c r="G49" i="34" s="1"/>
  <c r="G53" i="34" s="1"/>
  <c r="H53" i="34" s="1"/>
  <c r="U34" i="34"/>
  <c r="AC34" i="34"/>
  <c r="W34" i="34"/>
  <c r="E3" i="6"/>
  <c r="F71" i="67"/>
  <c r="M7" i="67"/>
  <c r="J6" i="67" s="1"/>
  <c r="J18" i="67" s="1"/>
  <c r="F31" i="67"/>
  <c r="F50" i="67"/>
  <c r="F59" i="67" s="1"/>
  <c r="C6" i="67"/>
  <c r="C32" i="67" s="1"/>
  <c r="M6" i="1"/>
  <c r="M16" i="1" s="1"/>
  <c r="AC7" i="37"/>
  <c r="V42" i="37" s="1"/>
  <c r="I42" i="37" s="1"/>
  <c r="Q61" i="67"/>
  <c r="F59" i="82"/>
  <c r="M17" i="67"/>
  <c r="Q60" i="82"/>
  <c r="C49" i="82"/>
  <c r="C61" i="82" s="1"/>
  <c r="M17" i="82"/>
  <c r="J5" i="82"/>
  <c r="J26" i="82" s="1"/>
  <c r="J19" i="82"/>
  <c r="F31" i="15"/>
  <c r="T11" i="84"/>
  <c r="V11" i="84" s="1"/>
  <c r="C42" i="84"/>
  <c r="T2" i="84"/>
  <c r="V2" i="84" s="1"/>
  <c r="T3" i="84"/>
  <c r="V3" i="84" s="1"/>
  <c r="T14" i="84"/>
  <c r="V14" i="84" s="1"/>
  <c r="C37" i="84"/>
  <c r="T9" i="84"/>
  <c r="V9" i="84" s="1"/>
  <c r="T10" i="84"/>
  <c r="V10" i="84" s="1"/>
  <c r="C40" i="84"/>
  <c r="T6" i="84"/>
  <c r="V6" i="84" s="1"/>
  <c r="T5" i="84"/>
  <c r="V5" i="84" s="1"/>
  <c r="C39" i="84"/>
  <c r="T13" i="84"/>
  <c r="V13" i="84" s="1"/>
  <c r="T12" i="84"/>
  <c r="V12" i="84" s="1"/>
  <c r="T4" i="84"/>
  <c r="V4" i="84" s="1"/>
  <c r="T15" i="84"/>
  <c r="V15" i="84" s="1"/>
  <c r="C38" i="84"/>
  <c r="T7" i="84"/>
  <c r="V7" i="84" s="1"/>
  <c r="T8" i="84"/>
  <c r="V8" i="84" s="1"/>
  <c r="C41" i="84"/>
  <c r="T16" i="84"/>
  <c r="V16" i="84" s="1"/>
  <c r="C33" i="84"/>
  <c r="Q57" i="82"/>
  <c r="Q66" i="82"/>
  <c r="Q52" i="82"/>
  <c r="F1" i="82"/>
  <c r="Q74" i="82"/>
  <c r="Q61" i="82"/>
  <c r="F22" i="83"/>
  <c r="C26" i="83" s="1"/>
  <c r="D22" i="83" s="1"/>
  <c r="L36" i="84"/>
  <c r="L36" i="43"/>
  <c r="P36" i="43" s="1"/>
  <c r="F24" i="82"/>
  <c r="C53" i="82"/>
  <c r="C10" i="82"/>
  <c r="C5" i="82" s="1"/>
  <c r="G16" i="1"/>
  <c r="F10" i="39" s="1"/>
  <c r="S10" i="39" s="1"/>
  <c r="E27" i="6"/>
  <c r="K26" i="6" s="1"/>
  <c r="M26" i="6" s="1"/>
  <c r="I26" i="6" s="1"/>
  <c r="S26" i="6" s="1"/>
  <c r="E56" i="39"/>
  <c r="K16" i="1"/>
  <c r="B29" i="1" s="1"/>
  <c r="E61" i="39"/>
  <c r="H16" i="1"/>
  <c r="D89" i="43"/>
  <c r="J89" i="43"/>
  <c r="J83" i="43"/>
  <c r="D83" i="43"/>
  <c r="D86" i="43"/>
  <c r="J86" i="43"/>
  <c r="D90" i="43"/>
  <c r="J90" i="43"/>
  <c r="D88" i="43"/>
  <c r="J88" i="43"/>
  <c r="D87" i="43"/>
  <c r="J87" i="43"/>
  <c r="D84" i="43"/>
  <c r="J84" i="43"/>
  <c r="F71" i="15"/>
  <c r="C6" i="15"/>
  <c r="C32" i="15" s="1"/>
  <c r="M7" i="15"/>
  <c r="F50" i="15"/>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U7" i="34"/>
  <c r="AA7" i="34"/>
  <c r="R49" i="34"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C16" i="67"/>
  <c r="C16" i="15"/>
  <c r="AE6" i="1"/>
  <c r="M27" i="67"/>
  <c r="M27" i="15"/>
  <c r="F41" i="82"/>
  <c r="V49" i="34" l="1"/>
  <c r="I49" i="34" s="1"/>
  <c r="G54" i="34" s="1"/>
  <c r="H54" i="34" s="1"/>
  <c r="K21" i="6"/>
  <c r="S8" i="1" s="1"/>
  <c r="E8" i="70" s="1"/>
  <c r="K22" i="6"/>
  <c r="E65" i="39"/>
  <c r="C10" i="67"/>
  <c r="C5" i="67" s="1"/>
  <c r="C38" i="67" s="1"/>
  <c r="J5" i="67"/>
  <c r="J24" i="67" s="1"/>
  <c r="C49" i="67"/>
  <c r="C48" i="67" s="1"/>
  <c r="C66" i="67" s="1"/>
  <c r="O6" i="1"/>
  <c r="O16" i="1" s="1"/>
  <c r="C48" i="82"/>
  <c r="C66" i="82" s="1"/>
  <c r="J24" i="82"/>
  <c r="K24" i="6"/>
  <c r="M24" i="6" s="1"/>
  <c r="I24" i="6" s="1"/>
  <c r="S24" i="6" s="1"/>
  <c r="C49" i="15"/>
  <c r="C48" i="15" s="1"/>
  <c r="C66" i="15" s="1"/>
  <c r="F59" i="15"/>
  <c r="J6" i="15"/>
  <c r="J18" i="15" s="1"/>
  <c r="M17" i="15"/>
  <c r="G41" i="84"/>
  <c r="I41" i="84" s="1"/>
  <c r="E41" i="84"/>
  <c r="E39" i="84"/>
  <c r="G39" i="84"/>
  <c r="I39" i="84" s="1"/>
  <c r="C34" i="84"/>
  <c r="E34" i="84" s="1"/>
  <c r="E33" i="84"/>
  <c r="G37" i="84"/>
  <c r="I37" i="84" s="1"/>
  <c r="E37" i="84"/>
  <c r="G42" i="84"/>
  <c r="I42" i="84" s="1"/>
  <c r="E42" i="84"/>
  <c r="G38" i="84"/>
  <c r="I38" i="84" s="1"/>
  <c r="E38" i="84"/>
  <c r="G40" i="84"/>
  <c r="I40" i="84" s="1"/>
  <c r="E40" i="84"/>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M23" i="6" s="1"/>
  <c r="I23" i="6" s="1"/>
  <c r="S23" i="6" s="1"/>
  <c r="K19" i="6"/>
  <c r="S6" i="1" s="1"/>
  <c r="AR6" i="1" s="1"/>
  <c r="K20" i="6"/>
  <c r="S7" i="1" s="1"/>
  <c r="E31" i="6"/>
  <c r="K25" i="6"/>
  <c r="M25" i="6" s="1"/>
  <c r="I25" i="6" s="1"/>
  <c r="S25" i="6" s="1"/>
  <c r="E83" i="43"/>
  <c r="B81" i="43" s="1"/>
  <c r="C10" i="15"/>
  <c r="C5" i="15" s="1"/>
  <c r="C38" i="15" s="1"/>
  <c r="F27" i="69"/>
  <c r="F27" i="11"/>
  <c r="F28" i="12"/>
  <c r="C29" i="12" s="1"/>
  <c r="D28" i="12" s="1"/>
  <c r="E6" i="3"/>
  <c r="E49" i="34"/>
  <c r="E54" i="34" s="1"/>
  <c r="F54" i="34" s="1"/>
  <c r="E50" i="43"/>
  <c r="B48" i="43" s="1"/>
  <c r="C28" i="43" s="1"/>
  <c r="T10" i="43" s="1"/>
  <c r="V10" i="43" s="1"/>
  <c r="B1" i="74"/>
  <c r="M21" i="6"/>
  <c r="I21" i="6" s="1"/>
  <c r="S21" i="6" s="1"/>
  <c r="S11" i="1"/>
  <c r="E11" i="70" s="1"/>
  <c r="M22" i="6"/>
  <c r="I22" i="6" s="1"/>
  <c r="S22" i="6" s="1"/>
  <c r="S9" i="1"/>
  <c r="T8" i="1"/>
  <c r="AR8" i="1"/>
  <c r="M20" i="6"/>
  <c r="I20" i="6" s="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F50" i="83" s="1"/>
  <c r="L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F27" i="68"/>
  <c r="C17" i="82"/>
  <c r="D10" i="83"/>
  <c r="C14" i="67"/>
  <c r="C17" i="15"/>
  <c r="C17" i="67"/>
  <c r="F41" i="15"/>
  <c r="D10" i="68"/>
  <c r="F41" i="67"/>
  <c r="I53" i="34" l="1"/>
  <c r="J53" i="34" s="1"/>
  <c r="R50" i="34"/>
  <c r="C50" i="34" s="1"/>
  <c r="C60" i="82"/>
  <c r="C60" i="67"/>
  <c r="AQ8" i="1"/>
  <c r="I54" i="34"/>
  <c r="J54" i="34" s="1"/>
  <c r="E53" i="34"/>
  <c r="F53" i="34" s="1"/>
  <c r="F69" i="67"/>
  <c r="J5" i="15"/>
  <c r="J24" i="15" s="1"/>
  <c r="W10" i="40"/>
  <c r="M19" i="6"/>
  <c r="C10" i="83"/>
  <c r="C8" i="83" s="1"/>
  <c r="D19" i="83"/>
  <c r="D37" i="83" s="1"/>
  <c r="C37" i="83" s="1"/>
  <c r="M19" i="85"/>
  <c r="C118" i="85" s="1"/>
  <c r="S20" i="6"/>
  <c r="L18" i="85"/>
  <c r="K27" i="6"/>
  <c r="T6" i="1"/>
  <c r="AB10" i="39"/>
  <c r="E7" i="70"/>
  <c r="C30" i="84"/>
  <c r="B2" i="84" s="1"/>
  <c r="B3" i="84" s="1"/>
  <c r="C31" i="84"/>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M21" i="82"/>
  <c r="C14" i="15"/>
  <c r="C14" i="82"/>
  <c r="C34" i="68"/>
  <c r="C34" i="83"/>
  <c r="F35" i="82"/>
  <c r="C49" i="34" l="1"/>
  <c r="V2" i="43"/>
  <c r="C6" i="69"/>
  <c r="C15" i="82"/>
  <c r="C18" i="82"/>
  <c r="C38" i="83"/>
  <c r="C35" i="83"/>
  <c r="L19" i="85"/>
  <c r="J20" i="82"/>
  <c r="J17" i="82" s="1"/>
  <c r="C34" i="82"/>
  <c r="C31" i="82" s="1"/>
  <c r="F63" i="82"/>
  <c r="C62" i="82" s="1"/>
  <c r="C59" i="82" s="1"/>
  <c r="C31" i="11"/>
  <c r="G42" i="43"/>
  <c r="I42" i="43" s="1"/>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C33" i="83" l="1"/>
  <c r="C39" i="83" s="1"/>
  <c r="C19" i="82"/>
  <c r="C20" i="82" s="1"/>
  <c r="C26" i="82"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42" i="83" l="1"/>
  <c r="C46" i="83"/>
  <c r="C45" i="83" s="1"/>
  <c r="C43" i="83"/>
  <c r="C23" i="82"/>
  <c r="C29"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G52" i="21"/>
  <c r="H52" i="21" s="1"/>
  <c r="F7" i="35"/>
  <c r="M21" i="15"/>
  <c r="F35" i="15"/>
  <c r="M21" i="67"/>
  <c r="F35" i="67"/>
  <c r="C41" i="83" l="1"/>
  <c r="C49" i="83" s="1"/>
  <c r="C51" i="83" s="1"/>
  <c r="Q49" i="82"/>
  <c r="C57" i="82"/>
  <c r="C64" i="82" s="1"/>
  <c r="C36" i="82"/>
  <c r="J14" i="82"/>
  <c r="J59" i="82"/>
  <c r="J60" i="82" s="1"/>
  <c r="C13" i="82"/>
  <c r="C118" i="43"/>
  <c r="D116" i="43" s="1"/>
  <c r="C3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J22" i="82" l="1"/>
  <c r="J13" i="82"/>
  <c r="J23" i="82" s="1"/>
  <c r="Q48" i="82"/>
  <c r="L46" i="82"/>
  <c r="Q70" i="82"/>
  <c r="C75" i="82"/>
  <c r="C37" i="82"/>
  <c r="C30" i="82" s="1"/>
  <c r="C39" i="82" s="1"/>
  <c r="C56" i="82"/>
  <c r="C65" i="82" s="1"/>
  <c r="C58" i="82" s="1"/>
  <c r="C67" i="82" s="1"/>
  <c r="C68" i="82" s="1"/>
  <c r="C7" i="69"/>
  <c r="C5" i="69" s="1"/>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23" i="69" l="1"/>
  <c r="C20" i="69"/>
  <c r="J16" i="82"/>
  <c r="J25" i="82" s="1"/>
  <c r="Q67" i="82"/>
  <c r="C71" i="82"/>
  <c r="C40" i="82"/>
  <c r="Q69" i="82"/>
  <c r="Q68" i="82" s="1"/>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D2" i="33"/>
  <c r="L51" i="67"/>
  <c r="C28" i="69" l="1"/>
  <c r="C27" i="69" s="1"/>
  <c r="C25" i="69"/>
  <c r="C22" i="69" s="1"/>
  <c r="C43" i="82"/>
  <c r="Q47" i="82"/>
  <c r="Q53" i="82" s="1"/>
  <c r="B2" i="82"/>
  <c r="Q65" i="82"/>
  <c r="Q75" i="82" s="1"/>
  <c r="Q56" i="82"/>
  <c r="Q62" i="82" s="1"/>
  <c r="C83" i="82"/>
  <c r="C82" i="82" s="1"/>
  <c r="C46" i="82"/>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B6" i="76"/>
  <c r="D19" i="85"/>
  <c r="D2" i="37"/>
  <c r="D2" i="36"/>
  <c r="L51" i="15"/>
  <c r="D2" i="35"/>
  <c r="D2" i="34"/>
  <c r="C31" i="69" l="1"/>
  <c r="C52" i="69" s="1"/>
  <c r="B2" i="69" s="1"/>
  <c r="B3" i="69" s="1"/>
  <c r="D21" i="85"/>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9" i="1"/>
  <c r="AO7" i="1"/>
  <c r="D20" i="85"/>
  <c r="AO12" i="1"/>
  <c r="AO10" i="1"/>
  <c r="D19" i="9"/>
  <c r="AO11" i="1"/>
  <c r="C57" i="69" l="1"/>
  <c r="C56" i="69" s="1"/>
  <c r="D103" i="85"/>
  <c r="C31" i="83"/>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85"/>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D34" i="85"/>
  <c r="D35" i="85"/>
  <c r="C42" i="40" l="1"/>
  <c r="C43" i="40"/>
  <c r="E47" i="40"/>
  <c r="F47" i="40" s="1"/>
  <c r="E46" i="40"/>
  <c r="F46" i="40" s="1"/>
  <c r="I47" i="40"/>
  <c r="J47" i="40" s="1"/>
  <c r="C20" i="85"/>
  <c r="C103" i="85" l="1"/>
  <c r="G20" i="85"/>
  <c r="C32" i="85" s="1"/>
  <c r="B58" i="40"/>
  <c r="F58" i="40" s="1"/>
  <c r="B54" i="40"/>
  <c r="F54" i="40" s="1"/>
  <c r="B53" i="40"/>
  <c r="F53" i="40" s="1"/>
  <c r="B59" i="40"/>
  <c r="F59" i="40" s="1"/>
  <c r="B52" i="40"/>
  <c r="F52" i="40" s="1"/>
  <c r="B56" i="40"/>
  <c r="F56" i="40" s="1"/>
  <c r="B60" i="40"/>
  <c r="F60" i="40" s="1"/>
  <c r="B57" i="40"/>
  <c r="F57" i="40" s="1"/>
  <c r="B51" i="40"/>
  <c r="F51" i="40" s="1"/>
  <c r="D27" i="85" l="1"/>
  <c r="I118" i="85"/>
  <c r="C35" i="85"/>
  <c r="G118" i="85" s="1"/>
  <c r="F118" i="85" s="1"/>
  <c r="F119" i="85" s="1"/>
  <c r="F61" i="40"/>
  <c r="B2" i="40" s="1"/>
  <c r="C34" i="85" l="1"/>
  <c r="H102" i="85"/>
  <c r="E118" i="85"/>
  <c r="D118" i="85" s="1"/>
  <c r="D119" i="85" s="1"/>
  <c r="C105" i="85"/>
  <c r="H118" i="85"/>
  <c r="B3" i="40"/>
  <c r="C7" i="68"/>
  <c r="C5" i="68" s="1"/>
  <c r="H119" i="85" l="1"/>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81" i="85" l="1"/>
  <c r="M69" i="85"/>
  <c r="N69" i="85" s="1"/>
  <c r="C96" i="85"/>
  <c r="E96" i="85" s="1"/>
  <c r="E97" i="85" s="1"/>
  <c r="C20" i="9"/>
  <c r="C103" i="9" l="1"/>
  <c r="G20" i="9"/>
  <c r="G25" i="9" s="1"/>
  <c r="C97" i="85"/>
  <c r="D58" i="85" s="1"/>
  <c r="D56" i="85" s="1"/>
  <c r="M54" i="85" s="1"/>
  <c r="N57" i="85" s="1"/>
  <c r="N58" i="85" s="1"/>
  <c r="D35" i="9"/>
  <c r="D34" i="9"/>
  <c r="C32" i="9" l="1"/>
  <c r="I118" i="9" s="1"/>
  <c r="H102" i="9" s="1"/>
  <c r="D7" i="53" s="1"/>
  <c r="B21" i="72" s="1"/>
  <c r="D27" i="9"/>
  <c r="N59" i="85"/>
  <c r="N61" i="85" s="1"/>
  <c r="P57" i="85"/>
  <c r="C35" i="9" l="1"/>
  <c r="C34" i="9" s="1"/>
  <c r="H118" i="9"/>
  <c r="H119" i="9" s="1"/>
  <c r="H5" i="52" s="1"/>
  <c r="C105" i="9"/>
  <c r="I4" i="52"/>
  <c r="N60" i="85"/>
  <c r="G118" i="9" l="1"/>
  <c r="G4" i="52" s="1"/>
  <c r="B52" i="72" s="1"/>
  <c r="H4" i="52"/>
  <c r="H101" i="9"/>
  <c r="M48" i="9" s="1"/>
  <c r="C104" i="9"/>
  <c r="F118" i="9" l="1"/>
  <c r="F119" i="9" s="1"/>
  <c r="F5" i="52" s="1"/>
  <c r="B53" i="72" s="1"/>
  <c r="E118" i="9"/>
  <c r="D118" i="9" s="1"/>
  <c r="D5" i="53"/>
  <c r="D6" i="53" s="1"/>
  <c r="B22" i="72" s="1"/>
  <c r="D45" i="9"/>
  <c r="C85" i="9" s="1"/>
  <c r="H107" i="9"/>
  <c r="D14" i="74" s="1"/>
  <c r="B5" i="74" s="1"/>
  <c r="C5" i="74" s="1"/>
  <c r="E4" i="52" l="1"/>
  <c r="B48" i="72" s="1"/>
  <c r="F4" i="52"/>
  <c r="B51" i="72" s="1"/>
  <c r="B20" i="72"/>
  <c r="C78" i="9"/>
  <c r="C73" i="9" s="1"/>
  <c r="M49" i="9"/>
  <c r="L64" i="9" s="1"/>
  <c r="M64" i="9" s="1"/>
  <c r="D122" i="9"/>
  <c r="D123" i="9" s="1"/>
  <c r="D9" i="52" s="1"/>
  <c r="D13" i="53"/>
  <c r="D14" i="53" s="1"/>
  <c r="B32" i="72" s="1"/>
  <c r="D52" i="9"/>
  <c r="E14" i="74"/>
  <c r="F14" i="74"/>
  <c r="H108" i="9"/>
  <c r="D15" i="53" s="1"/>
  <c r="B31" i="72" s="1"/>
  <c r="G14" i="74"/>
  <c r="B6" i="74" s="1"/>
  <c r="D6" i="74" s="1"/>
  <c r="C93" i="9"/>
  <c r="C86" i="9" s="1"/>
  <c r="C95" i="9" s="1"/>
  <c r="D53" i="9"/>
  <c r="C64" i="9"/>
  <c r="C63" i="9" s="1"/>
  <c r="C67" i="9" s="1"/>
  <c r="C68" i="9" s="1"/>
  <c r="D54" i="9" s="1"/>
  <c r="D55" i="9"/>
  <c r="M53" i="9" s="1"/>
  <c r="C72" i="9"/>
  <c r="D5" i="74"/>
  <c r="D119" i="9"/>
  <c r="D5" i="52" s="1"/>
  <c r="B49" i="72" s="1"/>
  <c r="D4" i="52"/>
  <c r="B47" i="72" s="1"/>
  <c r="L68" i="9" l="1"/>
  <c r="M68" i="9" s="1"/>
  <c r="C79" i="9"/>
  <c r="C80" i="9" s="1"/>
  <c r="E80" i="9" s="1"/>
  <c r="E81" i="9" s="1"/>
  <c r="L63" i="9"/>
  <c r="M63" i="9" s="1"/>
  <c r="D59" i="9"/>
  <c r="M55" i="9" s="1"/>
  <c r="B30" i="72"/>
  <c r="L66" i="9"/>
  <c r="M66" i="9" s="1"/>
  <c r="L65" i="9"/>
  <c r="M65" i="9" s="1"/>
  <c r="D8" i="52"/>
  <c r="L67" i="9"/>
  <c r="M67" i="9" s="1"/>
  <c r="C6" i="74"/>
  <c r="C96" i="9"/>
  <c r="E96" i="9" s="1"/>
  <c r="E97"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<sst xmlns="http://schemas.openxmlformats.org/spreadsheetml/2006/main" count="9288" uniqueCount="3483">
  <si>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</si>
  <si>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</si>
  <si>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</si>
  <si>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</si>
  <si>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</si>
  <si>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</si>
  <si>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</si>
  <si>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</si>
  <si>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</si>
  <si>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</si>
  <si>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</si>
  <si>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</si>
  <si>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</si>
  <si>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</si>
  <si>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</si>
  <si>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</si>
  <si>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</si>
  <si>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</si>
  <si>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</si>
  <si>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</si>
  <si>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</si>
  <si>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</si>
  <si>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</si>
  <si>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</si>
  <si>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</si>
  <si>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</si>
  <si>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</si>
  <si>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</si>
  <si>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</si>
  <si>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</si>
  <si>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</si>
  <si>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</si>
  <si>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</si>
  <si>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</si>
  <si>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</si>
  <si>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</si>
  <si>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</si>
  <si>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</si>
  <si>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</si>
  <si>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</si>
  <si>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</si>
  <si>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</si>
  <si>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</si>
  <si>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</si>
  <si>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</si>
  <si>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</si>
  <si>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</si>
  <si>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</si>
  <si>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</si>
  <si>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</si>
  <si>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</si>
  <si>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</si>
  <si>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</si>
  <si>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</si>
  <si>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</si>
  <si>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</si>
  <si>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</si>
  <si>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</si>
  <si>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</si>
  <si>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</si>
  <si>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</si>
  <si>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</si>
  <si>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</si>
  <si>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</si>
  <si>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</si>
  <si>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</si>
  <si>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</si>
  <si>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</si>
  <si>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</si>
  <si>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</si>
  <si>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</si>
  <si>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</si>
  <si>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</si>
  <si>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</si>
  <si>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</si>
  <si>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</si>
  <si>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</si>
  <si>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</si>
  <si>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</si>
  <si>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</si>
  <si>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</si>
  <si>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</si>
  <si>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</si>
  <si>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</si>
  <si>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</si>
  <si>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</si>
  <si>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</si>
  <si>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</si>
  <si>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</si>
  <si>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</si>
  <si>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</si>
  <si>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</si>
  <si>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</si>
  <si>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</si>
  <si>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</si>
  <si>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</si>
  <si>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</si>
  <si>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</si>
  <si>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</si>
  <si>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</si>
  <si>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</si>
  <si>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</si>
  <si>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</si>
  <si>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</si>
  <si>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</si>
  <si>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</si>
  <si>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</si>
  <si>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</si>
  <si>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</si>
  <si>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</si>
  <si>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</si>
  <si>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</si>
  <si>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</si>
  <si>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</si>
  <si>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</si>
  <si>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</si>
  <si>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</si>
  <si>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</si>
  <si>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</si>
  <si>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</si>
  <si>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</si>
  <si>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</si>
  <si>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</si>
  <si>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</si>
  <si>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</si>
  <si>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</si>
  <si>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</si>
  <si>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</si>
  <si>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</si>
  <si>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</si>
  <si>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</si>
  <si>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</si>
  <si>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</si>
  <si>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</si>
  <si>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</si>
  <si>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</si>
  <si>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</si>
  <si>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</si>
  <si>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</si>
  <si>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</si>
  <si>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</si>
  <si>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</si>
  <si>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</si>
  <si>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</si>
  <si>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</si>
  <si>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</si>
  <si>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</si>
  <si>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</si>
  <si>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</si>
  <si>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</si>
  <si>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</si>
  <si>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</si>
  <si>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</si>
  <si>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</si>
  <si>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</si>
  <si>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</si>
  <si>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</si>
  <si>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</si>
  <si>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</si>
  <si>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</si>
  <si>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</si>
  <si>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</si>
  <si>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</si>
  <si>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</si>
  <si>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</si>
  <si>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</si>
  <si>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</si>
  <si>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</si>
  <si>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</si>
  <si>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</si>
  <si>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</si>
  <si>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</si>
  <si>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</si>
  <si>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</si>
  <si>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</si>
  <si>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</si>
  <si>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</si>
  <si>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</si>
  <si>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</si>
  <si>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</si>
  <si>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</si>
  <si>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</si>
  <si>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</si>
  <si>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</si>
  <si>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</si>
  <si>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</si>
  <si>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</si>
  <si>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</si>
  <si>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</si>
  <si>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</si>
  <si>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</si>
  <si>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</si>
  <si>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</si>
  <si>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</si>
  <si>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</si>
  <si>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</si>
  <si>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</si>
  <si>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</si>
  <si>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</si>
  <si>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</si>
  <si>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</si>
  <si>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</si>
  <si>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</si>
  <si>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</si>
  <si>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</si>
  <si>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</si>
  <si>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</si>
  <si>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</si>
  <si>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</si>
  <si>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</si>
  <si>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</si>
  <si>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</si>
  <si>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</si>
  <si>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</si>
  <si>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</si>
  <si>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</si>
  <si>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</si>
  <si>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</si>
  <si>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</si>
  <si>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</si>
  <si>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</si>
  <si>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</si>
  <si>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</si>
  <si>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</si>
  <si>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</si>
  <si>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</si>
  <si>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</si>
  <si>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</si>
  <si>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</si>
  <si>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</si>
  <si>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</si>
  <si>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</si>
  <si>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</si>
  <si>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</si>
  <si>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</si>
  <si>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</si>
  <si>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</si>
  <si>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</si>
  <si>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</si>
  <si>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</si>
  <si>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</si>
  <si>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</si>
  <si>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</si>
  <si>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</si>
  <si>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</si>
  <si>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</si>
  <si>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</si>
  <si>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</si>
  <si>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</si>
  <si>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</si>
  <si>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</si>
  <si>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</si>
  <si>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</si>
  <si>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</si>
  <si>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</si>
  <si>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</si>
  <si>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</si>
  <si>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</si>
  <si>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</si>
  <si>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</si>
  <si>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</si>
  <si>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</si>
  <si>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</si>
  <si>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</si>
  <si>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</si>
  <si>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</si>
  <si>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</si>
  <si>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</si>
  <si>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</si>
  <si>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</si>
  <si>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</si>
  <si>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</si>
  <si>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</si>
  <si>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</si>
  <si>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</si>
  <si>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</si>
  <si>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</si>
  <si>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</si>
  <si>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</si>
  <si>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</si>
  <si>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</si>
  <si>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</si>
  <si>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</si>
  <si>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</si>
  <si>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</si>
  <si>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</si>
  <si>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</si>
  <si>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</si>
  <si>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</si>
  <si>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</si>
  <si>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</si>
  <si>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</si>
  <si>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</si>
  <si>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</si>
  <si>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</si>
  <si>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</si>
  <si>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</si>
  <si>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</si>
  <si>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</si>
  <si>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</si>
  <si>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</si>
  <si>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</si>
  <si>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</si>
  <si>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</si>
  <si>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</si>
  <si>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</si>
  <si>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</si>
  <si>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</si>
  <si>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</si>
  <si>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</si>
  <si>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</si>
  <si>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</si>
  <si>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</si>
  <si>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</si>
  <si>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</si>
  <si>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</si>
  <si>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</si>
  <si>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</si>
  <si>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</si>
  <si>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</si>
  <si>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</si>
  <si>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</si>
  <si>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</si>
  <si>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</si>
  <si>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</si>
  <si>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</si>
  <si>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</si>
  <si>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</si>
  <si>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</si>
  <si>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</si>
  <si>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</si>
  <si>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</si>
  <si>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</si>
  <si>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</si>
  <si>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</si>
  <si>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</si>
  <si>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</si>
  <si>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</si>
  <si>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</si>
  <si>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</si>
  <si>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</si>
  <si>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</si>
  <si>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</si>
  <si>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</si>
  <si>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</si>
  <si>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</si>
  <si>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</si>
  <si>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</si>
  <si>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</si>
  <si>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</si>
  <si>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</si>
  <si>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</si>
  <si>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</si>
  <si>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</si>
  <si>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</si>
  <si>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</si>
  <si>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</si>
  <si>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</si>
  <si>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</si>
  <si>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</si>
  <si>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</si>
  <si>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</si>
  <si>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</si>
  <si>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</si>
  <si>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</si>
  <si>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</si>
  <si>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</si>
  <si>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</si>
  <si>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</si>
  <si>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</si>
  <si>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</si>
  <si>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</si>
  <si>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</si>
  <si>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</si>
  <si>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</si>
  <si>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</si>
  <si>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</si>
  <si>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</si>
  <si>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</si>
  <si>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</si>
  <si>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</si>
  <si>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</si>
  <si>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</si>
  <si>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</si>
  <si>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</si>
  <si>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</si>
  <si>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</si>
  <si>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</si>
  <si>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</si>
  <si>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</si>
  <si>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</si>
  <si>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</si>
  <si>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</si>
  <si>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</si>
  <si>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</si>
  <si>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</si>
  <si>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</si>
  <si>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</si>
  <si>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</si>
  <si>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</si>
  <si>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</si>
  <si>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</si>
  <si>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</si>
  <si>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</si>
  <si>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</si>
  <si>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</si>
  <si>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</si>
  <si>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</si>
  <si>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</si>
  <si>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</si>
  <si>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</si>
  <si>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</si>
  <si>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</si>
  <si>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</si>
  <si>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</si>
  <si>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</si>
  <si>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</si>
  <si>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</si>
  <si>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</si>
  <si>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</si>
  <si>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</si>
  <si>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</si>
  <si>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</si>
  <si>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</si>
  <si>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</si>
  <si>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</si>
  <si>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</si>
  <si>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</si>
  <si>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</si>
  <si>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</si>
  <si>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</si>
  <si>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</si>
  <si>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</si>
  <si>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</si>
  <si>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</si>
  <si>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</si>
  <si>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</si>
  <si>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</si>
  <si>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</si>
  <si>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</si>
  <si>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</si>
  <si>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</si>
  <si>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</si>
  <si>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</si>
  <si>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</si>
  <si>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</si>
  <si>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</si>
  <si>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</si>
  <si>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</si>
  <si>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</si>
  <si>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</si>
  <si>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</si>
  <si>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</si>
  <si>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</si>
  <si>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</si>
  <si>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</si>
  <si>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</si>
  <si>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</si>
  <si>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</si>
  <si>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</si>
  <si>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</si>
  <si>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</si>
  <si>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</si>
  <si>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</si>
  <si>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</si>
  <si>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</si>
  <si>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</si>
  <si>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</si>
  <si>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</si>
  <si>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</si>
  <si>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</si>
  <si>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</si>
  <si>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</si>
  <si>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</si>
  <si>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</si>
  <si>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</si>
  <si>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</si>
  <si>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</si>
  <si>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</si>
  <si>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</si>
  <si>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</si>
  <si>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</si>
  <si>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</si>
  <si>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</si>
  <si>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</si>
  <si>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</si>
  <si>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</si>
  <si>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</si>
  <si>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</si>
  <si>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</si>
  <si>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</si>
  <si>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</si>
  <si>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</si>
  <si>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</si>
  <si>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</si>
  <si>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</si>
  <si>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</si>
  <si>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</si>
  <si>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</si>
  <si>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</si>
  <si>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</si>
  <si>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</si>
  <si>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</si>
  <si>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</si>
  <si>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</si>
  <si>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</si>
  <si>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</si>
  <si>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</si>
  <si>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</si>
  <si>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</si>
  <si>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</si>
  <si>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</si>
  <si>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</si>
  <si>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</si>
  <si>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</si>
  <si>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</si>
  <si>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</si>
  <si>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</si>
  <si>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</si>
  <si>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</si>
  <si>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</si>
  <si>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</si>
  <si>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</si>
  <si>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</si>
  <si>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</si>
  <si>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</si>
  <si>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</si>
  <si>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</si>
  <si>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</si>
  <si>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</si>
  <si>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</si>
  <si>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</si>
  <si>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</si>
  <si>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</si>
  <si>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</si>
  <si>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</si>
  <si>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</si>
  <si>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</si>
  <si>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</si>
  <si>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</si>
  <si>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</si>
  <si>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</si>
  <si>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</si>
  <si>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</si>
  <si>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</si>
  <si>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</si>
  <si>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</si>
  <si>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</si>
  <si>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</si>
  <si>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</si>
  <si>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</si>
  <si>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</si>
  <si>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</si>
  <si>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</si>
  <si>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</si>
  <si>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</si>
  <si>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</si>
  <si>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</si>
  <si>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</si>
  <si>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</si>
  <si>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</si>
  <si>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</si>
  <si>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</si>
  <si>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</si>
  <si>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</si>
  <si>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</si>
  <si>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</si>
  <si>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</si>
  <si>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</si>
  <si>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</si>
  <si>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</si>
  <si>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</si>
  <si>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</si>
  <si>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</si>
  <si>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</si>
  <si>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</si>
  <si>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</si>
  <si>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</si>
  <si>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</si>
  <si>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</si>
  <si>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</si>
  <si>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</si>
  <si>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</si>
  <si>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</si>
  <si>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</si>
  <si>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</si>
  <si>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</si>
  <si>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</si>
  <si>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</si>
  <si>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</si>
  <si>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</si>
  <si>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</si>
  <si>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</si>
  <si>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</si>
  <si>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</si>
  <si>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</si>
  <si>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</si>
  <si>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</si>
  <si>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</si>
  <si>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</si>
  <si>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</si>
  <si>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</si>
  <si>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</si>
  <si>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</si>
  <si>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</si>
  <si>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</si>
  <si>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</si>
  <si>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</si>
  <si>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</si>
  <si>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</si>
  <si>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</si>
  <si>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</si>
  <si>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</si>
  <si>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</si>
  <si>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</si>
  <si>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</si>
  <si>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</si>
  <si>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</si>
  <si>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</si>
  <si>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</si>
  <si>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</si>
  <si>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</si>
  <si>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</si>
  <si>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</si>
  <si>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</si>
  <si>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</si>
  <si>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</si>
  <si>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</si>
  <si>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</si>
  <si>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</si>
  <si>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</si>
  <si>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</si>
  <si>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</si>
  <si>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</si>
  <si>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</si>
  <si>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</si>
  <si>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</si>
  <si>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</si>
  <si>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</si>
  <si>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</si>
  <si>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</si>
  <si>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</si>
  <si>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</si>
  <si>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</si>
  <si>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</si>
  <si>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</si>
  <si>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</si>
  <si>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</si>
  <si>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</si>
  <si>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</si>
  <si>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</si>
  <si>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</si>
  <si>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</si>
  <si>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</si>
  <si>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</si>
  <si>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</si>
  <si>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</si>
  <si>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</si>
  <si>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</si>
  <si>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</si>
  <si>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</si>
  <si>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</si>
  <si>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</si>
  <si>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</si>
  <si>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</si>
  <si>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</si>
  <si>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</si>
  <si>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</si>
  <si>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</si>
  <si>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</si>
  <si>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</si>
  <si>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</si>
  <si>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</si>
  <si>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</si>
  <si>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</si>
  <si>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</si>
  <si>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</si>
  <si>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</si>
  <si>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</si>
  <si>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</si>
  <si>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</si>
  <si>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</si>
  <si>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</si>
  <si>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</si>
  <si>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</si>
  <si>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</si>
  <si>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</si>
  <si>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</si>
  <si>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</si>
  <si>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</si>
  <si>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</si>
  <si>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</si>
  <si>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</si>
  <si>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</si>
  <si>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</si>
  <si>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</si>
  <si>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</si>
  <si>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</si>
  <si>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</si>
  <si>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</si>
  <si>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</si>
  <si>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</si>
  <si>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</si>
  <si>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</si>
  <si>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</si>
  <si>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</si>
  <si>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</si>
  <si>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</si>
  <si>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</si>
  <si>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</si>
  <si>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</si>
  <si>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</si>
  <si>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</si>
  <si>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</si>
  <si>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</si>
  <si>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</si>
  <si>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</si>
  <si>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</si>
  <si>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</si>
  <si>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</si>
  <si>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</si>
  <si>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</si>
  <si>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</si>
  <si>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</si>
  <si>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</si>
  <si>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</si>
  <si>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</si>
  <si>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</si>
  <si>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</si>
  <si>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</si>
  <si>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</si>
  <si>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</si>
  <si>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</si>
  <si>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</si>
  <si>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</si>
  <si>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</si>
  <si>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</si>
  <si>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</si>
  <si>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</si>
  <si>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</si>
  <si>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</si>
  <si>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</si>
  <si>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</si>
  <si>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</si>
  <si>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</si>
  <si>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</si>
  <si>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</si>
  <si>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</si>
  <si>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</si>
  <si>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</si>
  <si>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</si>
  <si>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</si>
  <si>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</si>
  <si>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</si>
  <si>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</si>
  <si>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</si>
  <si>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</si>
  <si>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</si>
  <si>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</si>
  <si>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</si>
  <si>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</si>
  <si>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</si>
  <si>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</si>
  <si>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</si>
  <si>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</si>
  <si>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</si>
  <si>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</si>
  <si>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</si>
  <si>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</si>
  <si>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</si>
  <si>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</si>
  <si>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</si>
  <si>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</si>
  <si>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</si>
  <si>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</si>
  <si>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</si>
  <si>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</si>
  <si>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</si>
  <si>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</si>
  <si>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</si>
  <si>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</si>
  <si>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</si>
  <si>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</si>
  <si>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</si>
  <si>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</si>
  <si>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</si>
  <si>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</si>
  <si>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</si>
  <si>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</si>
  <si>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</si>
  <si>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</si>
  <si>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</si>
  <si>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</si>
  <si>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</si>
  <si>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</si>
  <si>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</si>
  <si>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</si>
  <si>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</si>
  <si>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</si>
  <si>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</si>
  <si>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</si>
  <si>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</si>
  <si>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</si>
  <si>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</si>
  <si>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</si>
  <si>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</si>
  <si>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</si>
  <si>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</si>
  <si>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</si>
  <si>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</si>
  <si>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</si>
  <si>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</si>
  <si>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</si>
  <si>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</si>
  <si>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</si>
  <si>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</si>
  <si>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</si>
  <si>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</si>
  <si>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</si>
  <si>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</si>
  <si>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</si>
  <si>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</si>
  <si>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</si>
  <si>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</si>
  <si>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</si>
  <si>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</si>
  <si>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</si>
  <si>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</si>
  <si>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</si>
  <si>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</si>
  <si>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</si>
  <si>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</si>
  <si>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</si>
  <si>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</si>
  <si>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</si>
  <si>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</si>
  <si>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</si>
  <si>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</si>
  <si>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</si>
  <si>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</si>
  <si>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</si>
  <si>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</si>
  <si>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</si>
  <si>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</si>
  <si>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</si>
  <si>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</si>
  <si>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</si>
  <si>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</si>
  <si>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</si>
  <si>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</si>
  <si>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</si>
  <si>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</si>
  <si>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</si>
  <si>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</si>
  <si>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</si>
  <si>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</si>
  <si>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</si>
  <si>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</si>
  <si>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</si>
  <si>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</si>
  <si>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</si>
  <si>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</si>
  <si>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</si>
  <si>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</si>
  <si>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</si>
  <si>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</si>
  <si>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</si>
  <si>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</si>
  <si>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</si>
  <si>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</si>
  <si>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</si>
  <si>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</si>
  <si>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</si>
  <si>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</si>
  <si>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</si>
  <si>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</si>
  <si>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</si>
  <si>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</si>
  <si>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</si>
  <si>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</si>
  <si>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</si>
  <si>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</si>
  <si>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</si>
  <si>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</si>
  <si>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</si>
  <si>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</si>
  <si>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</si>
  <si>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</si>
  <si>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</si>
  <si>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</si>
  <si>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</si>
  <si>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</si>
  <si>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</si>
  <si>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</si>
  <si>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</si>
  <si>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</si>
  <si>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</si>
  <si>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</si>
  <si>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</si>
  <si>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</si>
  <si>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</si>
  <si>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</si>
  <si>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</si>
  <si>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</si>
  <si>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</si>
  <si>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</si>
  <si>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</si>
  <si>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</si>
  <si>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</si>
  <si>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</si>
  <si>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</si>
  <si>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</si>
  <si>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</si>
  <si>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</si>
  <si>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</si>
  <si>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</si>
  <si>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</si>
  <si>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</si>
  <si>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</si>
  <si>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</si>
  <si>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</si>
  <si>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</si>
  <si>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</si>
  <si>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</si>
  <si>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</si>
  <si>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</si>
  <si>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</si>
  <si>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</si>
  <si>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</si>
  <si>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</si>
  <si>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</si>
  <si>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</si>
  <si>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</si>
  <si>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</si>
  <si>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</si>
  <si>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</si>
  <si>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</si>
  <si>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</si>
  <si>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</si>
  <si>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</si>
  <si>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</si>
  <si>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</si>
  <si>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</si>
  <si>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</si>
  <si>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</si>
  <si>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</si>
  <si>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</si>
  <si>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</si>
  <si>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</si>
  <si>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</si>
  <si>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</si>
  <si>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</si>
  <si>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</si>
  <si>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</si>
  <si>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</si>
  <si>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</si>
  <si>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</si>
  <si>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</si>
  <si>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</si>
  <si>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</si>
  <si>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</si>
  <si>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</si>
  <si>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</si>
  <si>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</si>
  <si>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</si>
  <si>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</si>
  <si>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</si>
  <si>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</si>
  <si>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</si>
  <si>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</si>
  <si>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</si>
  <si>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</si>
  <si>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</si>
  <si>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</si>
  <si>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</si>
  <si>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</si>
  <si>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</si>
  <si>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</si>
  <si>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</si>
  <si>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</si>
  <si>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</si>
  <si>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</si>
  <si>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</si>
  <si>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</si>
  <si>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</si>
  <si>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</si>
  <si>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</si>
  <si>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</si>
  <si>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</si>
  <si>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</si>
  <si>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</si>
  <si>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</si>
  <si>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</si>
  <si>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</si>
  <si>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</si>
  <si>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</si>
  <si>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</si>
  <si>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</si>
  <si>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</si>
  <si>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</si>
  <si>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</si>
  <si>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</si>
  <si>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</si>
  <si>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</si>
  <si>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</si>
  <si>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</si>
  <si>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</si>
  <si>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</si>
  <si>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</si>
  <si>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</si>
  <si>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</si>
  <si>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</si>
  <si>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</si>
  <si>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</si>
  <si>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</si>
  <si>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</si>
  <si>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</si>
  <si>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</si>
  <si>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</si>
  <si>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</si>
  <si>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</si>
  <si>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</si>
  <si>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</si>
  <si>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</si>
  <si>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</si>
  <si>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</si>
  <si>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</si>
  <si>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</si>
  <si>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</si>
  <si>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</si>
  <si>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</si>
  <si>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</si>
  <si>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</si>
  <si>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</si>
  <si>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</si>
  <si>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</si>
  <si>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</si>
  <si>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</si>
  <si>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</si>
  <si>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</si>
  <si>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</si>
  <si>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</si>
  <si>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</si>
  <si>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</si>
  <si>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</si>
  <si>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</si>
  <si>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</si>
  <si>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</si>
  <si>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</si>
  <si>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</si>
  <si>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</si>
  <si>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</si>
  <si>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</si>
  <si>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</si>
  <si>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</si>
  <si>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</si>
  <si>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</si>
  <si>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</si>
  <si>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</si>
  <si>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</si>
  <si>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</si>
  <si>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</si>
  <si>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</si>
  <si>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</si>
  <si>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</si>
  <si>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</si>
  <si>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</si>
  <si>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</si>
  <si>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</si>
  <si>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</si>
  <si>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</si>
  <si>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</si>
  <si>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</si>
  <si>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</si>
  <si>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</si>
  <si>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</si>
  <si>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</si>
  <si>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</si>
  <si>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</si>
  <si>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</si>
  <si>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</si>
  <si>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</si>
  <si>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</si>
  <si>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</si>
  <si>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</si>
  <si>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</si>
  <si>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</si>
  <si>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</si>
  <si>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</si>
  <si>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</si>
  <si>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</si>
  <si>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</si>
  <si>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</si>
  <si>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</si>
  <si>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</si>
  <si>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</si>
  <si>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</si>
  <si>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</si>
  <si>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</si>
  <si>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</si>
  <si>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</si>
  <si>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</si>
  <si>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</si>
  <si>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</si>
  <si>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</si>
  <si>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</si>
  <si>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</si>
  <si>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</si>
  <si>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</si>
  <si>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</si>
  <si>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</si>
  <si>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</si>
  <si>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</si>
  <si>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</si>
  <si>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</si>
  <si>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</si>
  <si>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</si>
  <si>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</si>
  <si>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</si>
  <si>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</si>
  <si>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</si>
  <si>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</si>
  <si>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</si>
  <si>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</si>
  <si>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</si>
  <si>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</si>
  <si>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</si>
  <si>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</si>
  <si>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</si>
  <si>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</si>
  <si>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</si>
  <si>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</si>
  <si>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</si>
  <si>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</si>
  <si>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</si>
  <si>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</si>
  <si>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</si>
  <si>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</si>
  <si>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</si>
  <si>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</si>
  <si>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</si>
  <si>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</si>
  <si>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</si>
  <si>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</si>
  <si>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</si>
  <si>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</si>
  <si>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</si>
  <si>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</si>
  <si>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</si>
  <si>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</si>
  <si>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</si>
  <si>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</si>
  <si>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</si>
  <si>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</si>
  <si>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</si>
  <si>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</si>
  <si>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</si>
  <si>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</si>
  <si>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</si>
  <si>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</si>
  <si>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</si>
  <si>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</si>
  <si>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</si>
  <si>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</si>
  <si>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</si>
  <si>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</si>
  <si>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</si>
  <si>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</si>
  <si>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</si>
  <si>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</si>
  <si>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</si>
  <si>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</si>
  <si>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</si>
  <si>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</si>
  <si>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</si>
  <si>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</si>
  <si>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</si>
  <si>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</si>
  <si>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</si>
  <si>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</si>
  <si>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</si>
  <si>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</si>
  <si>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</si>
  <si>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</si>
  <si>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</si>
  <si>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</si>
  <si>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</si>
  <si>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</si>
  <si>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</si>
  <si>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</si>
  <si>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</si>
  <si>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</si>
  <si>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</si>
  <si>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</si>
  <si>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</si>
  <si>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</si>
  <si>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</si>
  <si>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</si>
  <si>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</si>
  <si>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</si>
  <si>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</si>
  <si>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</si>
  <si>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</si>
  <si>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</si>
  <si>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</si>
  <si>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</si>
  <si>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</si>
  <si>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</si>
  <si>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</si>
  <si>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</si>
  <si>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</si>
  <si>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</si>
  <si>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</si>
  <si>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</si>
  <si>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</si>
  <si>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</si>
  <si>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</si>
  <si>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</si>
  <si>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</si>
  <si>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</si>
  <si>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</si>
  <si>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</si>
  <si>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</si>
  <si>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</si>
  <si>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</si>
  <si>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</si>
  <si>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</si>
  <si>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</si>
  <si>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</si>
  <si>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</si>
  <si>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</si>
  <si>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</si>
  <si>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</si>
  <si>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</si>
  <si>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</si>
  <si>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</si>
  <si>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</si>
  <si>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</si>
  <si>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</si>
  <si>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</si>
  <si>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</si>
  <si>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</si>
  <si>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</si>
  <si>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</si>
  <si>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</si>
  <si>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</si>
  <si>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</si>
  <si>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</si>
  <si>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</si>
  <si>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</si>
  <si>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</si>
  <si>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</si>
  <si>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</si>
  <si>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</si>
  <si>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</si>
  <si>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</si>
  <si>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</si>
  <si>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</si>
  <si>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</si>
  <si>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</si>
  <si>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</si>
  <si>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</si>
  <si>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</si>
  <si>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</si>
  <si>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</si>
  <si>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</si>
  <si>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</si>
  <si>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</si>
  <si>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</si>
  <si>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</si>
  <si>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</si>
  <si>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</si>
  <si>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</si>
  <si>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</si>
  <si>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</si>
  <si>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</si>
  <si>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</si>
  <si>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</si>
  <si>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</si>
  <si>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</si>
  <si>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</si>
  <si>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</si>
  <si>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</si>
  <si>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</si>
  <si>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</si>
  <si>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</si>
  <si>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</si>
  <si>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</si>
  <si>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</si>
  <si>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</si>
  <si>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</si>
  <si>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</si>
  <si>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</si>
  <si>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</si>
  <si>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</si>
  <si>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</si>
  <si>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</si>
  <si>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</si>
  <si>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</si>
  <si>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</si>
  <si>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</si>
  <si>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</si>
  <si>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</si>
  <si>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</si>
  <si>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</si>
  <si>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</si>
  <si>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</si>
  <si>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</si>
  <si>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</si>
  <si>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</si>
  <si>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</si>
  <si>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</si>
  <si>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</si>
  <si>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</si>
  <si>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</si>
  <si>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</si>
  <si>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</si>
  <si>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</si>
  <si>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</si>
  <si>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</si>
  <si>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</si>
  <si>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</si>
  <si>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</si>
  <si>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</si>
  <si>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</si>
  <si>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</si>
  <si>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</si>
  <si>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</si>
  <si>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</si>
  <si>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</si>
  <si>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</si>
  <si>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</si>
  <si>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</si>
  <si>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</si>
  <si>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</si>
  <si>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</si>
  <si>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</si>
  <si>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</si>
  <si>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</si>
  <si>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</si>
  <si>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</si>
  <si>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</si>
  <si>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</si>
  <si>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</si>
  <si>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</si>
  <si>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</si>
  <si>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</si>
  <si>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</si>
  <si>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</si>
  <si>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</si>
  <si>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</si>
  <si>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</si>
  <si>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</si>
  <si>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</si>
  <si>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</si>
  <si>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</si>
  <si>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</si>
  <si>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</si>
  <si>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</si>
  <si>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</si>
  <si>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</si>
  <si>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</si>
  <si>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</si>
  <si>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</si>
  <si>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</si>
  <si>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</si>
  <si>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</si>
  <si>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</si>
  <si>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</si>
  <si>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</si>
  <si>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</si>
  <si>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</si>
  <si>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</si>
  <si>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</si>
  <si>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</si>
  <si>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</si>
  <si>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</si>
  <si>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</si>
  <si>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</si>
  <si>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</si>
  <si>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</si>
  <si>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</si>
  <si>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</si>
  <si>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</si>
  <si>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</si>
  <si>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</si>
  <si>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</si>
  <si>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</si>
  <si>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</si>
  <si>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</si>
  <si>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</si>
  <si>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</si>
  <si>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</si>
  <si>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</si>
  <si>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</si>
  <si>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</si>
  <si>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</si>
  <si>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</si>
  <si>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</si>
  <si>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</si>
  <si>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</si>
  <si>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</si>
  <si>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</si>
  <si>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</si>
  <si>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</si>
  <si>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</si>
  <si>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</si>
  <si>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</si>
  <si>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</si>
  <si>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</si>
  <si>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</si>
  <si>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</si>
  <si>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</si>
  <si>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</si>
  <si>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</si>
  <si>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</si>
  <si>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</si>
  <si>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</si>
  <si>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</si>
  <si>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</si>
  <si>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</si>
  <si>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</si>
  <si>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</si>
  <si>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</si>
  <si>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</si>
  <si>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</si>
  <si>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</si>
  <si>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</si>
  <si>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</si>
  <si>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</si>
  <si>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</si>
  <si>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</si>
  <si>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</si>
  <si>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</si>
  <si>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</si>
  <si>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</si>
  <si>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</si>
  <si>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</si>
  <si>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</si>
  <si>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</si>
  <si>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</si>
  <si>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</si>
  <si>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</si>
  <si>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</si>
  <si>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</si>
  <si>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</si>
  <si>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</si>
  <si>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</si>
  <si>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</si>
  <si>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</si>
  <si>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</si>
  <si>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</si>
  <si>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</si>
  <si>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</si>
  <si>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</si>
  <si>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</si>
  <si>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</si>
  <si>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</si>
  <si>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</si>
  <si>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</si>
  <si>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</si>
  <si>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</si>
  <si>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</si>
  <si>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</si>
  <si>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</si>
  <si>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</si>
  <si>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</si>
  <si>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</si>
  <si>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</si>
  <si>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</si>
  <si>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</si>
  <si>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</si>
  <si>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</si>
  <si>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</si>
  <si>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</si>
  <si>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</si>
  <si>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</si>
  <si>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</si>
  <si>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</si>
  <si>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</si>
  <si>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</si>
  <si>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</si>
  <si>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</si>
  <si>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</si>
  <si>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</si>
  <si>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</si>
  <si>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</si>
  <si>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</si>
  <si>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</si>
  <si>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</si>
  <si>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</si>
  <si>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</si>
  <si>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</si>
  <si>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</si>
  <si>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</si>
  <si>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</si>
  <si>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</si>
  <si>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</si>
  <si>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</si>
  <si>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</si>
  <si>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</si>
  <si>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</si>
  <si>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</si>
  <si>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</si>
  <si>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</si>
  <si>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</si>
  <si>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</si>
  <si>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</si>
  <si>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</si>
  <si>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</si>
  <si>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</si>
  <si>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</si>
  <si>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</si>
  <si>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</si>
  <si>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</si>
  <si>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</si>
  <si>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</si>
  <si>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</si>
  <si>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</si>
  <si>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</si>
  <si>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</si>
  <si>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</si>
  <si>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</si>
  <si>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</si>
  <si>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</si>
  <si>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</si>
  <si>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</si>
  <si>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</si>
  <si>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</si>
  <si>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</si>
  <si>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</si>
  <si>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</si>
  <si>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</si>
  <si>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</si>
  <si>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</si>
  <si>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</si>
  <si>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</si>
  <si>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</si>
  <si>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</si>
  <si>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</si>
  <si>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</si>
  <si>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</si>
  <si>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</si>
  <si>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</si>
  <si>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</si>
  <si>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</si>
  <si>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</si>
  <si>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</si>
  <si>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</si>
  <si>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</si>
  <si>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</si>
  <si>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</si>
  <si>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</si>
  <si>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</si>
  <si>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</si>
  <si>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</si>
  <si>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</si>
  <si>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</si>
  <si>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</si>
  <si>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</si>
  <si>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</si>
  <si>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</si>
  <si>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</si>
  <si>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</si>
  <si>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</si>
  <si>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</si>
  <si>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</si>
  <si>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</si>
  <si>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</si>
  <si>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</si>
  <si>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</si>
  <si>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</si>
  <si>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</si>
  <si>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</si>
  <si>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</si>
  <si>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</si>
  <si>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</si>
  <si>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</si>
  <si>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</si>
  <si>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</si>
  <si>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</si>
  <si>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</si>
  <si>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</si>
  <si>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</si>
  <si>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</si>
  <si>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</si>
  <si>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</si>
  <si>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</si>
  <si>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</si>
  <si>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</si>
  <si>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</si>
  <si>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</si>
  <si>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</si>
  <si>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</si>
  <si>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</si>
  <si>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</si>
  <si>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</si>
  <si>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</si>
  <si>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</si>
  <si>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</si>
  <si>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</si>
  <si>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</si>
  <si>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</si>
  <si>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</si>
  <si>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</si>
  <si>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</si>
  <si>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</si>
  <si>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</si>
  <si>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</si>
  <si>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</si>
  <si>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</si>
  <si>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</si>
  <si>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</si>
  <si>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</si>
  <si>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</si>
  <si>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</si>
  <si>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</si>
  <si>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</si>
  <si>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</si>
  <si>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</si>
  <si>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</si>
  <si>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</si>
  <si>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</si>
  <si>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</si>
  <si>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</si>
  <si>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</si>
  <si>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</si>
  <si>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</si>
  <si>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</si>
  <si>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</si>
  <si>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</si>
  <si>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</si>
  <si>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</si>
  <si>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</si>
  <si>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</si>
  <si>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</si>
  <si>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</si>
  <si>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</si>
  <si>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</si>
  <si>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</si>
  <si>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</si>
  <si>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</si>
  <si>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</si>
  <si>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</si>
  <si>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</si>
  <si>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</si>
  <si>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</si>
  <si>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</si>
  <si>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</si>
  <si>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</si>
  <si>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</si>
  <si>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</si>
  <si>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</si>
  <si>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</si>
  <si>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</si>
  <si>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</si>
  <si>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</si>
  <si>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</si>
  <si>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</si>
  <si>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</si>
  <si>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</si>
  <si>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</si>
  <si>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</si>
  <si>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</si>
  <si>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</si>
  <si>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</si>
  <si>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</si>
  <si>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</si>
  <si>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</si>
  <si>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</si>
  <si>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</si>
  <si>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</si>
  <si>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</si>
  <si>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</si>
  <si>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</si>
  <si>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</si>
  <si>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</si>
  <si>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</si>
  <si>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</si>
  <si>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</si>
  <si>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</si>
  <si>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</si>
  <si>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</si>
  <si>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</si>
  <si>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</si>
  <si>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</si>
  <si>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</si>
  <si>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</si>
  <si>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</si>
  <si>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</si>
  <si>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</si>
  <si>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</si>
  <si>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</si>
  <si>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</si>
  <si>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</si>
  <si>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</si>
  <si>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</si>
  <si>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</si>
  <si>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</si>
  <si>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</si>
  <si>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</si>
  <si>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</si>
  <si>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</si>
  <si>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</si>
  <si>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</si>
  <si>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</si>
  <si>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</si>
  <si>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</si>
  <si>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</si>
  <si>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</si>
  <si>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</si>
  <si>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</si>
  <si>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</si>
  <si>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</si>
  <si>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</si>
  <si>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</si>
  <si>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</si>
  <si>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</si>
  <si>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</si>
  <si>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</si>
  <si>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</si>
  <si>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</si>
  <si>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</si>
  <si>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</si>
  <si>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</si>
  <si>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</si>
  <si>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</si>
  <si>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</si>
  <si>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</si>
  <si>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</si>
  <si>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</si>
  <si>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</si>
  <si>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</si>
  <si>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</si>
  <si>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</si>
  <si>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</si>
  <si>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</si>
  <si>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</si>
  <si>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</si>
  <si>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</si>
  <si>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</si>
  <si>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</si>
  <si>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</si>
  <si>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</si>
  <si>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</si>
  <si>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</si>
  <si>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</si>
  <si>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</si>
  <si>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</si>
  <si>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</si>
  <si>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</si>
  <si>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</si>
  <si>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</si>
  <si>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</si>
  <si>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</si>
  <si>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</si>
  <si>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</si>
  <si>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</si>
  <si>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</si>
  <si>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</si>
  <si>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</si>
  <si>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</si>
  <si>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</si>
  <si>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</si>
  <si>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</si>
  <si>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</si>
  <si>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</si>
  <si>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</si>
  <si>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</si>
  <si>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</si>
  <si>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</si>
  <si>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</si>
  <si>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</si>
  <si>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</si>
  <si>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</si>
  <si>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</si>
  <si>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</si>
  <si>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</si>
  <si>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</si>
  <si>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</si>
  <si>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</si>
  <si>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</si>
  <si>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</si>
  <si>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</si>
  <si>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</si>
  <si>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</si>
  <si>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</si>
  <si>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</si>
  <si>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</si>
  <si>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</si>
  <si>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</si>
  <si>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</si>
  <si>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</si>
  <si>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</si>
  <si>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</si>
  <si>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</si>
  <si>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</si>
  <si>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</si>
  <si>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</si>
  <si>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</si>
  <si>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</si>
  <si>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</si>
  <si>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</si>
  <si>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</si>
  <si>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</si>
  <si>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</si>
  <si>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</si>
  <si>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</si>
  <si>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</si>
  <si>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</si>
  <si>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</si>
  <si>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</si>
  <si>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</si>
  <si>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</si>
  <si>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</si>
  <si>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</si>
  <si>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</si>
  <si>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</si>
  <si>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</si>
  <si>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</si>
  <si>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</si>
  <si>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</si>
  <si>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</si>
  <si>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</si>
  <si>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</si>
  <si>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</si>
  <si>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</si>
  <si>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</si>
  <si>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</si>
  <si>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</si>
  <si>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</si>
  <si>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</si>
  <si>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</si>
  <si>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</si>
  <si>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</si>
  <si>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</si>
  <si>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</si>
  <si>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</si>
  <si>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</si>
  <si>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</si>
  <si>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</si>
  <si>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</si>
  <si>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</si>
  <si>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</si>
  <si>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</si>
  <si>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</si>
  <si>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</si>
  <si>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</si>
  <si>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</si>
  <si>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</si>
  <si>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</si>
  <si>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</si>
  <si>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</si>
  <si>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</si>
  <si>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</si>
  <si>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</si>
  <si>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</si>
  <si>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</si>
  <si>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</si>
  <si>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</si>
  <si>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</si>
  <si>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</si>
  <si>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</si>
  <si>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</si>
  <si>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</si>
  <si>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</si>
  <si>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</si>
  <si>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</si>
  <si>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</si>
  <si>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</si>
  <si>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</si>
  <si>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</si>
  <si>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</si>
  <si>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</si>
  <si>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</si>
  <si>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</si>
  <si>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</si>
  <si>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</si>
  <si>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</si>
  <si>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</si>
  <si>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</si>
  <si>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</si>
  <si>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</si>
  <si>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</si>
  <si>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</si>
  <si>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</si>
  <si>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</si>
  <si>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</si>
  <si>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</si>
  <si>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</si>
  <si>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</si>
  <si>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</si>
  <si>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</si>
  <si>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</si>
  <si>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</si>
  <si>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</si>
  <si>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</si>
  <si>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</si>
  <si>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</si>
  <si>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</si>
  <si>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</si>
  <si>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</si>
  <si>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</si>
  <si>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</si>
  <si>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</si>
  <si>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</si>
  <si>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</si>
  <si>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</si>
  <si>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</si>
  <si>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</si>
  <si>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</si>
  <si>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</si>
  <si>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</si>
  <si>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</si>
  <si>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</si>
  <si>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</si>
  <si>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</si>
  <si>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</si>
  <si>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</si>
  <si>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</si>
  <si>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</si>
  <si>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</si>
  <si>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</si>
  <si>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</si>
  <si>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</si>
  <si>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</si>
  <si>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</si>
  <si>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</si>
  <si>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</si>
  <si>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</si>
  <si>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</si>
  <si>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</si>
  <si>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</si>
  <si>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</si>
  <si>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</si>
  <si>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</si>
  <si>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</si>
  <si>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</si>
  <si>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</si>
  <si>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</si>
  <si>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</si>
  <si>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</si>
  <si>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</si>
  <si>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</si>
  <si>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</si>
  <si>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</si>
  <si>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</si>
  <si>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</si>
  <si>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</si>
  <si>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</si>
  <si>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</si>
  <si>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</si>
  <si>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</si>
  <si>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</si>
  <si>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</si>
  <si>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</si>
  <si>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</si>
  <si>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</si>
  <si>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</si>
  <si>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</si>
  <si>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</si>
  <si>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</si>
  <si>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</si>
  <si>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</si>
  <si>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</si>
  <si>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</si>
  <si>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</si>
  <si>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</si>
  <si>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</si>
  <si>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</si>
  <si>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</si>
  <si>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</si>
  <si>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</si>
  <si>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</si>
  <si>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</si>
  <si>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</si>
  <si>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</si>
  <si>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</si>
  <si>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</si>
  <si>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</si>
  <si>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</si>
  <si>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</si>
  <si>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</si>
  <si>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</si>
  <si>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</si>
  <si>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</si>
  <si>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</si>
  <si>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</si>
  <si>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</si>
  <si>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</si>
  <si>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</si>
  <si>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</si>
  <si>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</si>
  <si>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</si>
  <si>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</si>
  <si>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</si>
  <si>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</si>
  <si>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</si>
  <si>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</si>
  <si>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</si>
  <si>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</si>
  <si>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</si>
  <si>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</si>
  <si>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</si>
  <si>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</si>
  <si>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</si>
  <si>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</si>
  <si>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</si>
  <si>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</si>
  <si>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</si>
  <si>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</si>
  <si>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</si>
  <si>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</si>
  <si>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</si>
  <si>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</si>
  <si>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</si>
  <si>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</si>
  <si>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</si>
  <si>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</si>
  <si>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</si>
  <si>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</si>
  <si>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</si>
  <si>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</si>
  <si>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</si>
  <si>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</si>
  <si>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</si>
  <si>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</si>
  <si>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</si>
  <si>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</si>
  <si>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</si>
  <si>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</si>
  <si>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</si>
  <si>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</si>
  <si>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</si>
  <si>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</si>
  <si>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</si>
  <si>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</si>
  <si>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</si>
  <si>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</si>
  <si>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</si>
  <si>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</si>
  <si>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</si>
  <si>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</si>
  <si>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</si>
  <si>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</si>
  <si>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</si>
  <si>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</si>
  <si>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</si>
  <si>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</si>
  <si>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</si>
  <si>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</si>
  <si>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</si>
  <si>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</si>
  <si>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</si>
  <si>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</si>
  <si>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</si>
  <si>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</si>
  <si>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</si>
  <si>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</si>
  <si>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</si>
  <si>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</si>
  <si>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</si>
  <si>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</si>
  <si>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</si>
  <si>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</si>
  <si>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</si>
  <si>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</si>
  <si>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</si>
  <si>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</si>
  <si>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</si>
  <si>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</si>
  <si>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</si>
  <si>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</si>
  <si>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</si>
  <si>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</si>
  <si>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</si>
  <si>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</si>
  <si>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</si>
  <si>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</si>
  <si>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</si>
  <si>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</si>
  <si>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</si>
  <si>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</si>
  <si>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</si>
  <si>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</si>
  <si>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</si>
  <si>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</si>
  <si>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</si>
  <si>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</si>
  <si>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</si>
  <si>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</si>
  <si>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</si>
  <si>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</si>
  <si>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</si>
  <si>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</si>
  <si>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</si>
  <si>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</si>
  <si>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</si>
  <si>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</si>
  <si>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</si>
  <si>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</si>
  <si>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</si>
  <si>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</si>
  <si>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</si>
  <si>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</si>
  <si>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</si>
  <si>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</si>
  <si>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</si>
  <si>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</si>
  <si>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</si>
  <si>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</si>
  <si>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</si>
  <si>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</si>
  <si>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</si>
  <si>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</si>
  <si>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</si>
  <si>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</si>
  <si>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</si>
  <si>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</si>
  <si>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</si>
  <si>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</si>
  <si>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</si>
  <si>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</si>
  <si>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</si>
  <si>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</si>
  <si>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</si>
  <si>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</si>
  <si>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</si>
  <si>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</si>
  <si>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</si>
  <si>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</si>
  <si>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</si>
  <si>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</si>
  <si>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</si>
  <si>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</si>
  <si>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</si>
  <si>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</si>
  <si>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</si>
  <si>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</si>
  <si>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</si>
  <si>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</si>
  <si>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</si>
  <si>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</si>
  <si>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</si>
  <si>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</si>
  <si>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</si>
  <si>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</si>
  <si>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</si>
  <si>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</si>
  <si>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</si>
  <si>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</si>
  <si>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</si>
  <si>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</si>
  <si>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</si>
  <si>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</si>
  <si>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</si>
  <si>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</si>
  <si>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</si>
  <si>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</si>
  <si>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</si>
  <si>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</si>
  <si>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</si>
  <si>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</si>
  <si>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</si>
  <si>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</si>
  <si>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</si>
  <si>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</si>
  <si>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</si>
  <si>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</si>
  <si>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</si>
  <si>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</si>
  <si>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</si>
  <si>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</si>
  <si>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</si>
  <si>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</si>
  <si>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</si>
  <si>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</si>
  <si>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</si>
  <si>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</si>
  <si>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</si>
  <si>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</si>
  <si>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</si>
  <si>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</si>
  <si>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</si>
  <si>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</si>
  <si>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</si>
  <si>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</si>
  <si>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</si>
  <si>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</si>
  <si>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</si>
  <si>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</si>
  <si>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</si>
  <si>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</si>
  <si>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</si>
  <si>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</si>
  <si>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</si>
  <si>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</si>
  <si>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</si>
  <si>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</si>
  <si>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</si>
  <si>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</si>
  <si>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</si>
  <si>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</si>
  <si>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</si>
  <si>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</si>
  <si>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</si>
  <si>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</si>
  <si>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</si>
  <si>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</si>
  <si>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</si>
  <si>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</si>
  <si>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</si>
  <si>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</si>
  <si>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</si>
  <si>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</si>
  <si>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</si>
  <si>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</si>
  <si>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</si>
  <si>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</si>
  <si>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</si>
  <si>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</si>
  <si>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</si>
  <si>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</si>
  <si>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</si>
  <si>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</si>
  <si>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</si>
  <si>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</si>
  <si>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</si>
  <si>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</si>
  <si>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</si>
  <si>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</si>
  <si>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</si>
  <si>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</si>
  <si>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</si>
  <si>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</si>
  <si>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</si>
  <si>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</si>
  <si>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</si>
  <si>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</si>
  <si>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</si>
  <si>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</si>
  <si>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</si>
  <si>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</si>
  <si>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</si>
  <si>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</si>
  <si>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</si>
  <si>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</si>
  <si>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</si>
  <si>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</si>
  <si>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</si>
  <si>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</si>
  <si>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</si>
  <si>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</si>
  <si>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</si>
  <si>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</si>
  <si>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</si>
  <si>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</si>
  <si>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</si>
  <si>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</si>
  <si>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</si>
  <si>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</si>
  <si>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</si>
  <si>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</si>
  <si>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</si>
  <si>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</si>
  <si>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</si>
  <si>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</si>
  <si>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</si>
  <si>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</si>
  <si>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</si>
  <si>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</si>
  <si>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</si>
  <si>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</si>
  <si>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</si>
  <si>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</si>
  <si>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</si>
  <si>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</si>
  <si>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</si>
  <si>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</si>
  <si>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</si>
  <si>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</si>
  <si>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</si>
  <si>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</si>
  <si>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</si>
  <si>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</si>
  <si>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</si>
  <si>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</si>
  <si>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</si>
  <si>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</si>
  <si>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</si>
  <si>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</si>
  <si>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</si>
  <si>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</si>
  <si>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</si>
  <si>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</si>
  <si>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</si>
  <si>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</si>
  <si>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</si>
  <si>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</si>
  <si>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</si>
  <si>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</si>
  <si>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</si>
  <si>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</si>
  <si>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</si>
  <si>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</si>
  <si>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</si>
  <si>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</si>
  <si>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</si>
  <si>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</si>
  <si>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</si>
  <si>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</si>
  <si>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</si>
  <si>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</si>
  <si>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</si>
  <si>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</si>
  <si>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</si>
  <si>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</si>
  <si>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</si>
  <si>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</si>
  <si>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</si>
  <si>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</si>
  <si>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</si>
  <si>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</si>
  <si>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</si>
  <si>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</si>
  <si>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</si>
  <si>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</si>
  <si>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</si>
  <si>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</si>
  <si>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</si>
  <si>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</si>
  <si>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</si>
  <si>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</si>
  <si>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</si>
  <si>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</si>
  <si>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</si>
  <si>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</si>
  <si>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</si>
  <si>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</si>
  <si>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</si>
  <si>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</si>
  <si>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</si>
  <si>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</si>
  <si>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</si>
  <si>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</si>
  <si>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</si>
  <si>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</si>
  <si>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</si>
  <si>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</si>
  <si>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</si>
  <si>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</si>
  <si>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</si>
  <si>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</si>
  <si>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</si>
  <si>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</si>
  <si>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</si>
  <si>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</si>
  <si>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</si>
  <si>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</si>
  <si>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</si>
  <si>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</si>
  <si>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</si>
  <si>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</si>
  <si>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</si>
  <si>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</si>
  <si>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</si>
  <si>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</si>
  <si>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</si>
  <si>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</si>
  <si>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</si>
  <si>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</si>
  <si>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</si>
  <si>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</si>
  <si>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</si>
  <si>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</si>
  <si>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</si>
  <si>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</si>
  <si>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</si>
  <si>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</si>
  <si>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</si>
  <si>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</si>
  <si>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</si>
  <si>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</si>
  <si>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</si>
  <si>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</si>
  <si>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</si>
  <si>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</si>
  <si>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</si>
  <si>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</si>
  <si>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</si>
  <si>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</si>
  <si>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</si>
  <si>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</si>
  <si>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</si>
  <si>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</si>
  <si>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</si>
  <si>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</si>
  <si>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</si>
  <si>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</si>
  <si>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</si>
  <si>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</si>
  <si>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</si>
  <si>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</si>
  <si>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</si>
  <si>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</si>
  <si>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</si>
  <si>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</si>
  <si>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</si>
  <si>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</si>
  <si>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</si>
  <si>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</si>
  <si>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</si>
  <si>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</si>
  <si>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</si>
  <si>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</si>
  <si>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</si>
  <si>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</si>
  <si>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</si>
  <si>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</si>
  <si>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</si>
  <si>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</si>
  <si>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</si>
  <si>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</si>
  <si>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</si>
  <si>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</si>
  <si>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</si>
  <si>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</si>
  <si>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</si>
  <si>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</si>
  <si>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</si>
  <si>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</si>
  <si>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</si>
  <si>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</si>
  <si>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</si>
  <si>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</si>
  <si>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</si>
  <si>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</si>
  <si>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</si>
  <si>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</si>
  <si>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</si>
  <si>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</si>
  <si>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</si>
  <si>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</si>
  <si>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</si>
  <si>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</si>
  <si>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</si>
  <si>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</si>
  <si>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</si>
  <si>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</si>
  <si>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</si>
  <si>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</si>
  <si>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</si>
  <si>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</si>
  <si>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</si>
  <si>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</si>
  <si>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</si>
  <si>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</si>
  <si>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</si>
  <si>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</si>
  <si>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</si>
  <si>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</si>
  <si>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</si>
  <si>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</si>
  <si>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</si>
  <si>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</si>
  <si>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</si>
  <si>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</si>
  <si>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</si>
  <si>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</si>
  <si>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</si>
  <si>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</si>
  <si>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</si>
  <si>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</si>
  <si>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</si>
  <si>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</si>
  <si>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</si>
  <si>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</si>
  <si>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</si>
  <si>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</si>
  <si>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</si>
  <si>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</si>
  <si>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</si>
  <si>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</si>
  <si>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</si>
  <si>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</si>
  <si>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</si>
  <si>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</si>
  <si>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</si>
  <si>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</si>
  <si>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</si>
  <si>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</si>
  <si>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</si>
  <si>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</si>
  <si>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</si>
  <si>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</si>
  <si>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</si>
  <si>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</si>
  <si>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</si>
  <si>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</si>
  <si>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</si>
  <si>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</si>
  <si>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</si>
  <si>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</si>
  <si>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</si>
  <si>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</si>
  <si>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</si>
  <si>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</si>
  <si>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</si>
  <si>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</si>
  <si>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</si>
  <si>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</si>
  <si>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</si>
  <si>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</si>
  <si>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</si>
  <si>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</si>
  <si>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</si>
  <si>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</si>
  <si>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</si>
  <si>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</si>
  <si>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</si>
  <si>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</si>
  <si>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</si>
  <si>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</si>
  <si>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</si>
  <si>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</si>
  <si>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</si>
  <si>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</si>
  <si>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</si>
  <si>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</si>
  <si>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</si>
  <si>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</si>
  <si>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</si>
  <si>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</si>
  <si>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</si>
  <si>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</si>
  <si>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</si>
  <si>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</si>
  <si>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</si>
  <si>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</si>
  <si>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</si>
  <si>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</si>
  <si>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</si>
  <si>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</si>
  <si>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</si>
  <si>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</si>
  <si>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</si>
  <si>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</si>
  <si>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</si>
  <si>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</si>
  <si>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</si>
  <si>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</si>
  <si>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</si>
  <si>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</si>
  <si>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</si>
  <si>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</si>
  <si>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</si>
  <si>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</si>
  <si>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</si>
  <si>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</si>
  <si>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</si>
  <si>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</si>
  <si>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</si>
  <si>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</si>
  <si>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</si>
  <si>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</si>
  <si>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</si>
  <si>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</si>
  <si>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</si>
  <si>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</si>
  <si>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</si>
  <si>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</si>
  <si>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</si>
  <si>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</si>
  <si>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</si>
  <si>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</si>
  <si>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</si>
  <si>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</si>
  <si>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</si>
  <si>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</si>
  <si>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</si>
  <si>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</si>
  <si>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</si>
  <si>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</si>
  <si>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</si>
  <si>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</si>
  <si>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</si>
  <si>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</si>
  <si>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</si>
  <si>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</si>
  <si>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</si>
  <si>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</si>
  <si>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</si>
  <si>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</si>
  <si>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</si>
  <si>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</si>
  <si>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</si>
  <si>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</si>
  <si>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</si>
  <si>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</si>
  <si>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</si>
  <si>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</si>
  <si>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</si>
  <si>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</si>
  <si>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</si>
  <si>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</si>
  <si>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</si>
  <si>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</si>
  <si>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</si>
  <si>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</si>
  <si>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</si>
  <si>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</si>
  <si>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</si>
  <si>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</si>
  <si>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</si>
  <si>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</si>
  <si>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</si>
  <si>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</si>
  <si>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</si>
  <si>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</si>
  <si>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</si>
  <si>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</si>
  <si>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</si>
  <si>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</si>
  <si>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</si>
  <si>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</si>
  <si>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</si>
  <si>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</si>
  <si>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</si>
  <si>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</si>
  <si>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</si>
  <si>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</si>
  <si>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</si>
  <si>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</si>
  <si>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</si>
  <si>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</si>
  <si>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</si>
  <si>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</si>
  <si>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</si>
  <si>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</si>
  <si>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</si>
  <si>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</si>
  <si>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</si>
  <si>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</si>
  <si>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</si>
  <si>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</si>
  <si>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</si>
  <si>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</si>
  <si>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</si>
  <si>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</si>
  <si>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</si>
  <si>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</si>
  <si>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</si>
  <si>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</si>
  <si>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</si>
  <si>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</si>
  <si>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</si>
  <si>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</si>
  <si>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</si>
  <si>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</si>
  <si>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</si>
  <si>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</si>
  <si>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</si>
  <si>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</si>
  <si>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</si>
  <si>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</si>
  <si>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</si>
  <si>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</si>
  <si>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</si>
  <si>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</si>
  <si>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</si>
  <si>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</si>
  <si>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</si>
  <si>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</si>
  <si>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</si>
  <si>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</si>
  <si>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</si>
  <si>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</si>
  <si>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</si>
  <si>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</si>
  <si>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</si>
  <si>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</si>
  <si>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</si>
  <si>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</si>
  <si>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</si>
  <si>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</si>
  <si>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</si>
  <si>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</si>
  <si>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</si>
  <si>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</si>
  <si>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</si>
  <si>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</si>
  <si>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</si>
  <si>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</si>
  <si>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</si>
  <si>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</si>
  <si>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</si>
  <si>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</si>
  <si>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</si>
  <si>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</si>
  <si>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</si>
  <si>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</si>
  <si>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</si>
  <si>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</si>
  <si>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</si>
  <si>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</si>
  <si>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</si>
  <si>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</si>
  <si>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</si>
  <si>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</si>
  <si>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</si>
  <si>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</si>
  <si>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</si>
  <si>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</si>
  <si>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</si>
  <si>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</si>
  <si>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</si>
  <si>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</si>
  <si>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</si>
  <si>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</si>
  <si>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</si>
  <si>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</si>
  <si>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</si>
  <si>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</si>
  <si>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</si>
  <si>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</si>
  <si>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</si>
  <si>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</si>
  <si>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</si>
  <si>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</si>
  <si>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</si>
  <si>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</si>
  <si>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</si>
  <si>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</si>
  <si>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</si>
  <si>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</si>
  <si>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</si>
  <si>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</si>
  <si>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</si>
  <si>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</si>
  <si>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</si>
  <si>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</si>
  <si>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</si>
  <si>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</si>
  <si>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</si>
  <si>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</si>
  <si>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</si>
  <si>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</si>
  <si>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</si>
  <si>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</si>
  <si>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</si>
  <si>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</si>
  <si>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</si>
  <si>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</si>
  <si>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</si>
  <si>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</si>
  <si>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</si>
  <si>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</si>
  <si>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</si>
  <si>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</si>
  <si>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</si>
  <si>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</si>
  <si>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</si>
  <si>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</si>
  <si>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</si>
  <si>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</si>
  <si>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</si>
  <si>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</si>
  <si>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</si>
  <si>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</si>
  <si>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</si>
  <si>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</si>
  <si>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</si>
  <si>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</si>
  <si>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</si>
  <si>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</si>
  <si>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</si>
  <si>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</si>
  <si>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</si>
  <si>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</si>
  <si>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</si>
  <si>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</si>
  <si>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</si>
  <si>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</si>
  <si>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</si>
  <si>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</si>
  <si>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</si>
  <si>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</si>
  <si>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</si>
  <si>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</si>
  <si>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</si>
  <si>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</si>
  <si>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</si>
  <si>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</si>
  <si>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</si>
  <si>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</si>
  <si>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</si>
  <si>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</si>
  <si>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</si>
  <si>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</si>
  <si>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</si>
  <si>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</si>
  <si>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</si>
  <si>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</si>
  <si>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</si>
  <si>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</si>
  <si>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</si>
  <si>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</si>
  <si>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</si>
  <si>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</si>
  <si>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</si>
  <si>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</si>
  <si>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</si>
  <si>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</si>
  <si>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</si>
  <si>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</si>
  <si>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</si>
  <si>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</si>
  <si>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</si>
  <si>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</si>
  <si>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</si>
  <si>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</si>
  <si>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</si>
  <si>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</si>
  <si>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</si>
  <si>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</si>
  <si>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</si>
  <si>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</si>
  <si>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</si>
  <si>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</si>
  <si>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</si>
  <si>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</si>
  <si>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</si>
  <si>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</si>
  <si>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</si>
  <si>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</si>
  <si>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</si>
  <si>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</si>
  <si>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</si>
  <si>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</si>
  <si>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</si>
  <si>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</si>
  <si>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</si>
  <si>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</si>
  <si>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</si>
  <si>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</si>
  <si>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</si>
  <si>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</si>
  <si>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</si>
  <si>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</si>
  <si>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</si>
  <si>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</si>
  <si>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</si>
  <si>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</si>
  <si>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</si>
  <si>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</si>
  <si>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</si>
  <si>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</si>
  <si>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</si>
  <si>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</si>
  <si>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</si>
  <si>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</si>
  <si>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</si>
  <si>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</si>
  <si>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</si>
  <si>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</si>
  <si>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</si>
  <si>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</si>
  <si>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</si>
  <si>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</si>
  <si>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</si>
  <si>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</si>
  <si>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</si>
  <si>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</si>
  <si>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</si>
  <si>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</si>
  <si>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</si>
  <si>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</si>
  <si>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</si>
  <si>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</si>
  <si>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</si>
  <si>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</si>
  <si>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</si>
  <si>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</si>
  <si>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</si>
  <si>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</si>
  <si>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</si>
  <si>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</si>
  <si>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</si>
  <si>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</si>
  <si>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</si>
  <si>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</si>
  <si>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</si>
  <si>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</si>
  <si>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</si>
  <si>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</si>
  <si>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</si>
  <si>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</si>
  <si>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</si>
  <si>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</si>
  <si>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</si>
  <si>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</si>
  <si>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</si>
  <si>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</si>
  <si>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</si>
  <si>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</si>
  <si>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</si>
  <si>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</si>
  <si>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</si>
  <si>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</si>
  <si>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</si>
  <si>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</si>
  <si>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</si>
  <si>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</si>
  <si>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</si>
  <si>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</si>
  <si>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</si>
  <si>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</si>
  <si>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</si>
  <si>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</si>
  <si>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</si>
  <si>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</si>
  <si>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</si>
  <si>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</si>
  <si>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</si>
  <si>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</si>
  <si>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</si>
  <si>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</si>
  <si>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</si>
  <si>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</si>
  <si>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</si>
  <si>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</si>
  <si>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</si>
  <si>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</si>
  <si>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</si>
  <si>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</si>
  <si>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</si>
  <si>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</si>
  <si>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</si>
  <si>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</si>
  <si>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</si>
  <si>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</si>
  <si>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</si>
  <si>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</si>
  <si>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</si>
  <si>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</si>
  <si>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</si>
  <si>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</si>
  <si>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</si>
  <si>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</si>
  <si>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</si>
  <si>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</si>
  <si>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</si>
  <si>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</si>
  <si>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</si>
  <si>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</si>
  <si>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</si>
  <si>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</si>
  <si>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</si>
  <si>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</si>
  <si>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</si>
  <si>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</si>
  <si>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</si>
  <si>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</si>
  <si>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</si>
  <si>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</si>
  <si>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</si>
  <si>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</si>
  <si>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</si>
  <si>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</si>
  <si>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</si>
  <si>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</si>
  <si>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</si>
  <si>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</si>
  <si>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</si>
  <si>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</si>
  <si>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</si>
  <si>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</si>
  <si>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</si>
  <si>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</si>
  <si>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</si>
  <si>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</si>
  <si>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</si>
  <si>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</si>
  <si>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</si>
  <si>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</si>
  <si>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</si>
  <si>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</si>
  <si>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</si>
  <si>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</si>
  <si>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</si>
  <si>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</si>
  <si>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</si>
  <si>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</si>
  <si>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</si>
  <si>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</si>
  <si>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</si>
  <si>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</si>
  <si>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</si>
  <si>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</si>
  <si>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</si>
  <si>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</si>
  <si>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</si>
  <si>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</si>
  <si>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</si>
  <si>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</si>
  <si>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</si>
  <si>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</si>
  <si>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</si>
  <si>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</si>
  <si>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</si>
  <si>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</si>
  <si>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</si>
  <si>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</si>
  <si>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</si>
  <si>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</si>
  <si>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</si>
  <si>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</si>
  <si>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</si>
  <si>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</si>
  <si>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</si>
  <si>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</si>
  <si>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</si>
  <si>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</si>
  <si>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</si>
  <si>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</si>
  <si>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</si>
  <si>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</si>
  <si>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</si>
  <si>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</si>
  <si>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</si>
  <si>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</si>
  <si>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</si>
  <si>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</si>
  <si>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</si>
  <si>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</si>
  <si>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</si>
  <si>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</si>
  <si>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</si>
  <si>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</si>
  <si>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</si>
  <si>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</si>
  <si>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</si>
  <si>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</si>
  <si>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</si>
  <si>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</si>
  <si>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</si>
  <si>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</si>
  <si>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</si>
  <si>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</si>
  <si>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</si>
  <si>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</si>
  <si>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</si>
  <si>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</si>
  <si>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</si>
  <si>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</si>
  <si>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</si>
  <si>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</si>
  <si>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</si>
  <si>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</si>
  <si>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</si>
  <si>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</si>
  <si>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</si>
  <si>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</si>
  <si>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</si>
  <si>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</si>
  <si>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</si>
  <si>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</si>
  <si>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</si>
  <si>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</si>
  <si>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</si>
  <si>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</si>
  <si>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</si>
  <si>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</si>
  <si>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</si>
  <si>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</si>
  <si>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</si>
  <si>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</si>
  <si>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</si>
  <si>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</si>
  <si>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</si>
  <si>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</si>
  <si>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</si>
  <si>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</si>
  <si>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</si>
  <si>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</si>
  <si>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</si>
  <si>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</si>
  <si>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</si>
  <si>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</si>
  <si>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</si>
  <si>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</si>
  <si>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</si>
  <si>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</si>
  <si>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</si>
  <si>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</si>
  <si>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</si>
  <si>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</si>
  <si>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</si>
  <si>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</si>
  <si>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</si>
  <si>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</si>
  <si>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</si>
  <si>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</si>
  <si>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</si>
  <si>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</si>
  <si>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</si>
  <si>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</si>
  <si>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</si>
  <si>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</si>
  <si>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</si>
  <si>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</si>
  <si>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</si>
  <si>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</si>
  <si>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</si>
  <si>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</si>
  <si>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</si>
  <si>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</si>
  <si>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</si>
  <si>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</si>
  <si>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</si>
  <si>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</si>
  <si>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</si>
  <si>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</si>
  <si>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</si>
  <si>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</si>
  <si>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</si>
  <si>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</si>
  <si>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</si>
  <si>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</si>
  <si>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</si>
  <si>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</si>
  <si>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</si>
  <si>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</si>
  <si>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</si>
  <si>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</si>
  <si>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</si>
  <si>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</si>
  <si>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</si>
  <si>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</si>
  <si>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</si>
  <si>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</si>
  <si>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</si>
  <si>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</si>
  <si>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</si>
  <si>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</si>
  <si>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</si>
  <si>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</si>
  <si>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</si>
  <si>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</si>
  <si>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</si>
  <si>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</si>
  <si>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</si>
  <si>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</si>
  <si>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</si>
  <si>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</si>
  <si>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</si>
  <si>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</si>
  <si>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</si>
  <si>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</si>
  <si>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</si>
  <si>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</si>
  <si>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</si>
  <si>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</si>
  <si>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</si>
  <si>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</si>
  <si>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</si>
  <si>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</si>
  <si>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</si>
  <si>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</si>
  <si>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</si>
  <si>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</si>
  <si>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</si>
  <si>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</si>
  <si>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</si>
  <si>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</si>
  <si>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</si>
  <si>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</si>
  <si>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</si>
  <si>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</si>
  <si>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</si>
  <si>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</si>
  <si>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</si>
  <si>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</si>
  <si>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</si>
  <si>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</si>
  <si>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</si>
  <si>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</si>
  <si>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</si>
  <si>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</si>
  <si>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</si>
  <si>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</si>
  <si>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</si>
  <si>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</si>
  <si>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</si>
  <si>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</si>
  <si>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</si>
  <si>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</si>
  <si>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</si>
  <si>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</si>
  <si>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</si>
  <si>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</si>
  <si>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</si>
  <si>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</si>
  <si>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</si>
  <si>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</si>
  <si>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</si>
  <si>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</si>
  <si>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</si>
  <si>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</si>
  <si>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</si>
  <si>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</si>
  <si>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</si>
  <si>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</si>
  <si>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</si>
  <si>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</si>
  <si>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</si>
  <si>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</si>
  <si>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</si>
  <si>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</si>
  <si>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</si>
  <si>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</si>
  <si>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</si>
  <si>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</si>
  <si>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</si>
  <si>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</si>
  <si>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</si>
  <si>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</si>
  <si>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</si>
  <si>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</si>
  <si>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</si>
  <si>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</si>
  <si>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</si>
  <si>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</si>
  <si>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</si>
  <si>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</si>
  <si>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</si>
  <si>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</si>
  <si>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</si>
  <si>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</si>
  <si>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</si>
  <si>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</si>
  <si>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</si>
  <si>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</si>
  <si>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</si>
  <si>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</si>
  <si>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</si>
  <si>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</si>
  <si>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</si>
  <si>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</si>
  <si>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</si>
  <si>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</si>
  <si>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</si>
  <si>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</si>
  <si>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</si>
  <si>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</si>
  <si>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</si>
  <si>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</si>
  <si>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</si>
  <si>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</si>
  <si>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</si>
  <si>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</si>
  <si>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</si>
  <si>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</si>
  <si>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</si>
  <si>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</si>
  <si>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</si>
  <si>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</si>
  <si>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</si>
  <si>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</si>
  <si>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</si>
  <si>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</si>
  <si>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</si>
  <si>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</si>
  <si>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</si>
  <si>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</si>
  <si>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</si>
  <si>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</si>
  <si>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</si>
  <si>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</si>
  <si>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</si>
  <si>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</si>
  <si>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</si>
  <si>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</si>
  <si>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</si>
  <si>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</si>
  <si>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</si>
  <si>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</si>
  <si>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</si>
  <si>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</si>
  <si>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</si>
  <si>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</si>
  <si>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</si>
  <si>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</si>
  <si>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</si>
  <si>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</si>
  <si>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</si>
  <si>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</si>
  <si>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</si>
  <si>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</si>
  <si>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</si>
  <si>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</si>
  <si>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</si>
  <si>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</si>
  <si>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</si>
  <si>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</si>
  <si>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</si>
  <si>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</si>
  <si>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</si>
  <si>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</si>
  <si>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</si>
  <si>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</si>
  <si>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</si>
  <si>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</si>
  <si>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</si>
  <si>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</si>
  <si>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</si>
  <si>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</si>
  <si>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</si>
  <si>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</si>
  <si>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</si>
  <si>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</si>
  <si>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</si>
  <si>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</si>
  <si>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</si>
  <si>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</si>
  <si>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</si>
  <si>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</si>
  <si>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</si>
  <si>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</si>
  <si>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</si>
  <si>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</si>
  <si>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</si>
  <si>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</si>
  <si>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</si>
  <si>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</si>
  <si>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</si>
  <si>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</si>
  <si>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</si>
  <si>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</si>
  <si>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</si>
  <si>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</si>
  <si>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</si>
  <si>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</si>
  <si>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</si>
  <si>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</si>
  <si>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</si>
  <si>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</si>
  <si>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</si>
  <si>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</si>
  <si>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</si>
  <si>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</si>
  <si>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</si>
  <si>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</si>
  <si>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</si>
  <si>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</si>
  <si>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</si>
  <si>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</si>
  <si>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</si>
  <si>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</si>
  <si>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</si>
  <si>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</si>
  <si>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</si>
  <si>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</si>
  <si>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</si>
  <si>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</si>
  <si>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</si>
  <si>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</si>
  <si>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</si>
  <si>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</si>
  <si>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</si>
  <si>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</si>
  <si>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</si>
  <si>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</si>
  <si>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</si>
  <si>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</si>
  <si>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</si>
  <si>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</si>
  <si>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</si>
  <si>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</si>
  <si>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</si>
  <si>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</si>
  <si>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</si>
  <si>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</si>
  <si>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</si>
  <si>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</si>
  <si>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</si>
  <si>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</si>
  <si>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</si>
  <si>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</si>
  <si>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</si>
  <si>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</si>
  <si>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</si>
  <si>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</si>
  <si>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</si>
  <si>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</si>
  <si>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</si>
  <si>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</si>
  <si>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</si>
  <si>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</si>
  <si>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</si>
  <si>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</si>
  <si>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</si>
  <si>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</si>
  <si>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</si>
  <si>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</si>
  <si>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</si>
  <si>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</si>
  <si>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</si>
  <si>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</si>
  <si>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</si>
  <si>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</si>
  <si>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</si>
  <si>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</si>
  <si>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</si>
  <si>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</si>
  <si>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</si>
  <si>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</si>
  <si>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</si>
  <si>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</si>
  <si>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</si>
  <si>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</si>
  <si>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</si>
  <si>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</si>
  <si>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</si>
  <si>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</si>
  <si>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</si>
  <si>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</si>
  <si>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</si>
  <si>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</si>
  <si>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</si>
  <si>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</si>
  <si>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</si>
  <si>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</si>
  <si>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</si>
  <si>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</si>
  <si>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</si>
  <si>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</si>
  <si>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</si>
  <si>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不临街</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</si>
  <si>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</si>
  <si>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</si>
  <si>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</si>
  <si>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</si>
  <si>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</si>
  <si>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</si>
  <si>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</si>
  <si>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</si>
  <si>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</si>
  <si>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</si>
  <si>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</si>
  <si>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</si>
  <si>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</si>
  <si>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商业2</t>
  </si>
  <si>
    <t>商业6</t>
  </si>
  <si>
    <t>收益法-2号楼</t>
    <phoneticPr fontId="16" type="noConversion"/>
  </si>
  <si>
    <t>收益法-6号楼</t>
  </si>
  <si>
    <t>收益法-6号楼</t>
    <phoneticPr fontId="16" type="noConversion"/>
  </si>
  <si>
    <t>自定义容积率</t>
  </si>
  <si>
    <t>与级别开发程度一致</t>
  </si>
  <si>
    <t>中心城区以外</t>
  </si>
  <si>
    <t>成本法-2号楼</t>
    <phoneticPr fontId="16" type="noConversion"/>
  </si>
  <si>
    <t>成本法-6号楼</t>
  </si>
  <si>
    <t>成本法-6号楼</t>
    <phoneticPr fontId="16" type="noConversion"/>
  </si>
  <si>
    <t>收益法 (元)</t>
  </si>
  <si>
    <t>楼层修正</t>
  </si>
  <si>
    <t>中心城区</t>
  </si>
  <si>
    <t>成本法 (元)</t>
  </si>
  <si>
    <t>办公项目</t>
  </si>
  <si>
    <t>高区</t>
    <phoneticPr fontId="31" type="noConversion"/>
  </si>
  <si>
    <t>中区</t>
    <phoneticPr fontId="31" type="noConversion"/>
  </si>
  <si>
    <t>低区</t>
    <phoneticPr fontId="31" type="noConversion"/>
  </si>
  <si>
    <t>报价</t>
  </si>
  <si>
    <t>报价</t>
    <phoneticPr fontId="31" type="noConversion"/>
  </si>
  <si>
    <t>办公</t>
    <phoneticPr fontId="31" type="noConversion"/>
  </si>
  <si>
    <t>办公</t>
    <phoneticPr fontId="7" type="noConversion"/>
  </si>
  <si>
    <t>比较法-办公</t>
  </si>
  <si>
    <t>地下</t>
  </si>
  <si>
    <t>独栋办公</t>
  </si>
  <si>
    <t>独栋办公</t>
    <phoneticPr fontId="31" type="noConversion"/>
  </si>
  <si>
    <t>企业</t>
  </si>
  <si>
    <t>是否有地下</t>
    <phoneticPr fontId="31" type="noConversion"/>
  </si>
  <si>
    <t>是</t>
    <phoneticPr fontId="31" type="noConversion"/>
  </si>
  <si>
    <t>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</si>
</sst>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37067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66667" cy="1790476"/>
        </a:xfrm>
        <a:prstGeom prst="rect">
          <a:avLst/>
        </a:prstGeom>
      </xdr:spPr>
    </xdr:pic>
    <xdr:clientData/>
  </xdr:twoCellAnchor>
  <xdr:twoCellAnchor editAs="oneCell">
    <xdr:from>
      <xdr:col>0</xdr:col>
      <xdr:colOff>0</xdr:colOff>
      <xdr:row>11</xdr:row>
      <xdr:rowOff>0</xdr:rowOff>
    </xdr:from>
    <xdr:to>
      <xdr:col>12</xdr:col>
      <xdr:colOff>9525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239125" cy="1729761"/>
        </a:xfrm>
        <a:prstGeom prst="rect">
          <a:avLst/>
        </a:prstGeom>
      </xdr:spPr>
    </xdr:pic>
    <xdr:clientData/>
  </xdr:twoCellAnchor>
  <xdr:twoCellAnchor editAs="oneCell">
    <xdr:from>
      <xdr:col>0</xdr:col>
      <xdr:colOff>0</xdr:colOff>
      <xdr:row>21</xdr:row>
      <xdr:rowOff>0</xdr:rowOff>
    </xdr:from>
    <xdr:to>
      <xdr:col>12</xdr:col>
      <xdr:colOff>208495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438095" cy="1914286"/>
        </a:xfrm>
        <a:prstGeom prst="rect">
          <a:avLst/>
        </a:prstGeom>
      </xdr:spPr>
    </xdr:pic>
    <xdr:clientData/>
  </xdr:twoCellAnchor>
  <xdr:twoCellAnchor editAs="oneCell">
    <xdr:from>
      <xdr:col>0</xdr:col>
      <xdr:colOff>0</xdr:colOff>
      <xdr:row>33</xdr:row>
      <xdr:rowOff>0</xdr:rowOff>
    </xdr:from>
    <xdr:to>
      <xdr:col>12</xdr:col>
      <xdr:colOff>170400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8400000" cy="1895238"/>
        </a:xfrm>
        <a:prstGeom prst="rect">
          <a:avLst/>
        </a:prstGeom>
      </xdr:spPr>
    </xdr:pic>
    <xdr:clientData/>
  </xdr:twoCellAnchor>
  <xdr:twoCellAnchor editAs="oneCell">
    <xdr:from>
      <xdr:col>0</xdr:col>
      <xdr:colOff>0</xdr:colOff>
      <xdr:row>45</xdr:row>
      <xdr:rowOff>0</xdr:rowOff>
    </xdr:from>
    <xdr:to>
      <xdr:col>12</xdr:col>
      <xdr:colOff>84686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7715250"/>
          <a:ext cx="8314286" cy="3419048"/>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715375" y="23735"/>
          <a:ext cx="6390232" cy="5595101"/>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915400" y="5657850"/>
          <a:ext cx="8247619" cy="3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估价对象为北京市房地产，为所有。根据《国有土地使用证》[]，估价对象（分摊）出让国有建设用地使用权面积为0平方米，建筑面积为2389.24平方米。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估价对象为北京市房地产,属开发建设的办公项目，该项目尚在开发建设中。根据《国有土地使用证》[]，估价对象（分摊）出让国有建设用地使用权面积为0平方米，规划建筑面积为2389.24平方米。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2024年6月6日</v>
      </c>
    </row>
    <row r="13" spans="1:2" s="1202" customFormat="1">
      <c r="A13" s="1200" t="s">
        <v>529</v>
      </c>
      <c r="B13" s="1201"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2676</v>
      </c>
    </row>
    <row r="21" spans="1:2" s="1202" customFormat="1">
      <c r="A21" s="1200" t="s">
        <v>537</v>
      </c>
      <c r="B21" s="1201">
        <f ca="1">'预评函-2'!D7</f>
        <v>11200</v>
      </c>
    </row>
    <row r="22" spans="1:2" s="1202" customFormat="1">
      <c r="A22" s="1200" t="s">
        <v>538</v>
      </c>
      <c r="B22" s="1201" t="str">
        <f ca="1">'预评函-2'!D6</f>
        <v>贰仟陆佰柒拾陆万元整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2676</v>
      </c>
    </row>
    <row r="31" spans="1:2" s="1202" customFormat="1">
      <c r="A31" s="1200" t="s">
        <v>576</v>
      </c>
      <c r="B31" s="1201">
        <f ca="1">'预评函-2'!D15</f>
        <v>11200</v>
      </c>
    </row>
    <row r="32" spans="1:2" s="1202" customFormat="1">
      <c r="A32" s="1200" t="s">
        <v>543</v>
      </c>
      <c r="B32" s="1201" t="str">
        <f ca="1">'预评函-2'!D14</f>
        <v>贰仟陆佰柒拾陆万元整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2389.2399999999998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#DIV/0!</v>
      </c>
    </row>
    <row r="48" spans="1:2" s="1202" customFormat="1">
      <c r="A48" s="1200" t="s">
        <v>549</v>
      </c>
      <c r="B48" s="1201" t="e">
        <f ca="1">'预评函-3'!E4</f>
        <v>#DIV/0!</v>
      </c>
    </row>
    <row r="49" spans="1:2" s="1202" customFormat="1">
      <c r="A49" s="1200" t="s">
        <v>550</v>
      </c>
      <c r="B49" s="1201" t="e">
        <f ca="1">'预评函-3'!D5</f>
        <v>#DIV/0!</v>
      </c>
    </row>
    <row r="50" spans="1:2" s="1202" customFormat="1">
      <c r="A50" s="1200" t="s">
        <v>574</v>
      </c>
      <c r="B50" s="1201" t="str">
        <f>'预评函-3'!F2</f>
        <v>在建建筑物价值</v>
      </c>
    </row>
    <row r="51" spans="1:2" s="1202" customFormat="1">
      <c r="A51" s="1200" t="s">
        <v>551</v>
      </c>
      <c r="B51" s="1201" t="e">
        <f ca="1">'预评函-3'!F4</f>
        <v>#DIV/0!</v>
      </c>
    </row>
    <row r="52" spans="1:2" s="1202" customFormat="1">
      <c r="A52" s="1200" t="s">
        <v>552</v>
      </c>
      <c r="B52" s="1201" t="e">
        <f ca="1">'预评函-3'!G4</f>
        <v>#DIV/0!</v>
      </c>
    </row>
    <row r="53" spans="1:2" s="1202" customFormat="1">
      <c r="A53" s="1200" t="s">
        <v>580</v>
      </c>
      <c r="B53" s="1201" t="e">
        <f ca="1">'预评函-3'!F5</f>
        <v>#DIV/0!</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3460</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3456</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3454</v>
      </c>
      <c r="C19" s="1546"/>
    </row>
    <row r="20" spans="1:3">
      <c r="A20" s="1545" t="s">
        <v>1046</v>
      </c>
      <c r="B20" s="1545" t="s">
        <v>3462</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3" t="s">
        <v>385</v>
      </c>
      <c r="C54" s="1550" t="s">
        <v>583</v>
      </c>
    </row>
    <row r="55" spans="1:4">
      <c r="A55" s="3532"/>
      <c r="B55" s="1553" t="s">
        <v>386</v>
      </c>
      <c r="C55" s="1550" t="s">
        <v>584</v>
      </c>
    </row>
    <row r="56" spans="1:4">
      <c r="A56" s="3532"/>
      <c r="B56" s="1553" t="s">
        <v>387</v>
      </c>
      <c r="C56" s="1550" t="s">
        <v>588</v>
      </c>
    </row>
    <row r="57" spans="1:4">
      <c r="A57" s="353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3" t="s">
        <v>2581</v>
      </c>
      <c r="J2" s="3533"/>
      <c r="K2" s="3533"/>
      <c r="L2" s="3533"/>
      <c r="M2" s="3533"/>
      <c r="N2" s="3533"/>
      <c r="O2" s="3533"/>
      <c r="P2" s="3533"/>
      <c r="Q2" s="3533"/>
      <c r="R2" s="3533"/>
    </row>
    <row r="3" spans="1:18">
      <c r="A3" s="3019" t="s">
        <v>2502</v>
      </c>
      <c r="B3" s="3020">
        <f>项目基本情况!D3</f>
        <v>45449</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34" t="str">
        <f>IF(B10="北京市","北京市",C10)&amp;F10&amp;IF(结果表!G1="在建","出让国有建设用地使用权及在建建筑物",IF(结果表!G1="土地","出让国有建设用地使用权",))&amp;B9&amp;"预评估"</f>
        <v>北京市房地产抵押价值预评估</v>
      </c>
      <c r="C1" s="3535"/>
      <c r="D1" s="3535"/>
      <c r="E1" s="3535"/>
      <c r="F1" s="3535"/>
      <c r="G1" s="3535"/>
      <c r="H1" s="3535"/>
      <c r="I1" s="353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45449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37"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38"/>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3479</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c r="E13" s="855"/>
      <c r="F13" s="855"/>
      <c r="G13" s="855"/>
      <c r="H13" s="855">
        <v>58802</v>
      </c>
      <c r="I13" s="855"/>
      <c r="J13" s="3061"/>
      <c r="K13" s="2612"/>
      <c r="L13" s="2612"/>
      <c r="M13" s="2438"/>
      <c r="N13" s="2449"/>
      <c r="O13" s="2438"/>
      <c r="P13" s="2438"/>
      <c r="Q13" s="2438"/>
      <c r="AD13" s="1744"/>
    </row>
    <row r="14" spans="1:30">
      <c r="A14" s="1080"/>
      <c r="B14" s="2406" t="s">
        <v>2188</v>
      </c>
      <c r="C14" s="2407"/>
      <c r="D14" s="2407"/>
      <c r="E14" s="2407"/>
      <c r="F14" s="2407"/>
      <c r="G14" s="2407"/>
      <c r="H14" s="2407">
        <v>50</v>
      </c>
      <c r="I14" s="2407"/>
      <c r="J14" s="3062"/>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36.58</v>
      </c>
      <c r="I15" s="2409" t="str">
        <f>IF(A13="出让",IF(I13="","",ROUNDDOWN(MIN((I13-$D$3)/365,I14),2)),I14)</f>
        <v/>
      </c>
      <c r="J15" s="3063"/>
      <c r="K15" s="2450"/>
      <c r="L15" s="2450"/>
      <c r="M15" s="2508"/>
      <c r="N15" s="2450"/>
      <c r="O15" s="2508"/>
      <c r="P15" s="2438"/>
      <c r="Q15" s="2438"/>
      <c r="AD15" s="1744"/>
    </row>
    <row r="16" spans="1:30">
      <c r="A16" s="2399" t="s">
        <v>2190</v>
      </c>
      <c r="B16" s="3544"/>
      <c r="C16" s="3545"/>
      <c r="D16" s="3546"/>
      <c r="E16" s="2412" t="s">
        <v>2191</v>
      </c>
      <c r="F16" s="3547"/>
      <c r="G16" s="3548"/>
      <c r="H16" s="3548"/>
      <c r="I16" s="3549"/>
      <c r="J16" s="2438"/>
      <c r="K16" s="2616"/>
      <c r="L16" s="2450"/>
      <c r="M16" s="2450"/>
      <c r="N16" s="2508"/>
      <c r="O16" s="2450"/>
      <c r="P16" s="2508"/>
      <c r="Q16" s="2438"/>
      <c r="R16" s="2438"/>
    </row>
    <row r="17" spans="1:28">
      <c r="A17" s="313" t="s">
        <v>2192</v>
      </c>
      <c r="B17" s="302" t="s">
        <v>2193</v>
      </c>
      <c r="C17" s="8">
        <f>'数据-汇总表'!E3</f>
        <v>2389.2399999999998</v>
      </c>
      <c r="D17" s="2321" t="s">
        <v>2194</v>
      </c>
      <c r="E17" s="3550" t="s">
        <v>2195</v>
      </c>
      <c r="F17" s="3551"/>
      <c r="G17" s="3551"/>
      <c r="H17" s="3551"/>
      <c r="I17" s="3552"/>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53" t="s">
        <v>2199</v>
      </c>
      <c r="F18" s="3554"/>
      <c r="G18" s="3554"/>
      <c r="H18" s="3554"/>
      <c r="I18" s="3555"/>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40" t="s">
        <v>2203</v>
      </c>
      <c r="C20" s="3541"/>
      <c r="D20" s="3542" t="s">
        <v>2204</v>
      </c>
      <c r="E20" s="3543"/>
      <c r="F20" s="2646" t="s">
        <v>1054</v>
      </c>
      <c r="G20" s="2663"/>
      <c r="H20" s="2663"/>
      <c r="I20" s="2663"/>
      <c r="J20" s="2438"/>
      <c r="K20" s="3539"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2005</v>
      </c>
      <c r="H21" s="2663"/>
      <c r="I21" s="2663"/>
      <c r="J21" s="2438"/>
      <c r="K21" s="353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19</v>
      </c>
      <c r="H22" s="2663"/>
      <c r="I22" s="2663"/>
      <c r="J22" s="2438"/>
      <c r="K22" s="353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50-(G22+'数据-取费表'!B20)</f>
        <v>29</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7" t="s">
        <v>2211</v>
      </c>
      <c r="B27" s="320" t="s">
        <v>2212</v>
      </c>
      <c r="C27" s="2415" t="s">
        <v>3467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7"/>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7"/>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8"/>
      <c r="B30" s="302" t="s">
        <v>2215</v>
      </c>
      <c r="C30" s="3559"/>
      <c r="D30" s="3560"/>
      <c r="E30" s="2663"/>
      <c r="F30" s="2663"/>
      <c r="G30" s="2663"/>
      <c r="H30" s="2663"/>
      <c r="I30" s="2663"/>
      <c r="J30" s="2438"/>
      <c r="K30" s="2615"/>
      <c r="L30" s="2612"/>
      <c r="M30" s="2612"/>
      <c r="N30" s="2438"/>
      <c r="O30" s="2449"/>
      <c r="P30" s="2438"/>
      <c r="Q30" s="2438"/>
      <c r="R30" s="2438"/>
      <c r="S30" s="2438"/>
      <c r="T30" s="2438"/>
      <c r="U30" s="2438"/>
      <c r="V30" s="2438"/>
    </row>
    <row r="31" spans="1:28">
      <c r="A31" s="3561"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56" t="s">
        <v>2225</v>
      </c>
      <c r="T34" s="2427" t="str">
        <f>NUMBERSTRING(7-K34,1)&amp;"通"</f>
        <v>七通</v>
      </c>
      <c r="U34" s="2438"/>
      <c r="V34" s="2438"/>
    </row>
    <row r="35" spans="1:30">
      <c r="A35" s="2428"/>
      <c r="B35" s="3563" t="s">
        <v>2226</v>
      </c>
      <c r="C35" s="3563"/>
      <c r="D35" s="3563"/>
      <c r="E35" s="356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6"/>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t="s">
        <v>110</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2389.2399999999998</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2389.2399999999998</v>
      </c>
      <c r="H5" s="13">
        <f t="shared" ref="H5:AT5" si="0">SUM(H13:H656)</f>
        <v>2389.2399999999998</v>
      </c>
      <c r="I5" s="13">
        <f t="shared" si="0"/>
        <v>1911.3919999999998</v>
      </c>
      <c r="J5" s="13">
        <f t="shared" si="0"/>
        <v>0</v>
      </c>
      <c r="K5" s="13">
        <f t="shared" si="0"/>
        <v>477.84799999999996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2389.2399999999998</v>
      </c>
      <c r="BA5" s="15">
        <f t="shared" si="1"/>
        <v>2389.2399999999998</v>
      </c>
      <c r="BB5" s="15">
        <f t="shared" si="1"/>
        <v>1911.3919999999998</v>
      </c>
      <c r="BC5" s="15">
        <f t="shared" si="1"/>
        <v>477.84799999999996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t="s">
        <v>3476</v>
      </c>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3389</v>
      </c>
      <c r="E13" s="13">
        <f>IF($C$3="是",ROUND($A$3*G13/$B$3,2),ROUND($A$3*(G13-AT13)/$B$3,2))</f>
        <v>0</v>
      </c>
      <c r="F13" s="29"/>
      <c r="G13" s="30">
        <f>H13+AC13+AT13</f>
        <v>2389.2399999999998</v>
      </c>
      <c r="H13" s="17">
        <f>SUMIF(I$12:AB$12,"总值",I13:AB13)</f>
        <v>2389.2399999999998</v>
      </c>
      <c r="I13" s="1625">
        <f>2389.24-K13</f>
        <v>1911.3919999999998</v>
      </c>
      <c r="J13" s="1625"/>
      <c r="K13" s="1625">
        <f>2389.24/5</f>
        <v>477.84799999999996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2389.2399999999998</v>
      </c>
      <c r="BA13" s="13">
        <f>SUM(BB13:BK13)</f>
        <v>2389.2399999999998</v>
      </c>
      <c r="BB13" s="13">
        <f>IF($D13="是",I13-J13,0)</f>
        <v>1911.3919999999998</v>
      </c>
      <c r="BC13" s="13">
        <f>IF($D13="是",K13-L13,0)</f>
        <v>477.84799999999996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3" t="s">
        <v>1129</v>
      </c>
      <c r="B2" s="3573"/>
      <c r="C2" s="3573"/>
      <c r="D2" s="795" t="s">
        <v>1105</v>
      </c>
      <c r="E2" s="1638" t="s">
        <v>1106</v>
      </c>
      <c r="F2" s="2658"/>
      <c r="G2" s="2649"/>
      <c r="H2" s="2650"/>
      <c r="I2" s="2324" t="s">
        <v>1130</v>
      </c>
      <c r="J2" s="2658"/>
      <c r="K2" s="2658"/>
      <c r="L2" s="2658"/>
      <c r="M2" s="2658"/>
      <c r="N2" s="2660"/>
      <c r="O2" s="2658"/>
      <c r="P2" s="2658"/>
    </row>
    <row r="3" spans="1:16" ht="15.75" thickBot="1">
      <c r="A3" s="3574" t="s">
        <v>1103</v>
      </c>
      <c r="B3" s="3574"/>
      <c r="C3" s="3574"/>
      <c r="D3" s="43">
        <f>'数据-基础表'!AY6</f>
        <v>0</v>
      </c>
      <c r="E3" s="43">
        <f>'数据-基础表'!AZ5</f>
        <v>2389.2399999999998</v>
      </c>
      <c r="F3" s="2658"/>
      <c r="G3" s="1144"/>
      <c r="H3" s="1025" t="s">
        <v>1104</v>
      </c>
      <c r="I3" s="854" t="e">
        <f>ROUND('数据-基础表'!B3/'数据-基础表'!A3,2)</f>
        <v>#DIV/0!</v>
      </c>
      <c r="J3" s="2658"/>
      <c r="K3" s="2658"/>
      <c r="L3" s="2658"/>
      <c r="M3" s="2658"/>
      <c r="N3" s="2660"/>
      <c r="O3" s="2658"/>
      <c r="P3" s="2658"/>
    </row>
    <row r="4" spans="1:16" ht="15">
      <c r="A4" s="3575"/>
      <c r="B4" s="3576"/>
      <c r="C4" s="3577"/>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78" t="s">
        <v>1108</v>
      </c>
      <c r="C5" s="3578"/>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78" t="s">
        <v>1109</v>
      </c>
      <c r="C6" s="3578"/>
      <c r="D6" s="45">
        <f>ROUND($D$3*E6/$E$3,2)</f>
        <v>0</v>
      </c>
      <c r="E6" s="46">
        <f>E3-E5</f>
        <v>2389.2399999999998</v>
      </c>
      <c r="F6" s="2658"/>
      <c r="G6" s="2652" t="s">
        <v>1110</v>
      </c>
      <c r="H6" s="1145" t="s">
        <v>1111</v>
      </c>
      <c r="I6" s="2653" t="e">
        <f>ROUND(F31/D31,2)</f>
        <v>#DIV/0!</v>
      </c>
      <c r="J6" s="2658"/>
      <c r="K6" s="2658"/>
      <c r="L6" s="2658"/>
      <c r="M6" s="2658"/>
      <c r="N6" s="2658"/>
      <c r="O6" s="2658"/>
      <c r="P6" s="2658"/>
    </row>
    <row r="7" spans="1:16" ht="15.75" thickBot="1">
      <c r="A7" s="3570"/>
      <c r="B7" s="3571"/>
      <c r="C7" s="3572"/>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1911.3919999999998</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1911.3919999999998</v>
      </c>
      <c r="F16" s="2658"/>
      <c r="G16" s="2659"/>
      <c r="H16" s="1647" t="s">
        <v>1133</v>
      </c>
      <c r="I16" s="1648"/>
      <c r="J16" s="1138"/>
      <c r="K16" s="3567" t="s">
        <v>1133</v>
      </c>
      <c r="L16" s="3568"/>
      <c r="M16" s="3568"/>
      <c r="N16" s="3568"/>
      <c r="O16" s="3568"/>
      <c r="P16" s="3569"/>
    </row>
    <row r="17" spans="1:19" ht="15">
      <c r="A17" s="1649" t="s">
        <v>1134</v>
      </c>
      <c r="B17" s="1650" t="s">
        <v>1135</v>
      </c>
      <c r="C17" s="1651" t="s">
        <v>1136</v>
      </c>
      <c r="D17" s="1652" t="s">
        <v>1124</v>
      </c>
      <c r="E17" s="1653" t="s">
        <v>1125</v>
      </c>
      <c r="F17" s="1654"/>
      <c r="G17" s="1655"/>
      <c r="H17" s="1656" t="s">
        <v>1137</v>
      </c>
      <c r="I17" s="1657" t="s">
        <v>1122</v>
      </c>
      <c r="J17" s="1138"/>
      <c r="K17" s="3564" t="s">
        <v>1138</v>
      </c>
      <c r="L17" s="3565"/>
      <c r="M17" s="3566"/>
      <c r="N17" s="3564" t="s">
        <v>1139</v>
      </c>
      <c r="O17" s="3565"/>
      <c r="P17" s="3566"/>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3474</v>
      </c>
      <c r="D19" s="45">
        <f>ROUND($D$3*E19/$E$3,2)</f>
        <v>0</v>
      </c>
      <c r="E19" s="53">
        <f t="shared" ref="E19:E26" si="1">SUM(F19:G19)</f>
        <v>2389.2399999999998</v>
      </c>
      <c r="F19" s="2794">
        <f>'数据-基础表'!I5</f>
        <v>1911.3919999999998</v>
      </c>
      <c r="G19" s="2795">
        <f>'数据-基础表'!K13</f>
        <v>477.84799999999996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2389.2399999999998</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2389.2399999999998</v>
      </c>
      <c r="F27" s="1139">
        <f>IF(SUM(F19:F26)=E8,SUM(F19:F26),"地上面积有误")</f>
        <v>1911.3919999999998</v>
      </c>
      <c r="G27" s="1141">
        <f>SUM(G19:G26)</f>
        <v>477.84799999999996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2389.2399999999998</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2389.2399999999998</v>
      </c>
      <c r="F31" s="676">
        <f>F27+F30</f>
        <v>1911.3919999999998</v>
      </c>
      <c r="G31" s="677">
        <f>G27+G30</f>
        <v>477.84799999999996</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R19" sqref="R1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45449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v>
      </c>
      <c r="D6" s="857">
        <f>SUMIF(项目基本情况!C$12:I$12,C6,项目基本情况!C$14:I$14)</f>
        <v>50</v>
      </c>
      <c r="E6" s="856">
        <f>IF(B6="","",SUMIF(项目基本情况!C$12:I$12,C6,项目基本情况!C$13:I$13))</f>
        <v>58802</v>
      </c>
      <c r="F6" s="64">
        <f>SUMIF(项目基本情况!C$12:I$12,C6,项目基本情况!C$15:I$15)</f>
        <v>36.58</v>
      </c>
      <c r="G6" s="65">
        <f>IF(ISERROR(ROUND(POWER(1+H6,D6-F6)*(POWER(1+H6,F6)-1)/(POWER(1+H6,D6)-1),3)),0,ROUND(POWER(1+H6,D6-F6)*(POWER(1+H6,F6)-1)/(POWER(1+H6,D6)-1),3))</f>
        <v>0.91200000000000003</v>
      </c>
      <c r="H6" s="731">
        <v>0.05</v>
      </c>
      <c r="I6" s="731">
        <v>5.5E-2</v>
      </c>
      <c r="J6" s="66">
        <v>7.0000000000000007E-2</v>
      </c>
      <c r="K6" s="1029">
        <f>SUMIF('数据-汇总表'!C$19:C$33,A6,'数据-汇总表'!E$19:E$33)</f>
        <v>2389.2399999999998</v>
      </c>
      <c r="L6" s="3491">
        <v>4500</v>
      </c>
      <c r="M6" s="67">
        <f t="shared" ref="M6:M14" si="0">ROUND(K6*L6/10000,0)</f>
        <v>1075</v>
      </c>
      <c r="N6" s="730">
        <f>N18</f>
        <v>0.82</v>
      </c>
      <c r="O6" s="67" t="str">
        <f>IF($N$5="成新度","——",ROUND(M6*N6,0))</f>
        <v>——</v>
      </c>
      <c r="P6" s="68" t="str">
        <f>IF($N$5="成新度","——",M6-O6)</f>
        <v>——</v>
      </c>
      <c r="Q6" s="733">
        <v>0.1</v>
      </c>
      <c r="R6" s="69">
        <f ca="1">SUMIF('数据-汇总表'!C$19:C$33,A6,'数据-汇总表'!R$19:R$27)</f>
        <v>0</v>
      </c>
      <c r="S6" s="51">
        <f>IF('数据-汇总表'!$I$17="按面积比例",SUMIF('数据-汇总表'!C$19:C$33,A6,'数据-汇总表'!K$19:K$33),SUMIF('数据-汇总表'!C$19:C$33,A6,'数据-汇总表'!N$19:N$33))</f>
        <v>0</v>
      </c>
      <c r="T6" s="1171">
        <f>ROUND($L$14*S6/10000,0)</f>
        <v>0</v>
      </c>
      <c r="U6" s="3427">
        <v>2</v>
      </c>
      <c r="V6" s="70">
        <v>0.02</v>
      </c>
      <c r="W6" s="70">
        <v>0.15</v>
      </c>
      <c r="X6" s="1039"/>
      <c r="Y6" s="71">
        <f>N6</f>
        <v>0.82</v>
      </c>
      <c r="Z6" s="72"/>
      <c r="AA6" s="66"/>
      <c r="AB6" s="66"/>
      <c r="AC6" s="1039"/>
      <c r="AD6" s="73"/>
      <c r="AE6" s="1040">
        <f ca="1">IF(AN6="",0,SUMIF(INDIRECT("'"&amp;AN6&amp;"'"&amp;"!E:E"),$AE$5,INDIRECT("'"&amp;AN6&amp;"'"&amp;"!F:F")))</f>
        <v>36.58</v>
      </c>
      <c r="AF6" s="1347"/>
      <c r="AG6" s="138">
        <f>IF(AF6="",0,AE6-AF6)</f>
        <v>0</v>
      </c>
      <c r="AH6" s="74"/>
      <c r="AI6" s="76">
        <v>365</v>
      </c>
      <c r="AJ6" s="77"/>
      <c r="AK6" s="78">
        <v>5.0000000000000001E-3</v>
      </c>
      <c r="AL6" s="79">
        <v>1E-3</v>
      </c>
      <c r="AM6" s="80">
        <v>5.0000000000000001E-3</v>
      </c>
      <c r="AN6" s="1714" t="s">
        <v>3463</v>
      </c>
      <c r="AO6" s="52">
        <f ca="1">SUMIF(INDIRECT("'"&amp;AN6&amp;"'"&amp;"!A:A"),"总价",INDIRECT("'"&amp;AN6&amp;"'"&amp;"!B:B"))</f>
        <v>2356.3177000000001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3491"/>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0.91200000000000003</v>
      </c>
      <c r="H16" s="90">
        <f>ROUND(SUMPRODUCT(H6:H13,K6:K13)/SUMPRODUCT((H6:H13&gt;0)*(K6:K13)),3)</f>
        <v>0.05</v>
      </c>
      <c r="I16" s="91"/>
      <c r="J16" s="91"/>
      <c r="K16" s="92">
        <f>SUM(K6:K15)</f>
        <v>2389.2399999999998</v>
      </c>
      <c r="L16" s="93">
        <f>ROUND(M16*10000/SUM(K6:K14),0)</f>
        <v>4499</v>
      </c>
      <c r="M16" s="93">
        <f>SUM(M6:M14)</f>
        <v>1075</v>
      </c>
      <c r="N16" s="94">
        <f>ROUND(SUMPRODUCT(M6:M14,N6:N14)/M16,3)</f>
        <v>0.82</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0.82</v>
      </c>
      <c r="O18" s="2670">
        <v>0.5</v>
      </c>
      <c r="P18" s="2670"/>
      <c r="Q18" s="2670"/>
      <c r="R18" s="2670"/>
      <c r="S18" s="2670"/>
      <c r="T18" s="2670"/>
      <c r="U18" s="2670">
        <v>2700000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v>0.9</v>
      </c>
      <c r="O19" s="2670">
        <f>1-O18</f>
        <v>0.5</v>
      </c>
      <c r="P19" s="2670"/>
      <c r="Q19" s="2670"/>
      <c r="R19" s="2670"/>
      <c r="S19" s="2670"/>
      <c r="T19" s="2670"/>
      <c r="U19" s="2670">
        <f>U18/'数据-基础表'!I13/365</f>
        <v>3.8700906323624897</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0.86</v>
      </c>
      <c r="O20" s="2670"/>
      <c r="P20" s="2670"/>
      <c r="Q20" s="2670"/>
      <c r="R20" s="2670"/>
      <c r="S20" s="2670"/>
      <c r="T20" s="2670"/>
      <c r="U20" s="2670">
        <v>3300000</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t="e">
        <f>U20/K7/365</f>
        <v>#DIV/0!</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ROUND(B28*K16,0)</f>
        <v>477848</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9" t="s">
        <v>2283</v>
      </c>
      <c r="B1" s="3580"/>
      <c r="C1" s="3580"/>
      <c r="D1" s="3580"/>
      <c r="E1" s="3580"/>
      <c r="F1" s="3580"/>
      <c r="G1" s="358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1911.3919999999998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45449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2676</v>
      </c>
      <c r="C5" s="2511">
        <f ca="1">IF(B5=D14,结果表!H102,ROUND(B5*10000/$B$1,0))</f>
        <v>11200</v>
      </c>
      <c r="D5" s="2511" t="e">
        <f ca="1">ROUND(B5*10000/$B$2,0)</f>
        <v>#DIV/0!</v>
      </c>
      <c r="E5" s="2685"/>
      <c r="F5" s="2686"/>
      <c r="G5" s="2686"/>
      <c r="H5" s="2687"/>
      <c r="I5" s="2687"/>
      <c r="J5" s="2687"/>
      <c r="K5" s="2687"/>
    </row>
    <row r="6" spans="1:11" ht="16.5">
      <c r="A6" s="2511" t="s">
        <v>656</v>
      </c>
      <c r="B6" s="2511">
        <f ca="1">SUM(G14:G23)</f>
        <v>2676</v>
      </c>
      <c r="C6" s="2511">
        <f ca="1">IF(B6=G14,结果表!H108,ROUND(B6*10000/$B$1,0))</f>
        <v>11200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'数据-基础表'!I5</f>
        <v>1911.3919999999998</v>
      </c>
      <c r="C14" s="2517"/>
      <c r="D14" s="2517">
        <f ca="1">结果表!H107</f>
        <v>2676</v>
      </c>
      <c r="E14" s="2517">
        <f ca="1">ROUND(D14*10000/B14,0)</f>
        <v>14000</v>
      </c>
      <c r="F14" s="2517" t="e">
        <f ca="1">ROUND(D14*10000/C14,0)</f>
        <v>#DIV/0!</v>
      </c>
      <c r="G14" s="2517">
        <f ca="1">D14</f>
        <v>2676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f>D15</f>
        <v>0</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8" sqref="G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c r="H1" s="1749" t="str">
        <f>IF(G1="现房","——","估价对象范围")</f>
        <v>估价对象范围</v>
      </c>
      <c r="I1" s="1750"/>
    </row>
    <row r="2" spans="1:12" ht="21.75" customHeight="1" thickBot="1">
      <c r="A2" s="3648" t="str">
        <f>项目基本情况!S2</f>
        <v>北京市房地产</v>
      </c>
      <c r="B2" s="3649"/>
      <c r="C2" s="3649"/>
      <c r="D2" s="3649"/>
      <c r="E2" s="3649"/>
      <c r="F2" s="3649"/>
      <c r="G2" s="3649"/>
      <c r="H2" s="3649"/>
      <c r="I2" s="3650"/>
    </row>
    <row r="3" spans="1:12" ht="12.75">
      <c r="A3" s="3652" t="s">
        <v>1262</v>
      </c>
      <c r="B3" s="3653"/>
      <c r="C3" s="3653"/>
      <c r="D3" s="3653"/>
      <c r="E3" s="3653"/>
      <c r="F3" s="3653"/>
      <c r="G3" s="3653"/>
      <c r="H3" s="3653"/>
      <c r="I3" s="3653"/>
    </row>
    <row r="4" spans="1:12" ht="14.25">
      <c r="A4" s="1753" t="s">
        <v>1263</v>
      </c>
      <c r="B4" s="1754" t="s">
        <v>1264</v>
      </c>
      <c r="C4" s="1755" t="s">
        <v>3475</v>
      </c>
      <c r="D4" s="1755" t="s">
        <v>3463</v>
      </c>
      <c r="E4" s="3657" t="s">
        <v>1265</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1266</v>
      </c>
      <c r="B5" s="3651">
        <v>25</v>
      </c>
      <c r="C5" s="3654"/>
      <c r="D5" s="3642"/>
      <c r="E5" s="131" t="s">
        <v>1267</v>
      </c>
      <c r="F5" s="1756"/>
      <c r="G5" s="1756"/>
      <c r="H5" s="1756"/>
      <c r="I5" s="1372"/>
    </row>
    <row r="6" spans="1:12" ht="12.75">
      <c r="A6" s="3596"/>
      <c r="B6" s="3651"/>
      <c r="C6" s="3656"/>
      <c r="D6" s="3642"/>
      <c r="E6" s="131" t="s">
        <v>1268</v>
      </c>
      <c r="F6" s="1756"/>
      <c r="G6" s="1756"/>
      <c r="H6" s="1756"/>
      <c r="I6" s="1372"/>
    </row>
    <row r="7" spans="1:12" ht="12.75">
      <c r="A7" s="3596"/>
      <c r="B7" s="3651"/>
      <c r="C7" s="3655"/>
      <c r="D7" s="3642"/>
      <c r="E7" s="131" t="s">
        <v>1269</v>
      </c>
      <c r="F7" s="1756"/>
      <c r="G7" s="1756"/>
      <c r="H7" s="1756"/>
      <c r="I7" s="1372"/>
    </row>
    <row r="8" spans="1:12" ht="12.75">
      <c r="A8" s="3596" t="s">
        <v>1270</v>
      </c>
      <c r="B8" s="3651">
        <v>15</v>
      </c>
      <c r="C8" s="3654"/>
      <c r="D8" s="3642"/>
      <c r="E8" s="131" t="s">
        <v>1271</v>
      </c>
      <c r="F8" s="1756"/>
      <c r="G8" s="1756"/>
      <c r="H8" s="1756"/>
      <c r="I8" s="1372"/>
    </row>
    <row r="9" spans="1:12" ht="12.75">
      <c r="A9" s="3596"/>
      <c r="B9" s="3651"/>
      <c r="C9" s="3655"/>
      <c r="D9" s="3642"/>
      <c r="E9" s="131" t="s">
        <v>1272</v>
      </c>
      <c r="F9" s="1756"/>
      <c r="G9" s="1756"/>
      <c r="H9" s="1756"/>
      <c r="I9" s="1372"/>
    </row>
    <row r="10" spans="1:12" ht="12.75">
      <c r="A10" s="3596" t="s">
        <v>1273</v>
      </c>
      <c r="B10" s="3651">
        <v>15</v>
      </c>
      <c r="C10" s="3654"/>
      <c r="D10" s="3642"/>
      <c r="E10" s="131" t="s">
        <v>1274</v>
      </c>
      <c r="F10" s="1756"/>
      <c r="G10" s="1756"/>
      <c r="H10" s="1756"/>
      <c r="I10" s="1372"/>
    </row>
    <row r="11" spans="1:12" ht="12.75">
      <c r="A11" s="3596"/>
      <c r="B11" s="3651"/>
      <c r="C11" s="3655"/>
      <c r="D11" s="3642"/>
      <c r="E11" s="131" t="s">
        <v>1275</v>
      </c>
      <c r="F11" s="1756"/>
      <c r="G11" s="1756"/>
      <c r="H11" s="1756"/>
      <c r="I11" s="1372"/>
    </row>
    <row r="12" spans="1:12" ht="12.75">
      <c r="A12" s="3596" t="s">
        <v>1276</v>
      </c>
      <c r="B12" s="3651">
        <v>15</v>
      </c>
      <c r="C12" s="3654"/>
      <c r="D12" s="3642"/>
      <c r="E12" s="131" t="s">
        <v>1277</v>
      </c>
      <c r="F12" s="1756"/>
      <c r="G12" s="1756"/>
      <c r="H12" s="1756"/>
      <c r="I12" s="1372"/>
    </row>
    <row r="13" spans="1:12" ht="12.75">
      <c r="A13" s="3596"/>
      <c r="B13" s="3651"/>
      <c r="C13" s="3655"/>
      <c r="D13" s="3642"/>
      <c r="E13" s="131" t="s">
        <v>1278</v>
      </c>
      <c r="F13" s="1756"/>
      <c r="G13" s="1756"/>
      <c r="H13" s="1756"/>
      <c r="I13" s="1372"/>
    </row>
    <row r="14" spans="1:12" ht="12.75">
      <c r="A14" s="3596" t="s">
        <v>1279</v>
      </c>
      <c r="B14" s="3651">
        <v>30</v>
      </c>
      <c r="C14" s="3654">
        <v>5</v>
      </c>
      <c r="D14" s="3642">
        <v>5</v>
      </c>
      <c r="E14" s="131" t="s">
        <v>1280</v>
      </c>
      <c r="F14" s="1756"/>
      <c r="G14" s="1756"/>
      <c r="H14" s="1756"/>
      <c r="I14" s="1372"/>
    </row>
    <row r="15" spans="1:12" ht="12.75">
      <c r="A15" s="3596"/>
      <c r="B15" s="3651"/>
      <c r="C15" s="3656"/>
      <c r="D15" s="3642"/>
      <c r="E15" s="131" t="s">
        <v>1281</v>
      </c>
      <c r="F15" s="1756"/>
      <c r="G15" s="1756"/>
      <c r="H15" s="1756"/>
      <c r="I15" s="1372"/>
    </row>
    <row r="16" spans="1:12" ht="12.75">
      <c r="A16" s="3596"/>
      <c r="B16" s="3651"/>
      <c r="C16" s="3655"/>
      <c r="D16" s="3642"/>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673" t="s">
        <v>2128</v>
      </c>
      <c r="F18" s="3674"/>
      <c r="G18" s="3674"/>
      <c r="H18" s="3674"/>
      <c r="I18" s="3674"/>
      <c r="K18" s="302" t="s">
        <v>1287</v>
      </c>
      <c r="L18" s="302">
        <f>IF(C1="",'数据-汇总表'!E3,SUMIF(项目类型,C1,'数据-汇总表'!E17:E26)+SUMIF(项目类型,C1,'数据-汇总表'!I17:I26))</f>
        <v>2389.2399999999998</v>
      </c>
      <c r="M18" s="302">
        <f>IF(C1="",'数据-汇总表'!E3,SUMIF(项目类型,C1,'数据-汇总表'!E17:E26))</f>
        <v>2389.2399999999998</v>
      </c>
    </row>
    <row r="19" spans="1:36" ht="15">
      <c r="A19" s="1760" t="s">
        <v>1288</v>
      </c>
      <c r="B19" s="1761" t="s">
        <v>1289</v>
      </c>
      <c r="C19" s="134">
        <f ca="1">SUMIF(INDIRECT("'"&amp;C4&amp;"'"&amp;"!A:A"),结果表!B19,INDIRECT("'"&amp;C4&amp;"'"&amp;"!B:B"))</f>
        <v>2995.3901999999998</v>
      </c>
      <c r="D19" s="135">
        <f ca="1">SUMIF(INDIRECT("'"&amp;D4&amp;"'"&amp;"!A:A"),结果表!B19,INDIRECT("'"&amp;D4&amp;"'"&amp;"!B:B"))</f>
        <v>2356.3177000000001</v>
      </c>
      <c r="E19" s="1760" t="s">
        <v>1290</v>
      </c>
      <c r="F19" s="1761" t="s">
        <v>1289</v>
      </c>
      <c r="G19" s="136">
        <f ca="1">ROUND(C19*$C$18+D19*$D$18,0)</f>
        <v>2676</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12537</v>
      </c>
      <c r="D20" s="138">
        <f ca="1">SUMIF(INDIRECT("'"&amp;D4&amp;"'"&amp;"!A:A"),结果表!B20,INDIRECT("'"&amp;D4&amp;"'"&amp;"!B:B"))</f>
        <v>9862</v>
      </c>
      <c r="E20" s="1763"/>
      <c r="F20" s="1025" t="s">
        <v>1293</v>
      </c>
      <c r="G20" s="139">
        <f ca="1">ROUND(C20*$C$18+D20*$D$18,0)</f>
        <v>11200</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0.27121661056147039</v>
      </c>
      <c r="E22" s="129"/>
      <c r="F22" s="129"/>
      <c r="G22" s="129"/>
      <c r="H22" s="129"/>
      <c r="I22" s="129"/>
    </row>
    <row r="23" spans="1:36" ht="13.5" thickBot="1">
      <c r="A23" s="1746"/>
      <c r="B23" s="1746"/>
      <c r="C23" s="1746"/>
      <c r="D23" s="1746"/>
      <c r="E23" s="129"/>
      <c r="F23" s="129"/>
      <c r="G23" s="129"/>
      <c r="H23" s="129"/>
      <c r="I23" s="129"/>
    </row>
    <row r="24" spans="1:36" ht="14.25">
      <c r="A24" s="3666" t="s">
        <v>1297</v>
      </c>
      <c r="B24" s="1761" t="s">
        <v>1289</v>
      </c>
      <c r="C24" s="136">
        <f>IF(B30=0,0,D30)</f>
        <v>0</v>
      </c>
      <c r="D24" s="1768"/>
      <c r="E24" s="129"/>
      <c r="F24" s="129"/>
      <c r="G24" s="129"/>
      <c r="H24" s="129"/>
      <c r="I24" s="129"/>
    </row>
    <row r="25" spans="1:36" ht="14.25">
      <c r="A25" s="3667"/>
      <c r="B25" s="1025" t="s">
        <v>1293</v>
      </c>
      <c r="C25" s="141">
        <f>IF(B30=0,0,C30)</f>
        <v>0</v>
      </c>
      <c r="D25" s="1769"/>
      <c r="E25" s="129"/>
      <c r="F25" s="129"/>
      <c r="G25" s="129">
        <f ca="1">G20/0.85</f>
        <v>13176.470588235294</v>
      </c>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16969.696969696968</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11200</v>
      </c>
      <c r="D32" s="1774" t="s">
        <v>3435</v>
      </c>
      <c r="E32" s="129"/>
      <c r="F32" s="129"/>
      <c r="G32" s="129"/>
      <c r="H32" s="129"/>
      <c r="I32" s="129"/>
    </row>
    <row r="33" spans="1:15" ht="15">
      <c r="A33" s="785" t="s">
        <v>1304</v>
      </c>
      <c r="B33" s="1775"/>
      <c r="C33" s="1776" t="s">
        <v>3451</v>
      </c>
      <c r="D33" s="1777" t="s">
        <v>3466</v>
      </c>
      <c r="E33" s="1778" t="s">
        <v>1305</v>
      </c>
      <c r="F33" s="1779" t="str">
        <f>IF(D32="楼面单价","取值（单价）","取值（总价）")</f>
        <v>取值（单价）</v>
      </c>
      <c r="G33" s="129"/>
      <c r="H33" s="129"/>
      <c r="I33" s="129"/>
    </row>
    <row r="34" spans="1:15" ht="15">
      <c r="A34" s="1780"/>
      <c r="B34" s="1781" t="s">
        <v>1306</v>
      </c>
      <c r="C34" s="148" t="e">
        <f ca="1">IF(C33="自定义",F34,C32-C35)</f>
        <v>#DIV/0!</v>
      </c>
      <c r="D34" s="860" t="e">
        <f ca="1">IF(C33="自定义",ROUND(C34/C32,3),IF(C33="收益比率",SUMIF(INDIRECT("'"&amp;D33&amp;"'"&amp;"!b:b"),"土地收益比率",INDIRECT("'"&amp;D33&amp;"'"&amp;"!c:c")),SUMIF(INDIRECT("'"&amp;D33&amp;"'"&amp;"!b:b"),"土地成本比率",INDIRECT("'"&amp;D33&amp;"'"&amp;"!c:c"))))</f>
        <v>#DIV/0!</v>
      </c>
      <c r="E34" s="1782" t="s">
        <v>1307</v>
      </c>
      <c r="F34" s="1329"/>
      <c r="G34" s="129"/>
      <c r="H34" s="129"/>
      <c r="I34" s="129"/>
    </row>
    <row r="35" spans="1:15" ht="15.75" thickBot="1">
      <c r="A35" s="1783"/>
      <c r="B35" s="1784" t="s">
        <v>1308</v>
      </c>
      <c r="C35" s="1169" t="e">
        <f ca="1">IF(C33="自定义",F35,ROUND(C32*D35,0))</f>
        <v>#DIV/0!</v>
      </c>
      <c r="D35" s="1170" t="e">
        <f ca="1">IF(C33="自定义",ROUND(C35/C32,3),IF(C33="收益比率",SUMIF(INDIRECT("'"&amp;D33&amp;"'"&amp;"!b:b"),"建筑物收益比率",INDIRECT("'"&amp;D33&amp;"'"&amp;"!c:c")),SUMIF(INDIRECT("'"&amp;D33&amp;"'"&amp;"!b:b"),"建筑物成本比率",INDIRECT("'"&amp;D33&amp;"'"&amp;"!c:c"))))</f>
        <v>#DIV/0!</v>
      </c>
      <c r="E35" s="1785" t="s">
        <v>1309</v>
      </c>
      <c r="F35" s="154"/>
      <c r="G35" s="129"/>
      <c r="H35" s="129"/>
      <c r="I35" s="129"/>
    </row>
    <row r="36" spans="1:15" ht="15.75" thickBot="1">
      <c r="A36" s="3643" t="s">
        <v>1310</v>
      </c>
      <c r="B36" s="1786" t="s">
        <v>1311</v>
      </c>
      <c r="C36" s="145"/>
      <c r="D36" s="1787"/>
      <c r="E36" s="1788"/>
      <c r="F36" s="1789"/>
      <c r="G36" s="129"/>
      <c r="H36" s="129"/>
      <c r="I36" s="129"/>
    </row>
    <row r="37" spans="1:15" ht="15.75" thickBot="1">
      <c r="A37" s="3644"/>
      <c r="B37" s="1673" t="s">
        <v>1312</v>
      </c>
      <c r="C37" s="147"/>
      <c r="D37" s="1138"/>
      <c r="E37" s="1138"/>
      <c r="F37" s="1789"/>
      <c r="G37" s="129"/>
      <c r="H37" s="129"/>
      <c r="I37" s="129"/>
    </row>
    <row r="38" spans="1:15" ht="15.75" thickBot="1">
      <c r="A38" s="3645"/>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3" t="s">
        <v>1324</v>
      </c>
      <c r="B45" s="3664"/>
      <c r="C45" s="3665"/>
      <c r="D45" s="155">
        <f ca="1">ROUND(H101*F45,0)</f>
        <v>2676</v>
      </c>
      <c r="E45" s="156" t="s">
        <v>1325</v>
      </c>
      <c r="F45" s="157">
        <v>1</v>
      </c>
      <c r="G45" s="158" t="s">
        <v>1326</v>
      </c>
      <c r="H45" s="129"/>
      <c r="I45" s="129"/>
      <c r="J45" s="3583" t="s">
        <v>1327</v>
      </c>
      <c r="K45" s="3583"/>
      <c r="L45" s="3583"/>
      <c r="M45" s="3583"/>
      <c r="N45" s="3583"/>
      <c r="O45" s="3583"/>
    </row>
    <row r="46" spans="1:15" ht="14.25" customHeight="1">
      <c r="A46" s="3660" t="s">
        <v>1328</v>
      </c>
      <c r="B46" s="3661"/>
      <c r="C46" s="3661"/>
      <c r="D46" s="3661"/>
      <c r="E46" s="3661"/>
      <c r="F46" s="3661"/>
      <c r="G46" s="3662"/>
      <c r="H46" s="1805"/>
      <c r="I46" s="159"/>
      <c r="J46" s="2522">
        <v>1</v>
      </c>
      <c r="K46" s="3584" t="s">
        <v>1329</v>
      </c>
      <c r="L46" s="3584"/>
      <c r="M46" s="3585"/>
      <c r="N46" s="3585"/>
      <c r="O46" s="3585"/>
    </row>
    <row r="47" spans="1:15" ht="12" customHeight="1">
      <c r="A47" s="160" t="s">
        <v>1330</v>
      </c>
      <c r="B47" s="161"/>
      <c r="C47" s="162"/>
      <c r="D47" s="1086" t="s">
        <v>1331</v>
      </c>
      <c r="E47" s="302" t="s">
        <v>1332</v>
      </c>
      <c r="F47" s="163" t="s">
        <v>1333</v>
      </c>
      <c r="G47" s="2545" t="s">
        <v>1334</v>
      </c>
      <c r="H47" s="2546"/>
      <c r="I47" s="159"/>
      <c r="J47" s="2522">
        <v>2</v>
      </c>
      <c r="K47" s="3584" t="s">
        <v>1335</v>
      </c>
      <c r="L47" s="3584"/>
      <c r="M47" s="3586">
        <f>'数据-取费表'!B2</f>
        <v>45449</v>
      </c>
      <c r="N47" s="3586"/>
      <c r="O47" s="3586"/>
    </row>
    <row r="48" spans="1:15" ht="25.5">
      <c r="A48" s="3646" t="s">
        <v>1336</v>
      </c>
      <c r="B48" s="3647"/>
      <c r="C48" s="364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1337</v>
      </c>
      <c r="H48" s="2549"/>
      <c r="I48" s="1805"/>
      <c r="J48" s="2522">
        <v>3</v>
      </c>
      <c r="K48" s="3584" t="s">
        <v>1338</v>
      </c>
      <c r="L48" s="3584"/>
      <c r="M48" s="3587">
        <f ca="1">H101</f>
        <v>2676</v>
      </c>
      <c r="N48" s="3587"/>
      <c r="O48" s="3587"/>
    </row>
    <row r="49" spans="1:35" ht="25.5" customHeight="1">
      <c r="A49" s="2332" t="s">
        <v>1339</v>
      </c>
      <c r="B49" s="3632" t="s">
        <v>1340</v>
      </c>
      <c r="C49" s="3632"/>
      <c r="D49" s="1589">
        <v>0</v>
      </c>
      <c r="E49" s="324" t="s">
        <v>1341</v>
      </c>
      <c r="F49" s="2423" t="s">
        <v>28</v>
      </c>
      <c r="G49" s="3615"/>
      <c r="H49" s="2309" t="s">
        <v>2131</v>
      </c>
      <c r="I49" s="2310"/>
      <c r="J49" s="2522">
        <v>4</v>
      </c>
      <c r="K49" s="3584" t="str">
        <f>IF(项目基本情况!E8="房地产抵押价值","房地产抵押价值","抵押担保权已注销时的房地产抵押价值")</f>
        <v>房地产抵押价值</v>
      </c>
      <c r="L49" s="3584"/>
      <c r="M49" s="3587">
        <f ca="1">IF(项目基本情况!E8="房地产抵押价值",H107,H109)</f>
        <v>2676</v>
      </c>
      <c r="N49" s="3587"/>
      <c r="O49" s="3587"/>
    </row>
    <row r="50" spans="1:35" ht="25.5" customHeight="1">
      <c r="A50" s="2550"/>
      <c r="B50" s="3632" t="s">
        <v>1342</v>
      </c>
      <c r="C50" s="3632"/>
      <c r="D50" s="2551"/>
      <c r="E50" s="332"/>
      <c r="F50" s="2423"/>
      <c r="G50" s="3616"/>
      <c r="H50" s="2311" t="s">
        <v>2132</v>
      </c>
      <c r="I50" s="2310"/>
      <c r="J50" s="3583" t="s">
        <v>1343</v>
      </c>
      <c r="K50" s="3583"/>
      <c r="L50" s="3583"/>
      <c r="M50" s="3583"/>
      <c r="N50" s="3583"/>
      <c r="O50" s="3583"/>
    </row>
    <row r="51" spans="1:35" ht="20.45" customHeight="1">
      <c r="A51" s="2552"/>
      <c r="B51" s="3632" t="s">
        <v>1344</v>
      </c>
      <c r="C51" s="3632"/>
      <c r="D51" s="1086"/>
      <c r="E51" s="327"/>
      <c r="F51" s="2423"/>
      <c r="G51" s="3617"/>
      <c r="H51" s="2311" t="s">
        <v>2133</v>
      </c>
      <c r="I51" s="2310"/>
      <c r="J51" s="2523" t="s">
        <v>1345</v>
      </c>
      <c r="K51" s="3584" t="s">
        <v>1346</v>
      </c>
      <c r="L51" s="3584"/>
      <c r="M51" s="2523" t="s">
        <v>1347</v>
      </c>
      <c r="N51" s="2523" t="s">
        <v>1348</v>
      </c>
      <c r="O51" s="2523" t="s">
        <v>1349</v>
      </c>
    </row>
    <row r="52" spans="1:35" ht="24" customHeight="1">
      <c r="A52" s="2334" t="s">
        <v>1350</v>
      </c>
      <c r="B52" s="3632" t="s">
        <v>1351</v>
      </c>
      <c r="C52" s="3632"/>
      <c r="D52" s="1086">
        <f ca="1">ROUND(D45*'数据-取费表'!B41/(1+'数据-取费表'!C42),0)</f>
        <v>143</v>
      </c>
      <c r="E52" s="2333" t="s">
        <v>1352</v>
      </c>
      <c r="F52" s="2553">
        <f>'数据-取费表'!B41</f>
        <v>5.6000000000000001E-2</v>
      </c>
      <c r="G52" s="2554"/>
      <c r="H52" s="2543"/>
      <c r="I52" s="1806"/>
      <c r="J52" s="2522">
        <v>1</v>
      </c>
      <c r="K52" s="3609" t="s">
        <v>1353</v>
      </c>
      <c r="L52" s="3609"/>
      <c r="M52" s="2524" t="b">
        <f>D48</f>
        <v>0</v>
      </c>
      <c r="N52" s="2522" t="str">
        <f>E48</f>
        <v>销售额×税（费）率</v>
      </c>
      <c r="O52" s="2525">
        <f>F48</f>
        <v>5.6000000000000001E-2</v>
      </c>
    </row>
    <row r="53" spans="1:35" ht="12" customHeight="1">
      <c r="A53" s="2334" t="s">
        <v>1354</v>
      </c>
      <c r="B53" s="3633" t="s">
        <v>2288</v>
      </c>
      <c r="C53" s="3634"/>
      <c r="D53" s="1086">
        <f ca="1">ROUND(D45*'数据-取费表'!B41/(1+'数据-取费表'!C42),0)</f>
        <v>143</v>
      </c>
      <c r="E53" s="2333" t="s">
        <v>1352</v>
      </c>
      <c r="F53" s="2553">
        <f>'数据-取费表'!B41</f>
        <v>5.6000000000000001E-2</v>
      </c>
      <c r="G53" s="2554"/>
      <c r="H53" s="2543"/>
      <c r="I53" s="1806"/>
      <c r="J53" s="2522">
        <v>2</v>
      </c>
      <c r="K53" s="3609" t="s">
        <v>1355</v>
      </c>
      <c r="L53" s="3609"/>
      <c r="M53" s="2524">
        <f t="shared" ref="M53:O54" ca="1" si="0">D55</f>
        <v>1</v>
      </c>
      <c r="N53" s="2522" t="str">
        <f t="shared" si="0"/>
        <v>销售额×税（费）率</v>
      </c>
      <c r="O53" s="2525" t="str">
        <f t="shared" si="0"/>
        <v>免征</v>
      </c>
    </row>
    <row r="54" spans="1:35" ht="12" customHeight="1">
      <c r="A54" s="2334" t="s">
        <v>1356</v>
      </c>
      <c r="B54" s="3633" t="s">
        <v>2289</v>
      </c>
      <c r="C54" s="3634"/>
      <c r="D54" s="1086">
        <f ca="1">C68</f>
        <v>143</v>
      </c>
      <c r="E54" s="327" t="s">
        <v>1357</v>
      </c>
      <c r="F54" s="2553">
        <f>'数据-取费表'!B41</f>
        <v>5.6000000000000001E-2</v>
      </c>
      <c r="G54" s="2554"/>
      <c r="H54" s="2555"/>
      <c r="I54" s="1806"/>
      <c r="J54" s="2522">
        <v>3</v>
      </c>
      <c r="K54" s="3609" t="s">
        <v>1358</v>
      </c>
      <c r="L54" s="3609"/>
      <c r="M54" s="2524">
        <f t="shared" ca="1" si="0"/>
        <v>1515</v>
      </c>
      <c r="N54" s="2522" t="str">
        <f t="shared" si="0"/>
        <v>增值额×税（费）率</v>
      </c>
      <c r="O54" s="2526" t="str">
        <f t="shared" si="0"/>
        <v>免征</v>
      </c>
    </row>
    <row r="55" spans="1:35" ht="24" customHeight="1">
      <c r="A55" s="3669" t="s">
        <v>1359</v>
      </c>
      <c r="B55" s="3647"/>
      <c r="C55" s="3647"/>
      <c r="D55" s="2323">
        <f ca="1">IF(H55="个人住宅",0,ROUND(D45*I55,0))</f>
        <v>1</v>
      </c>
      <c r="E55" s="2333" t="s">
        <v>1360</v>
      </c>
      <c r="F55" s="2553" t="str">
        <f>IF(H55="正常",I55,"免征")</f>
        <v>免征</v>
      </c>
      <c r="G55" s="2554"/>
      <c r="H55" s="2549"/>
      <c r="I55" s="165">
        <f>'数据-取费表'!B49</f>
        <v>5.0000000000000001E-4</v>
      </c>
      <c r="J55" s="2522">
        <f>IF(H59="非个人房产","",4)</f>
        <v>4</v>
      </c>
      <c r="K55" s="3609" t="str">
        <f>IF(H59="非个人房产","——","个人所得税")</f>
        <v>个人所得税</v>
      </c>
      <c r="L55" s="3609"/>
      <c r="M55" s="2527">
        <f ca="1">D59</f>
        <v>25</v>
      </c>
      <c r="N55" s="2039" t="str">
        <f>E59</f>
        <v>差额计税</v>
      </c>
      <c r="O55" s="2528">
        <f>F59</f>
        <v>0.01</v>
      </c>
    </row>
    <row r="56" spans="1:35" ht="24.75">
      <c r="A56" s="3669" t="s">
        <v>1361</v>
      </c>
      <c r="B56" s="3647"/>
      <c r="C56" s="3647"/>
      <c r="D56" s="2323">
        <f ca="1">IF(H56="个人住宅",D57,D58)</f>
        <v>1515</v>
      </c>
      <c r="E56" s="2333" t="s">
        <v>1362</v>
      </c>
      <c r="F56" s="2553" t="str">
        <f>IF(H56="正常",F58,"免征")</f>
        <v>免征</v>
      </c>
      <c r="G56" s="2556" t="s">
        <v>1363</v>
      </c>
      <c r="H56" s="2557"/>
      <c r="I56" s="1807"/>
      <c r="J56" s="2522" t="str">
        <f>IF(项目基本情况!K6="上海银行",IF(J55="",4,J55+1),"")</f>
        <v/>
      </c>
      <c r="K56" s="3590" t="str">
        <f>IF(项目基本情况!K6="上海银行","其他处置费用","")</f>
        <v/>
      </c>
      <c r="L56" s="3591"/>
      <c r="M56" s="2524" t="str">
        <f>IF(项目基本情况!K6="上海银行",M69,"")</f>
        <v/>
      </c>
      <c r="N56" s="3590" t="str">
        <f>IF(项目基本情况!K6="上海银行","包含处置中涉及的律师、诉讼、拍卖、评估等费用","")</f>
        <v/>
      </c>
      <c r="O56" s="3593"/>
    </row>
    <row r="57" spans="1:35" ht="12.75">
      <c r="A57" s="2334" t="s">
        <v>1339</v>
      </c>
      <c r="B57" s="3633" t="s">
        <v>1364</v>
      </c>
      <c r="C57" s="3634"/>
      <c r="D57" s="1589">
        <v>0</v>
      </c>
      <c r="E57" s="324" t="s">
        <v>1341</v>
      </c>
      <c r="F57" s="302"/>
      <c r="G57" s="2554"/>
      <c r="H57" s="2558"/>
      <c r="I57" s="1807"/>
      <c r="J57" s="3609">
        <f>IF(AND(J55="",J56=""),4,IF(项目基本情况!K6="上海银行",结果表!J56+1,结果表!J55+1))</f>
        <v>5</v>
      </c>
      <c r="K57" s="3609" t="s">
        <v>1365</v>
      </c>
      <c r="L57" s="2529" t="s">
        <v>1366</v>
      </c>
      <c r="M57" s="2530"/>
      <c r="N57" s="2531">
        <f ca="1">SUMIF(M52:M56,"&lt;9e307")</f>
        <v>1541</v>
      </c>
      <c r="O57" s="2532"/>
      <c r="P57" s="2689">
        <f ca="1">N57/M49</f>
        <v>0.57585949177877427</v>
      </c>
    </row>
    <row r="58" spans="1:35" ht="24.75">
      <c r="A58" s="2334" t="s">
        <v>1350</v>
      </c>
      <c r="B58" s="3633" t="s">
        <v>1367</v>
      </c>
      <c r="C58" s="3632"/>
      <c r="D58" s="2323">
        <f ca="1">IF(H58="转让取得",C81,C97)</f>
        <v>1515</v>
      </c>
      <c r="E58" s="2333" t="s">
        <v>1362</v>
      </c>
      <c r="F58" s="302" t="s">
        <v>28</v>
      </c>
      <c r="G58" s="2554"/>
      <c r="H58" s="2557"/>
      <c r="I58" s="1807"/>
      <c r="J58" s="3609"/>
      <c r="K58" s="3609"/>
      <c r="L58" s="2529" t="s">
        <v>1368</v>
      </c>
      <c r="M58" s="2533"/>
      <c r="N58" s="2534" t="str">
        <f ca="1">NUMBERSTRING(INT(N57*10000),2)&amp;"元整"</f>
        <v>壹仟伍佰肆拾壹万元整</v>
      </c>
      <c r="O58" s="2535"/>
    </row>
    <row r="59" spans="1:35" ht="24.75" thickBot="1">
      <c r="A59" s="3613" t="s">
        <v>1369</v>
      </c>
      <c r="B59" s="3614"/>
      <c r="C59" s="3614"/>
      <c r="D59" s="2559">
        <f ca="1">IF(H59="非个人房产","——",IF(H59="个人住宅（满五唯一有凭证）",0,IF(H59="个人其他（无凭证）",ROUND(D45*F59,0),ROUND(C67*F59,0))))</f>
        <v>25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1">
        <f>J57+1</f>
        <v>6</v>
      </c>
      <c r="K59" s="3609" t="s">
        <v>1370</v>
      </c>
      <c r="L59" s="2522" t="s">
        <v>1366</v>
      </c>
      <c r="M59" s="2536"/>
      <c r="N59" s="2537">
        <f ca="1">M49-N57</f>
        <v>1135</v>
      </c>
      <c r="O59" s="2538"/>
    </row>
    <row r="60" spans="1:35" ht="12" customHeight="1">
      <c r="A60" s="1808"/>
      <c r="B60" s="1746"/>
      <c r="C60" s="1746"/>
      <c r="D60" s="1746"/>
      <c r="E60" s="1577"/>
      <c r="F60" s="1807"/>
      <c r="G60" s="1807"/>
      <c r="H60" s="1809"/>
      <c r="I60" s="129"/>
      <c r="J60" s="3612"/>
      <c r="K60" s="3609"/>
      <c r="L60" s="2529" t="s">
        <v>1368</v>
      </c>
      <c r="M60" s="2533"/>
      <c r="N60" s="2534" t="str">
        <f ca="1">NUMBERSTRING(INT(N59*10000),2)&amp;"元整"</f>
        <v>壹仟壹佰叁拾伍万元整</v>
      </c>
      <c r="O60" s="2535"/>
    </row>
    <row r="61" spans="1:35" ht="13.5" thickBot="1">
      <c r="A61" s="3668" t="s">
        <v>1371</v>
      </c>
      <c r="B61" s="3668"/>
      <c r="C61" s="3668"/>
      <c r="D61" s="3668"/>
      <c r="E61" s="3668"/>
      <c r="F61" s="1807"/>
      <c r="G61" s="1807"/>
      <c r="H61" s="1809"/>
      <c r="I61" s="129"/>
      <c r="J61" s="2522">
        <f>J59+1</f>
        <v>7</v>
      </c>
      <c r="K61" s="3609" t="s">
        <v>1372</v>
      </c>
      <c r="L61" s="3609"/>
      <c r="M61" s="2539"/>
      <c r="N61" s="2540">
        <f ca="1">ROUND(N59*10000/'数据-汇总表'!E3,0)</f>
        <v>4750</v>
      </c>
      <c r="O61" s="2541"/>
    </row>
    <row r="62" spans="1:35" ht="12.75">
      <c r="A62" s="3628" t="s">
        <v>1373</v>
      </c>
      <c r="B62" s="3629"/>
      <c r="C62" s="2020"/>
      <c r="D62" s="2020" t="s">
        <v>1374</v>
      </c>
      <c r="E62" s="166" t="s">
        <v>1375</v>
      </c>
      <c r="F62" s="1807"/>
      <c r="G62" s="1807"/>
      <c r="H62" s="1809"/>
      <c r="I62" s="129"/>
    </row>
    <row r="63" spans="1:35" ht="12.75">
      <c r="A63" s="173" t="s">
        <v>330</v>
      </c>
      <c r="B63" s="167" t="s">
        <v>1376</v>
      </c>
      <c r="C63" s="2563">
        <f ca="1">ROUND((C64+C65)/(1+'数据-取费表'!C42),0)</f>
        <v>2549</v>
      </c>
      <c r="D63" s="167"/>
      <c r="E63" s="168"/>
      <c r="F63" s="1807"/>
      <c r="G63" s="1807"/>
      <c r="H63" s="1809"/>
      <c r="I63" s="129"/>
      <c r="J63" s="3592" t="s">
        <v>1377</v>
      </c>
      <c r="K63" s="1331" t="s">
        <v>1378</v>
      </c>
      <c r="L63" s="1331">
        <f ca="1">IF(M49&gt;10000,M49*0.5%,IF(AND(M49&gt;1000,M49&lt;=10000),M49*1%,IF(AND(M49&gt;100,M49&lt;=1000),M49*3%,IF(AND(M49&gt;10,M49&lt;=100),M49*5%,M49*8%))))</f>
        <v>26.76</v>
      </c>
      <c r="M63" s="302">
        <f ca="1">ROUND(L63,1)</f>
        <v>26.8</v>
      </c>
      <c r="N63" s="2542"/>
      <c r="Z63" s="1751"/>
      <c r="AI63" s="1752"/>
    </row>
    <row r="64" spans="1:35" ht="14.25" customHeight="1">
      <c r="A64" s="169" t="s">
        <v>325</v>
      </c>
      <c r="B64" s="170" t="s">
        <v>1379</v>
      </c>
      <c r="C64" s="2564">
        <f ca="1">D45</f>
        <v>2676</v>
      </c>
      <c r="D64" s="170" t="s">
        <v>26</v>
      </c>
      <c r="E64" s="172"/>
      <c r="F64" s="1807"/>
      <c r="G64" s="1807"/>
      <c r="H64" s="1809"/>
      <c r="I64" s="129"/>
      <c r="J64" s="3592"/>
      <c r="K64" s="1331" t="s">
        <v>1380</v>
      </c>
      <c r="L64" s="1331">
        <f ca="1">IF(M49&gt;2000,M49*0.5%,IF(AND(M49&gt;1000,M49&lt;=2000),M49*0.6%,IF(AND(M49&gt;500,M49&lt;=1000),M49*0.7%,IF(AND(M49&gt;200,M49&lt;=500),M49*0.8%,IF(AND(M49&gt;100,M49&lt;=200),M49*0.9%,IF(AND(M49&gt;50,M49&lt;=100),M49*1%,IF(AND(M49&gt;20,M49&lt;=50),M49*1.5%,IF(AND(M49&gt;10,M49&lt;=20),M49*2%,IF(AND(M49&gt;1,M49&lt;=10),M49*2.5%)))))))))</f>
        <v>13.38</v>
      </c>
      <c r="M64" s="302">
        <f t="shared" ref="M64:M65" ca="1" si="1">ROUND(L64,1)</f>
        <v>13.4</v>
      </c>
      <c r="N64" s="2543" t="s">
        <v>1381</v>
      </c>
      <c r="Z64" s="1751"/>
      <c r="AI64" s="1752"/>
    </row>
    <row r="65" spans="1:35" ht="14.25" customHeight="1">
      <c r="A65" s="169" t="s">
        <v>326</v>
      </c>
      <c r="B65" s="170" t="s">
        <v>1382</v>
      </c>
      <c r="C65" s="2565"/>
      <c r="D65" s="170"/>
      <c r="E65" s="172"/>
      <c r="F65" s="1807"/>
      <c r="G65" s="1807"/>
      <c r="H65" s="1809"/>
      <c r="I65" s="129"/>
      <c r="J65" s="3592"/>
      <c r="K65" s="1331" t="s">
        <v>1383</v>
      </c>
      <c r="L65" s="1331">
        <f ca="1">IF(M49&gt;1000,M49*0.1%,IF(AND(M49&gt;500,M49&lt;=1000),M49*0.5%,IF(AND(M49&gt;50,M49&lt;=500),M49*1%,IF(AND(M49&gt;1,M49&lt;=50),M49*1.5%))))</f>
        <v>2.6760000000000002</v>
      </c>
      <c r="M65" s="302">
        <f t="shared" ca="1" si="1"/>
        <v>2.7</v>
      </c>
      <c r="N65" s="2543" t="s">
        <v>1381</v>
      </c>
      <c r="Z65" s="1751"/>
      <c r="AI65" s="1752"/>
    </row>
    <row r="66" spans="1:35" ht="14.25" customHeight="1">
      <c r="A66" s="173" t="s">
        <v>327</v>
      </c>
      <c r="B66" s="174" t="s">
        <v>1384</v>
      </c>
      <c r="C66" s="2566"/>
      <c r="D66" s="174" t="s">
        <v>26</v>
      </c>
      <c r="E66" s="1337" t="s">
        <v>671</v>
      </c>
      <c r="F66" s="1807"/>
      <c r="G66" s="1807"/>
      <c r="H66" s="1809"/>
      <c r="I66" s="129"/>
      <c r="J66" s="3592"/>
      <c r="K66" s="1331" t="s">
        <v>1385</v>
      </c>
      <c r="L66" s="1331">
        <f ca="1">M49*0.5%</f>
        <v>13.38</v>
      </c>
      <c r="M66" s="302">
        <f ca="1">IF(L66&gt;0.5,0.5,ROUND(L66,0))</f>
        <v>0.5</v>
      </c>
      <c r="N66" s="2543" t="s">
        <v>1386</v>
      </c>
      <c r="Z66" s="1751"/>
      <c r="AI66" s="1752"/>
    </row>
    <row r="67" spans="1:35" ht="14.25" customHeight="1">
      <c r="A67" s="173" t="s">
        <v>328</v>
      </c>
      <c r="B67" s="174" t="s">
        <v>1387</v>
      </c>
      <c r="C67" s="2567">
        <f ca="1">C63-C66</f>
        <v>2549</v>
      </c>
      <c r="D67" s="170" t="s">
        <v>26</v>
      </c>
      <c r="E67" s="172"/>
      <c r="F67" s="1807"/>
      <c r="G67" s="1807"/>
      <c r="H67" s="1809"/>
      <c r="I67" s="129"/>
      <c r="J67" s="3592"/>
      <c r="K67" s="1331" t="s">
        <v>1388</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1389</v>
      </c>
      <c r="C68" s="2568">
        <f ca="1">IF(C67&lt;=0,0,ROUND(C67*D68,0))</f>
        <v>143</v>
      </c>
      <c r="D68" s="2569">
        <f>'数据-取费表'!B41</f>
        <v>5.6000000000000001E-2</v>
      </c>
      <c r="E68" s="178"/>
      <c r="F68" s="1807"/>
      <c r="G68" s="1807"/>
      <c r="H68" s="1809"/>
      <c r="I68" s="129"/>
      <c r="J68" s="3592"/>
      <c r="K68" s="1331" t="s">
        <v>1390</v>
      </c>
      <c r="L68" s="1331">
        <f ca="1">IF(M49&gt;10000,M49*0.5%,IF(AND(M49&gt;5000,M49&lt;=10000),M49*1%,IF(AND(M49&gt;1000,M49&lt;=5000),M49*2%,IF(AND(M49&gt;200,M49&lt;=1000),M49*3%,M49*5%))))</f>
        <v>53.52</v>
      </c>
      <c r="M68" s="302">
        <f ca="1">ROUND(L68,1)</f>
        <v>53.5</v>
      </c>
      <c r="N68" s="2542"/>
      <c r="Z68" s="1751"/>
      <c r="AI68" s="1752"/>
    </row>
    <row r="69" spans="1:35" s="1771" customFormat="1" ht="16.5" customHeight="1">
      <c r="A69" s="1810"/>
      <c r="B69" s="1811"/>
      <c r="C69" s="1812"/>
      <c r="D69" s="1813"/>
      <c r="E69" s="1814"/>
      <c r="F69" s="1577"/>
      <c r="G69" s="1577"/>
      <c r="H69" s="1576"/>
      <c r="I69" s="1746"/>
      <c r="J69" s="3592"/>
      <c r="K69" s="1331" t="s">
        <v>1391</v>
      </c>
      <c r="L69" s="1331"/>
      <c r="M69" s="302">
        <f ca="1">ROUND(SUM(M63:M68),0)</f>
        <v>99</v>
      </c>
      <c r="N69" s="2544">
        <f ca="1">M69/M49</f>
        <v>3.6995515695067267E-2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6" t="s">
        <v>1392</v>
      </c>
      <c r="B70" s="3637"/>
      <c r="C70" s="3637"/>
      <c r="D70" s="3637"/>
      <c r="E70" s="3637"/>
      <c r="F70" s="3637"/>
      <c r="G70" s="3637"/>
      <c r="H70" s="363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8" t="s">
        <v>1373</v>
      </c>
      <c r="B71" s="3629"/>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2549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3" t="s">
        <v>1400</v>
      </c>
      <c r="F76" s="3632"/>
      <c r="G76" s="3632"/>
      <c r="H76" s="363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15</v>
      </c>
      <c r="D78" s="2576">
        <f>'数据-取费表'!B43</f>
        <v>6.000000000000001E-3</v>
      </c>
      <c r="E78" s="3625" t="s">
        <v>1404</v>
      </c>
      <c r="F78" s="3626"/>
      <c r="G78" s="3626"/>
      <c r="H78" s="36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2534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168.93333333333334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1515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6" t="s">
        <v>1408</v>
      </c>
      <c r="B83" s="3637"/>
      <c r="C83" s="3637"/>
      <c r="D83" s="3637"/>
      <c r="E83" s="3637"/>
      <c r="F83" s="3637"/>
      <c r="G83" s="3637"/>
      <c r="H83" s="363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8" t="s">
        <v>1373</v>
      </c>
      <c r="B84" s="3629"/>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2549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594" t="s">
        <v>2126</v>
      </c>
      <c r="H90" s="359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25" t="s">
        <v>1417</v>
      </c>
      <c r="F91" s="3626"/>
      <c r="G91" s="362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5" t="s">
        <v>1420</v>
      </c>
      <c r="F92" s="3626"/>
      <c r="G92" s="3626"/>
      <c r="H92" s="3627"/>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15</v>
      </c>
      <c r="D93" s="2576">
        <f>'数据-取费表'!B43</f>
        <v>6.000000000000001E-3</v>
      </c>
      <c r="E93" s="3625" t="s">
        <v>1404</v>
      </c>
      <c r="F93" s="3626"/>
      <c r="G93" s="3626"/>
      <c r="H93" s="36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0" t="s">
        <v>1424</v>
      </c>
      <c r="F94" s="3671"/>
      <c r="G94" s="3671"/>
      <c r="H94" s="36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2534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168.93333333333334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1515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5" t="s">
        <v>1426</v>
      </c>
      <c r="B100" s="3576"/>
      <c r="C100" s="3576"/>
      <c r="D100" s="3610"/>
      <c r="E100" s="3576" t="s">
        <v>1427</v>
      </c>
      <c r="F100" s="3576"/>
      <c r="G100" s="3576"/>
      <c r="H100" s="3610"/>
      <c r="I100" s="129"/>
    </row>
    <row r="101" spans="1:35" ht="18.75" customHeight="1">
      <c r="A101" s="3618" t="s">
        <v>1428</v>
      </c>
      <c r="B101" s="3619"/>
      <c r="C101" s="2584" t="str">
        <f>C4</f>
        <v>比较法-办公</v>
      </c>
      <c r="D101" s="2585" t="str">
        <f>D4</f>
        <v>收益法 (元)</v>
      </c>
      <c r="E101" s="3588" t="s">
        <v>1429</v>
      </c>
      <c r="F101" s="3589"/>
      <c r="G101" s="1826" t="s">
        <v>1430</v>
      </c>
      <c r="H101" s="2594">
        <f ca="1">H118</f>
        <v>2676</v>
      </c>
      <c r="I101" s="129"/>
    </row>
    <row r="102" spans="1:35" ht="18.75" customHeight="1">
      <c r="A102" s="3620" t="s">
        <v>1431</v>
      </c>
      <c r="B102" s="2583" t="s">
        <v>1430</v>
      </c>
      <c r="C102" s="2584">
        <f ca="1">IF(D32="楼面单价",ROUND(C19,0),C19)</f>
        <v>2995</v>
      </c>
      <c r="D102" s="2585">
        <f ca="1">IF(D32="楼面单价",ROUND(D19,0),D19)</f>
        <v>2356</v>
      </c>
      <c r="E102" s="3588"/>
      <c r="F102" s="3589"/>
      <c r="G102" s="1826" t="s">
        <v>1432</v>
      </c>
      <c r="H102" s="2554">
        <f ca="1">I118</f>
        <v>11200</v>
      </c>
      <c r="I102" s="129"/>
    </row>
    <row r="103" spans="1:35" ht="42.75" customHeight="1">
      <c r="A103" s="3620"/>
      <c r="B103" s="2583" t="s">
        <v>1432</v>
      </c>
      <c r="C103" s="2586">
        <f ca="1">C20</f>
        <v>12537</v>
      </c>
      <c r="D103" s="2587">
        <f ca="1">D20</f>
        <v>9862</v>
      </c>
      <c r="E103" s="3581" t="s">
        <v>1433</v>
      </c>
      <c r="F103" s="3582"/>
      <c r="G103" s="1827" t="s">
        <v>1434</v>
      </c>
      <c r="H103" s="2594">
        <f>IF(D36="正常操作",H104+H105+H106,H105+H106)</f>
        <v>0</v>
      </c>
      <c r="I103" s="129"/>
    </row>
    <row r="104" spans="1:35" ht="18.75" customHeight="1">
      <c r="A104" s="3620" t="s">
        <v>1435</v>
      </c>
      <c r="B104" s="2588" t="s">
        <v>1430</v>
      </c>
      <c r="C104" s="2589">
        <f ca="1">H118</f>
        <v>2676</v>
      </c>
      <c r="D104" s="2590"/>
      <c r="E104" s="1673" t="s">
        <v>1436</v>
      </c>
      <c r="F104" s="1665"/>
      <c r="G104" s="1827" t="s">
        <v>1434</v>
      </c>
      <c r="H104" s="2595">
        <f>IF(D36="同一抵押权人同一抵押物续贷",C36&amp;"（续贷，未扣减，详见特别提示）",C36)</f>
        <v>0</v>
      </c>
      <c r="I104" s="129"/>
    </row>
    <row r="105" spans="1:35" ht="18.75" customHeight="1" thickBot="1">
      <c r="A105" s="3630"/>
      <c r="B105" s="2591" t="s">
        <v>1432</v>
      </c>
      <c r="C105" s="2592">
        <f ca="1">I118</f>
        <v>11200</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1" t="str">
        <f>IF(项目基本情况!E8="已注销","——","3.房地产抵押价值")</f>
        <v>3.房地产抵押价值</v>
      </c>
      <c r="F107" s="3589"/>
      <c r="G107" s="1826" t="s">
        <v>1430</v>
      </c>
      <c r="H107" s="2594">
        <f ca="1">IF(E107="——","——",H101-H103)</f>
        <v>2676</v>
      </c>
      <c r="I107" s="129"/>
    </row>
    <row r="108" spans="1:35" ht="18.75" customHeight="1">
      <c r="A108" s="129"/>
      <c r="B108" s="129"/>
      <c r="C108" s="129"/>
      <c r="D108" s="129"/>
      <c r="E108" s="3621"/>
      <c r="F108" s="3589"/>
      <c r="G108" s="1826" t="s">
        <v>1432</v>
      </c>
      <c r="H108" s="2554">
        <f ca="1">IF(H107=H101,H102,ROUND(H107*10000/'数据-汇总表'!E3,0))</f>
        <v>11200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6" t="s">
        <v>1430</v>
      </c>
      <c r="H109" s="2597" t="str">
        <f>IF(E109="——","——",H101-H105-H106)</f>
        <v>——</v>
      </c>
      <c r="I109" s="129"/>
    </row>
    <row r="110" spans="1:35" ht="18.75" customHeight="1">
      <c r="A110" s="129"/>
      <c r="B110" s="129"/>
      <c r="C110" s="129"/>
      <c r="D110" s="129"/>
      <c r="E110" s="3621"/>
      <c r="F110" s="3589"/>
      <c r="G110" s="1826" t="s">
        <v>1432</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6" t="s">
        <v>1430</v>
      </c>
      <c r="H111" s="2594" t="str">
        <f>IF(E111="——","——",N59)</f>
        <v>——</v>
      </c>
      <c r="I111" s="129"/>
    </row>
    <row r="112" spans="1:35" ht="18.75" customHeight="1" thickBot="1">
      <c r="A112" s="129"/>
      <c r="B112" s="129"/>
      <c r="C112" s="129"/>
      <c r="D112" s="129"/>
      <c r="E112" s="3623"/>
      <c r="F112" s="3624"/>
      <c r="G112" s="1829" t="s">
        <v>1432</v>
      </c>
      <c r="H112" s="2598" t="str">
        <f>IF(E111="——","——",N61)</f>
        <v>——</v>
      </c>
      <c r="I112" s="129"/>
    </row>
    <row r="113" spans="1:27" ht="18.75" customHeight="1">
      <c r="A113" s="129"/>
      <c r="B113" s="129"/>
      <c r="C113" s="129"/>
      <c r="D113" s="129"/>
      <c r="E113" s="3631" t="s">
        <v>1438</v>
      </c>
      <c r="F113" s="3631"/>
      <c r="G113" s="3631"/>
      <c r="H113" s="3631"/>
      <c r="I113" s="129"/>
    </row>
    <row r="114" spans="1:27" ht="3.75" customHeight="1">
      <c r="A114" s="1746"/>
      <c r="B114" s="1746"/>
      <c r="C114" s="1746"/>
      <c r="D114" s="1746"/>
      <c r="E114" s="1808"/>
      <c r="F114" s="1808"/>
      <c r="G114" s="1808"/>
      <c r="H114" s="1808"/>
      <c r="I114" s="1746"/>
    </row>
    <row r="115" spans="1:27" ht="18.75" customHeight="1">
      <c r="A115" s="3639" t="s">
        <v>1440</v>
      </c>
      <c r="B115" s="3640"/>
      <c r="C115" s="3640"/>
      <c r="D115" s="3640"/>
      <c r="E115" s="3640"/>
      <c r="F115" s="3640"/>
      <c r="G115" s="3640"/>
      <c r="H115" s="3640"/>
      <c r="I115" s="3641"/>
    </row>
    <row r="116" spans="1:27" ht="27" customHeight="1">
      <c r="A116" s="3596" t="s">
        <v>1441</v>
      </c>
      <c r="B116" s="3600" t="s">
        <v>1442</v>
      </c>
      <c r="C116" s="3600" t="s">
        <v>1443</v>
      </c>
      <c r="D116" s="3606" t="s">
        <v>1444</v>
      </c>
      <c r="E116" s="3607"/>
      <c r="F116" s="3638" t="s">
        <v>1445</v>
      </c>
      <c r="G116" s="3638"/>
      <c r="H116" s="3596" t="s">
        <v>1446</v>
      </c>
      <c r="I116" s="3596"/>
    </row>
    <row r="117" spans="1:27" ht="18.75" customHeight="1">
      <c r="A117" s="3596"/>
      <c r="B117" s="3601"/>
      <c r="C117" s="3601"/>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2389.2399999999998</v>
      </c>
      <c r="C118" s="2328">
        <f>M19</f>
        <v>0</v>
      </c>
      <c r="D118" s="2328" t="e">
        <f ca="1">ROUND(IF(D32="总价",C34,E118*B118/10000),0)</f>
        <v>#DIV/0!</v>
      </c>
      <c r="E118" s="2328" t="e">
        <f ca="1">ROUND(IF(C33="自定义",IF(D32="楼面单价",C34,D118*10000/B118),I118-G118),0)</f>
        <v>#DIV/0!</v>
      </c>
      <c r="F118" s="2328" t="e">
        <f ca="1">ROUND(IF(D32="总价",C35,G118*B118/10000),0)</f>
        <v>#DIV/0!</v>
      </c>
      <c r="G118" s="2328" t="e">
        <f ca="1">ROUND(IF(D32="楼面单价",C35,F118*10000/B118),0)</f>
        <v>#DIV/0!</v>
      </c>
      <c r="H118" s="2328">
        <f ca="1">ROUND(IF(D32="总价",C32,I118*B118/10000),0)</f>
        <v>2676</v>
      </c>
      <c r="I118" s="2328">
        <f ca="1">ROUND(IF(D32="楼面单价",C32,H118*10000/B118),0)</f>
        <v>11200</v>
      </c>
    </row>
    <row r="119" spans="1:27" ht="18.75" customHeight="1">
      <c r="A119" s="3596" t="s">
        <v>1450</v>
      </c>
      <c r="B119" s="3596"/>
      <c r="C119" s="3596"/>
      <c r="D119" s="3602" t="e">
        <f ca="1">NUMBERSTRING(INT(D118*10000),2)&amp;"元整"</f>
        <v>#DIV/0!</v>
      </c>
      <c r="E119" s="3603"/>
      <c r="F119" s="3602" t="e">
        <f ca="1">NUMBERSTRING(INT(F118*10000),2)&amp;"元整"</f>
        <v>#DIV/0!</v>
      </c>
      <c r="G119" s="3603"/>
      <c r="H119" s="3602" t="str">
        <f ca="1">NUMBERSTRING(INT(H118*10000),2)&amp;"元整"</f>
        <v>贰仟陆佰柒拾陆万元整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1450</v>
      </c>
      <c r="B121" s="3604"/>
      <c r="C121" s="3603"/>
      <c r="D121" s="3602" t="str">
        <f>IF(D120=0,"零元整",NUMBERSTRING(INT(D120*10000),2)&amp;"元整")</f>
        <v>零元整</v>
      </c>
      <c r="E121" s="3604"/>
      <c r="F121" s="3604"/>
      <c r="G121" s="3604"/>
      <c r="H121" s="3604"/>
      <c r="I121" s="3603"/>
      <c r="AA121" s="724"/>
    </row>
    <row r="122" spans="1:27" ht="18.75" customHeight="1">
      <c r="A122" s="3608" t="str">
        <f>IF(项目基本情况!B9="房地产市场价值","",MID(E107,3,LEN(E107)-2))</f>
        <v>房地产抵押价值</v>
      </c>
      <c r="B122" s="3608"/>
      <c r="C122" s="3608"/>
      <c r="D122" s="3597">
        <f ca="1">H107</f>
        <v>2676</v>
      </c>
      <c r="E122" s="3598"/>
      <c r="F122" s="3598"/>
      <c r="G122" s="3598"/>
      <c r="H122" s="3598"/>
      <c r="I122" s="3599"/>
      <c r="AA122" s="724"/>
    </row>
    <row r="123" spans="1:27" ht="18.75" customHeight="1">
      <c r="A123" s="3596" t="s">
        <v>1450</v>
      </c>
      <c r="B123" s="3596"/>
      <c r="C123" s="3596"/>
      <c r="D123" s="3602" t="str">
        <f ca="1">NUMBERSTRING(INT(D122*10000),2)&amp;"元整"</f>
        <v>贰仟陆佰柒拾陆万元整</v>
      </c>
      <c r="E123" s="3604"/>
      <c r="F123" s="3604"/>
      <c r="G123" s="3604"/>
      <c r="H123" s="3604"/>
      <c r="I123" s="3603"/>
      <c r="AA123" s="724"/>
    </row>
    <row r="124" spans="1:27" ht="18.75" customHeight="1">
      <c r="A124" s="3608" t="str">
        <f>IF(项目基本情况!B9="房地产市场价值","",MID(E109,3,LEN(E109)-2))</f>
        <v/>
      </c>
      <c r="B124" s="3608"/>
      <c r="C124" s="3608"/>
      <c r="D124" s="3597" t="str">
        <f>H109</f>
        <v>——</v>
      </c>
      <c r="E124" s="3598"/>
      <c r="F124" s="3598"/>
      <c r="G124" s="3598"/>
      <c r="H124" s="3598"/>
      <c r="I124" s="3599"/>
      <c r="AA124" s="724"/>
    </row>
    <row r="125" spans="1:27" ht="18.75" customHeight="1">
      <c r="A125" s="3596" t="s">
        <v>1450</v>
      </c>
      <c r="B125" s="3596"/>
      <c r="C125" s="3596"/>
      <c r="D125" s="3602" t="e">
        <f>NUMBERSTRING(INT(D124*10000),2)&amp;"元整"</f>
        <v>#VALUE!</v>
      </c>
      <c r="E125" s="3604"/>
      <c r="F125" s="3604"/>
      <c r="G125" s="3604"/>
      <c r="H125" s="3604"/>
      <c r="I125" s="3603"/>
      <c r="AA125" s="724"/>
    </row>
    <row r="126" spans="1:27" ht="18.75" customHeight="1">
      <c r="A126" s="3608" t="str">
        <f>IF(项目基本情况!B9="房地产市场价值","",MID(E111,3,LEN(E111)-2))</f>
        <v/>
      </c>
      <c r="B126" s="3608"/>
      <c r="C126" s="3608"/>
      <c r="D126" s="3597" t="str">
        <f>H111</f>
        <v>——</v>
      </c>
      <c r="E126" s="3598"/>
      <c r="F126" s="3598"/>
      <c r="G126" s="3598"/>
      <c r="H126" s="3598"/>
      <c r="I126" s="3599"/>
      <c r="AA126" s="724"/>
    </row>
    <row r="127" spans="1:27" ht="18.75" customHeight="1">
      <c r="A127" s="3596" t="s">
        <v>1450</v>
      </c>
      <c r="B127" s="3596"/>
      <c r="C127" s="3596"/>
      <c r="D127" s="3602" t="e">
        <f>NUMBERSTRING(INT(D126*10000),2)&amp;"元整"</f>
        <v>#VALUE!</v>
      </c>
      <c r="E127" s="3604"/>
      <c r="F127" s="3604"/>
      <c r="G127" s="3604"/>
      <c r="H127" s="3604"/>
      <c r="I127" s="3603"/>
      <c r="AA127" s="724"/>
    </row>
    <row r="128" spans="1:27" ht="21.75" customHeight="1">
      <c r="A128" s="3605" t="s">
        <v>1451</v>
      </c>
      <c r="B128" s="3605"/>
      <c r="C128" s="3605"/>
      <c r="D128" s="3605"/>
      <c r="E128" s="3605"/>
      <c r="F128" s="3605"/>
      <c r="G128" s="3605"/>
      <c r="H128" s="3605"/>
      <c r="I128" s="360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3452</v>
      </c>
      <c r="C1" s="198"/>
      <c r="D1" s="198"/>
      <c r="E1" s="198"/>
      <c r="F1" s="198"/>
      <c r="G1" s="1125" t="e">
        <f>MATCH(B1,'数据-取费表'!A6:A16,0)+5</f>
        <v>#N/A</v>
      </c>
    </row>
    <row r="2" spans="1:9" s="200" customFormat="1" ht="18" customHeight="1">
      <c r="A2" s="201" t="s">
        <v>1460</v>
      </c>
      <c r="B2" s="202" t="e">
        <f ca="1">IF(D2="——",C52,C52-E2)</f>
        <v>#DIV/0!</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#DIV/0!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#DIV/0!</v>
      </c>
      <c r="D5" s="211" t="s">
        <v>1467</v>
      </c>
      <c r="E5" s="212" t="s">
        <v>1468</v>
      </c>
      <c r="F5" s="212" t="s">
        <v>1469</v>
      </c>
      <c r="G5" s="213"/>
    </row>
    <row r="6" spans="1:9" s="214" customFormat="1" ht="13.5" customHeight="1">
      <c r="A6" s="777" t="s">
        <v>1470</v>
      </c>
      <c r="B6" s="215" t="s">
        <v>1471</v>
      </c>
      <c r="C6" s="216" t="e">
        <f>基准地价修正!E33+基准地价修正!E37</f>
        <v>#DIV/0!</v>
      </c>
      <c r="D6" s="217"/>
      <c r="E6" s="218"/>
      <c r="F6" s="218"/>
      <c r="G6" s="219"/>
    </row>
    <row r="7" spans="1:9" s="214" customFormat="1" ht="13.5" customHeight="1">
      <c r="A7" s="777" t="s">
        <v>1472</v>
      </c>
      <c r="B7" s="215" t="s">
        <v>1473</v>
      </c>
      <c r="C7" s="220" t="e">
        <f>ROUND(C6*F7,0)</f>
        <v>#DIV/0!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3436</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3442</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3437</v>
      </c>
    </row>
    <row r="20" spans="1:7" s="214" customFormat="1" ht="13.5" customHeight="1">
      <c r="A20" s="255" t="s">
        <v>1491</v>
      </c>
      <c r="B20" s="210" t="s">
        <v>1492</v>
      </c>
      <c r="C20" s="232" t="e">
        <f ca="1">ROUND((C5+C19)*F20,0)</f>
        <v>#DIV/0!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#DIV/0!</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t="e">
        <f ca="1">ROUND(IF('数据-取费表'!B22&lt;=1,C5*F22*'数据-取费表'!B23,C5*(POWER((1+F22),'数据-取费表'!B23)-1)),0)</f>
        <v>#DIV/0!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t="e">
        <f ca="1">ROUND(IF('数据-取费表'!B22&lt;=1,C20*F22*'数据-取费表'!B23/2,C20*(POWER((1+F22),'数据-取费表'!B23/2)-1)),0)</f>
        <v>#DIV/0!</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#DIV/0!</v>
      </c>
      <c r="D27" s="235" t="e">
        <f ca="1">C29</f>
        <v>#N/A</v>
      </c>
      <c r="E27" s="236" t="s">
        <v>1512</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#DIV/0!</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t="e">
        <f ca="1">ROUND(IF('数据-取费表'!B22&lt;=1,C33*F22*'数据-取费表'!B21/2,C33*(POWER((1+F22),'数据-取费表'!B21/2)-1)),0)</f>
        <v>#N/A</v>
      </c>
      <c r="D42" s="238"/>
      <c r="E42" s="238"/>
      <c r="F42" s="239"/>
      <c r="G42" s="3675" t="s">
        <v>1542</v>
      </c>
    </row>
    <row r="43" spans="1:7" ht="13.5" customHeight="1">
      <c r="A43" s="779" t="s">
        <v>347</v>
      </c>
      <c r="B43" s="215" t="s">
        <v>1543</v>
      </c>
      <c r="C43" s="238" t="e">
        <f ca="1">ROUND(IF('数据-取费表'!B22&lt;=1,C39*F22*'数据-取费表'!B21/2,C39*(POWER((1+F22),'数据-取费表'!B21/2)-1)),0)</f>
        <v>#N/A</v>
      </c>
      <c r="D43" s="238"/>
      <c r="E43" s="238"/>
      <c r="F43" s="239"/>
      <c r="G43" s="3676"/>
    </row>
    <row r="44" spans="1:7" ht="13.5" customHeight="1">
      <c r="A44" s="779" t="s">
        <v>348</v>
      </c>
      <c r="B44" s="215" t="s">
        <v>1544</v>
      </c>
      <c r="C44" s="238">
        <f ca="1">ROUND(IF('数据-取费表'!B22&lt;=1,C40*F22*'数据-取费表'!B21/2,C40*(POWER((1+F22),'数据-取费表'!B21/2)-1)),4)</f>
        <v>6.9999999999999999E-4</v>
      </c>
      <c r="D44" s="238"/>
      <c r="E44" s="238"/>
      <c r="F44" s="239"/>
      <c r="G44" s="3677"/>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2" t="str">
        <f>项目基本情况!B1</f>
        <v>北京市房地产抵押价值预评估</v>
      </c>
      <c r="C37" s="3492"/>
      <c r="D37" s="3492"/>
      <c r="E37" s="3492"/>
      <c r="F37" s="3492"/>
      <c r="G37" s="3492"/>
      <c r="H37" s="3492"/>
      <c r="I37" s="349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7</v>
      </c>
    </row>
    <row r="2" spans="1:33" ht="18" customHeight="1">
      <c r="A2" s="201" t="s">
        <v>1460</v>
      </c>
      <c r="B2" s="204">
        <f ca="1">C32</f>
        <v>520983</v>
      </c>
      <c r="C2" s="276" t="s">
        <v>1593</v>
      </c>
      <c r="D2" s="276"/>
      <c r="E2" s="2805"/>
      <c r="F2" s="2805"/>
      <c r="G2" s="2805"/>
      <c r="H2" s="2805"/>
      <c r="I2" s="2805"/>
      <c r="J2" s="2805"/>
      <c r="K2" s="2805"/>
    </row>
    <row r="3" spans="1:33" ht="18" customHeight="1" thickBot="1">
      <c r="A3" s="203" t="s">
        <v>1462</v>
      </c>
      <c r="B3" s="204">
        <f ca="1">ROUND(B2*10000/IF(C1="",'数据-汇总表'!E3,INDIRECT("'数据-取费表'!K"&amp;$K$1)),0)</f>
        <v>2180539</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2389.2399999999998</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2389.2399999999998</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-477800</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48</v>
      </c>
      <c r="D20" s="845">
        <f ca="1">IF(C1="",'数据-汇总表'!E6,IF(INDIRECT("'数据-取费表'!c"&amp;$K$1)="住宅",INDIRECT("'数据-取费表'!s"&amp;$K$1),INDIRECT("'数据-取费表'!k"&amp;$K$1)+INDIRECT("'数据-取费表'!s"&amp;$K$1)))</f>
        <v>2389.2399999999998</v>
      </c>
      <c r="E20" s="21">
        <f>'数据-取费表'!B28</f>
        <v>200</v>
      </c>
      <c r="F20" s="803"/>
      <c r="G20" s="12"/>
      <c r="H20" s="808"/>
      <c r="I20" s="808"/>
      <c r="J20" s="808"/>
      <c r="K20" s="809"/>
    </row>
    <row r="21" spans="1:33" s="802" customFormat="1" ht="13.5" customHeight="1">
      <c r="A21" s="789" t="s">
        <v>357</v>
      </c>
      <c r="B21" s="812" t="s">
        <v>1626</v>
      </c>
      <c r="C21" s="813">
        <f ca="1">C16+C17+C18</f>
        <v>-477800</v>
      </c>
      <c r="D21" s="814"/>
      <c r="E21" s="281"/>
      <c r="F21" s="281"/>
      <c r="G21" s="131" t="s">
        <v>1627</v>
      </c>
      <c r="H21" s="806"/>
      <c r="I21" s="806"/>
      <c r="J21" s="806"/>
      <c r="K21" s="807"/>
    </row>
    <row r="22" spans="1:33" s="802" customFormat="1" ht="13.5" customHeight="1">
      <c r="A22" s="789" t="s">
        <v>1599</v>
      </c>
      <c r="B22" s="812" t="s">
        <v>1628</v>
      </c>
      <c r="C22" s="813">
        <f ca="1">ROUND(C21*F22,0)</f>
        <v>-9556</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-48736</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-48736</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520983</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3452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0" t="s">
        <v>694</v>
      </c>
      <c r="C6" s="1073" t="e">
        <f ca="1">ROUND(F6*F8*F7*(1-F9)/10000,0)</f>
        <v>#N/A</v>
      </c>
      <c r="D6" s="155" t="s">
        <v>2106</v>
      </c>
      <c r="E6" s="302" t="s">
        <v>696</v>
      </c>
      <c r="F6" s="303" t="e">
        <f ca="1">INDIRECT("'数据-取费表'!u"&amp;$G$1)</f>
        <v>#N/A</v>
      </c>
      <c r="G6" s="1383"/>
      <c r="H6" s="1068" t="s">
        <v>398</v>
      </c>
      <c r="I6" s="3680" t="s">
        <v>694</v>
      </c>
      <c r="J6" s="301" t="e">
        <f ca="1">ROUND(M6*M8*M7*(1-M9)/10000,0)</f>
        <v>#N/A</v>
      </c>
      <c r="K6" s="155" t="s">
        <v>2105</v>
      </c>
      <c r="L6" s="302" t="s">
        <v>696</v>
      </c>
      <c r="M6" s="303" t="e">
        <f ca="1">INDIRECT("'数据-取费表'!z"&amp;$G$1)</f>
        <v>#N/A</v>
      </c>
    </row>
    <row r="7" spans="1:37" ht="18" customHeight="1">
      <c r="A7" s="1072"/>
      <c r="B7" s="3681"/>
      <c r="C7" s="1074"/>
      <c r="D7" s="307"/>
      <c r="E7" s="1075" t="s">
        <v>697</v>
      </c>
      <c r="F7" s="303" t="e">
        <f ca="1">IF(INDIRECT("'数据-取费表'!ah"&amp;$G$1)="",INDIRECT("'数据-取费表'!k"&amp;$G$1),INDIRECT("'数据-取费表'!ah"&amp;$G$1))</f>
        <v>#N/A</v>
      </c>
      <c r="G7" s="1383"/>
      <c r="H7" s="304"/>
      <c r="I7" s="3681"/>
      <c r="J7" s="306"/>
      <c r="K7" s="307"/>
      <c r="L7" s="302" t="s">
        <v>697</v>
      </c>
      <c r="M7" s="303" t="e">
        <f ca="1">F7</f>
        <v>#N/A</v>
      </c>
    </row>
    <row r="8" spans="1:37" ht="18" customHeight="1">
      <c r="A8" s="304"/>
      <c r="B8" s="3681"/>
      <c r="C8" s="306"/>
      <c r="D8" s="307"/>
      <c r="E8" s="302" t="s">
        <v>698</v>
      </c>
      <c r="F8" s="303" t="e">
        <f ca="1">INDIRECT("'数据-取费表'!ai"&amp;$G$1)</f>
        <v>#N/A</v>
      </c>
      <c r="G8" s="1383"/>
      <c r="H8" s="304"/>
      <c r="I8" s="3681"/>
      <c r="J8" s="306"/>
      <c r="K8" s="307"/>
      <c r="L8" s="302" t="s">
        <v>698</v>
      </c>
      <c r="M8" s="303" t="e">
        <f ca="1">INDIRECT("'数据-取费表'!ai"&amp;$G$1)</f>
        <v>#N/A</v>
      </c>
    </row>
    <row r="9" spans="1:37" ht="18" customHeight="1">
      <c r="A9" s="304"/>
      <c r="B9" s="3682"/>
      <c r="C9" s="306"/>
      <c r="D9" s="307"/>
      <c r="E9" s="302" t="s">
        <v>699</v>
      </c>
      <c r="F9" s="312" t="e">
        <f ca="1">INDIRECT("'数据-取费表'!w"&amp;$G$1)</f>
        <v>#N/A</v>
      </c>
      <c r="G9" s="1383"/>
      <c r="H9" s="304"/>
      <c r="I9" s="3682"/>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2107</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49</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8" t="s">
        <v>837</v>
      </c>
      <c r="L53" s="3679"/>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21</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t="e">
        <f>IF(C2="——",C49,ROUND(B2*10000/D3,0))</f>
        <v>#DIV/0!</v>
      </c>
      <c r="C3" s="354" t="s">
        <v>1766</v>
      </c>
      <c r="D3" s="353">
        <f>IF(D1="",'数据-汇总表'!E3,SUMIF('数据-汇总表'!$C19:$C33,D1,'数据-汇总表'!$E19:$E33))</f>
        <v>2389.2399999999998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6" t="s">
        <v>1770</v>
      </c>
      <c r="AC4" s="3683" t="s">
        <v>1771</v>
      </c>
    </row>
    <row r="5" spans="1:29"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6"/>
      <c r="AC5" s="368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6"/>
      <c r="AC6" s="3685"/>
    </row>
    <row r="7" spans="1:29" s="108" customFormat="1" ht="15.75" thickBot="1">
      <c r="A7" s="362" t="s">
        <v>1677</v>
      </c>
      <c r="B7" s="363"/>
      <c r="C7" s="364">
        <f>'数据-取费表'!B2</f>
        <v>45449</v>
      </c>
      <c r="D7" s="365">
        <v>100</v>
      </c>
      <c r="E7" s="366">
        <v>45413</v>
      </c>
      <c r="F7" s="367">
        <f>SUMIF(58:58,YEAR(E7)&amp;"-"&amp;MONTH(E7),59:59)</f>
        <v>0</v>
      </c>
      <c r="G7" s="366">
        <v>45413</v>
      </c>
      <c r="H7" s="365">
        <f>SUMIF(58:58,YEAR(G7)&amp;"-"&amp;MONTH(G7),59:59)</f>
        <v>0</v>
      </c>
      <c r="I7" s="366">
        <v>45413</v>
      </c>
      <c r="J7" s="365">
        <f>SUMIF(58:58,YEAR(I7)&amp;"-"&amp;MONTH(I7),59:59)</f>
        <v>0</v>
      </c>
      <c r="K7" s="560"/>
      <c r="L7" s="2716"/>
      <c r="M7" s="2717"/>
      <c r="N7" s="2717"/>
      <c r="O7" s="2717"/>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46" si="3">D8/F8</f>
        <v>1</v>
      </c>
      <c r="AB8" s="703">
        <f t="shared" ref="AB8:AB46" si="4">D8/H8</f>
        <v>1</v>
      </c>
      <c r="AC8" s="703">
        <f t="shared" ref="AC8:AC46" si="5">D8/J8</f>
        <v>1</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15" t="s">
        <v>1689</v>
      </c>
      <c r="Q15" s="1351" t="str">
        <f t="shared" si="6"/>
        <v>商业繁华度</v>
      </c>
      <c r="R15" s="704" t="s">
        <v>14</v>
      </c>
      <c r="S15" s="705">
        <f t="shared" si="0"/>
        <v>100</v>
      </c>
      <c r="T15" s="704" t="s">
        <v>14</v>
      </c>
      <c r="U15" s="705">
        <f t="shared" si="1"/>
        <v>100</v>
      </c>
      <c r="V15" s="704" t="s">
        <v>14</v>
      </c>
      <c r="W15" s="705">
        <f t="shared" si="2"/>
        <v>100</v>
      </c>
      <c r="X15" s="1354"/>
      <c r="Y15" s="3717" t="s">
        <v>1689</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716"/>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16"/>
      <c r="Q22" s="1351"/>
      <c r="R22" s="704"/>
      <c r="S22" s="705"/>
      <c r="T22" s="704"/>
      <c r="U22" s="705"/>
      <c r="V22" s="704"/>
      <c r="W22" s="705"/>
      <c r="X22" s="1354"/>
      <c r="Y22" s="3718"/>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6"/>
      <c r="Q23" s="1351" t="str">
        <f>B23</f>
        <v>自然及人文环境</v>
      </c>
      <c r="R23" s="704" t="s">
        <v>14</v>
      </c>
      <c r="S23" s="705">
        <f>F23</f>
        <v>100</v>
      </c>
      <c r="T23" s="704" t="s">
        <v>14</v>
      </c>
      <c r="U23" s="705">
        <f>H23</f>
        <v>100</v>
      </c>
      <c r="V23" s="704" t="s">
        <v>14</v>
      </c>
      <c r="W23" s="705">
        <f>J23</f>
        <v>100</v>
      </c>
      <c r="X23" s="1354"/>
      <c r="Y23" s="3718"/>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1778</v>
      </c>
      <c r="C25" s="565" t="s">
        <v>3438</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0</v>
      </c>
      <c r="L25" s="2721"/>
      <c r="M25" s="2715"/>
      <c r="N25" s="2715"/>
      <c r="O25" s="2715"/>
      <c r="P25" s="3716"/>
      <c r="Q25" s="1351" t="str">
        <f t="shared" ref="Q25:Q46" si="11">B25</f>
        <v>临街状况</v>
      </c>
      <c r="R25" s="704" t="s">
        <v>14</v>
      </c>
      <c r="S25" s="705">
        <f>F25</f>
        <v>100</v>
      </c>
      <c r="T25" s="704" t="s">
        <v>14</v>
      </c>
      <c r="U25" s="705">
        <f>H25</f>
        <v>100</v>
      </c>
      <c r="V25" s="704" t="s">
        <v>14</v>
      </c>
      <c r="W25" s="705">
        <f>J25</f>
        <v>100</v>
      </c>
      <c r="X25" s="1354"/>
      <c r="Y25" s="3718"/>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1" t="str">
        <f t="shared" si="11"/>
        <v>平面位置/可视性</v>
      </c>
      <c r="R26" s="704" t="s">
        <v>14</v>
      </c>
      <c r="S26" s="705">
        <f>F26</f>
        <v>100</v>
      </c>
      <c r="T26" s="704" t="s">
        <v>14</v>
      </c>
      <c r="U26" s="705">
        <f>H26</f>
        <v>100</v>
      </c>
      <c r="V26" s="704" t="s">
        <v>14</v>
      </c>
      <c r="W26" s="705">
        <f>J26</f>
        <v>100</v>
      </c>
      <c r="X26" s="1354"/>
      <c r="Y26" s="3718"/>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3">
        <v>0</v>
      </c>
      <c r="L27" s="2716"/>
      <c r="M27" s="2717"/>
      <c r="N27" s="2717"/>
      <c r="O27" s="2717"/>
      <c r="P27" s="3716"/>
      <c r="Q27" s="1342" t="str">
        <f t="shared" si="11"/>
        <v>人流量</v>
      </c>
      <c r="R27" s="700" t="s">
        <v>14</v>
      </c>
      <c r="S27" s="701">
        <f>F27</f>
        <v>100</v>
      </c>
      <c r="T27" s="700" t="s">
        <v>14</v>
      </c>
      <c r="U27" s="701">
        <f>H27</f>
        <v>100</v>
      </c>
      <c r="V27" s="700" t="s">
        <v>14</v>
      </c>
      <c r="W27" s="701">
        <f>J27</f>
        <v>100</v>
      </c>
      <c r="X27" s="702"/>
      <c r="Y27" s="3718"/>
      <c r="Z27" s="52" t="str">
        <f>Q27</f>
        <v>人流量</v>
      </c>
      <c r="AA27" s="1352">
        <f>D27/F27</f>
        <v>1</v>
      </c>
      <c r="AB27" s="1352">
        <f>D27/H27</f>
        <v>1</v>
      </c>
      <c r="AC27" s="1352">
        <f>D27/J27</f>
        <v>1</v>
      </c>
    </row>
    <row r="28" spans="1:29" ht="15">
      <c r="A28" s="379"/>
      <c r="B28" s="375" t="s">
        <v>1781</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71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1">
        <f t="shared" si="11"/>
        <v>111</v>
      </c>
      <c r="R29" s="704" t="s">
        <v>14</v>
      </c>
      <c r="S29" s="705">
        <f t="shared" si="12"/>
        <v>100</v>
      </c>
      <c r="T29" s="704" t="s">
        <v>14</v>
      </c>
      <c r="U29" s="705">
        <f t="shared" si="13"/>
        <v>100</v>
      </c>
      <c r="V29" s="704" t="s">
        <v>14</v>
      </c>
      <c r="W29" s="705">
        <f t="shared" si="14"/>
        <v>100</v>
      </c>
      <c r="X29" s="1354"/>
      <c r="Y29" s="371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352">
        <f t="shared" si="5"/>
        <v>1</v>
      </c>
    </row>
    <row r="32" spans="1:29" ht="15">
      <c r="A32" s="391" t="s">
        <v>1692</v>
      </c>
      <c r="B32" s="63" t="s">
        <v>1782</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719" t="s">
        <v>1694</v>
      </c>
      <c r="Q32" s="1351" t="str">
        <f t="shared" si="11"/>
        <v>商业类型</v>
      </c>
      <c r="R32" s="704" t="s">
        <v>14</v>
      </c>
      <c r="S32" s="705">
        <f t="shared" si="12"/>
        <v>100</v>
      </c>
      <c r="T32" s="704" t="s">
        <v>14</v>
      </c>
      <c r="U32" s="705">
        <f t="shared" si="13"/>
        <v>100</v>
      </c>
      <c r="V32" s="704" t="s">
        <v>14</v>
      </c>
      <c r="W32" s="705">
        <f t="shared" si="14"/>
        <v>100</v>
      </c>
      <c r="X32" s="1354"/>
      <c r="Y32" s="3722"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720"/>
      <c r="Q33" s="706" t="str">
        <f t="shared" si="11"/>
        <v>项目建筑规模</v>
      </c>
      <c r="R33" s="707" t="s">
        <v>14</v>
      </c>
      <c r="S33" s="708">
        <f t="shared" si="12"/>
        <v>100</v>
      </c>
      <c r="T33" s="707" t="s">
        <v>14</v>
      </c>
      <c r="U33" s="708">
        <f t="shared" si="13"/>
        <v>100</v>
      </c>
      <c r="V33" s="707" t="s">
        <v>14</v>
      </c>
      <c r="W33" s="708">
        <f t="shared" si="14"/>
        <v>100</v>
      </c>
      <c r="X33" s="709"/>
      <c r="Y33" s="3722"/>
      <c r="Z33" s="710" t="str">
        <f t="shared" si="15"/>
        <v>项目建筑规模</v>
      </c>
      <c r="AA33" s="1352">
        <f t="shared" si="3"/>
        <v>1</v>
      </c>
      <c r="AB33" s="1352">
        <f t="shared" si="4"/>
        <v>1</v>
      </c>
      <c r="AC33" s="1352">
        <f t="shared" si="5"/>
        <v>1</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720"/>
      <c r="Q34" s="1351" t="str">
        <f t="shared" si="11"/>
        <v>建筑结构</v>
      </c>
      <c r="R34" s="704" t="s">
        <v>14</v>
      </c>
      <c r="S34" s="705">
        <f t="shared" si="12"/>
        <v>100</v>
      </c>
      <c r="T34" s="704" t="s">
        <v>14</v>
      </c>
      <c r="U34" s="705">
        <f t="shared" si="13"/>
        <v>100</v>
      </c>
      <c r="V34" s="704" t="s">
        <v>14</v>
      </c>
      <c r="W34" s="705">
        <f t="shared" si="14"/>
        <v>100</v>
      </c>
      <c r="X34" s="1354"/>
      <c r="Y34" s="3722"/>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0"/>
      <c r="Q35" s="1351" t="str">
        <f t="shared" si="11"/>
        <v>公共部分装修</v>
      </c>
      <c r="R35" s="704" t="s">
        <v>14</v>
      </c>
      <c r="S35" s="705">
        <f t="shared" si="12"/>
        <v>100</v>
      </c>
      <c r="T35" s="704" t="s">
        <v>14</v>
      </c>
      <c r="U35" s="705">
        <f t="shared" si="13"/>
        <v>100</v>
      </c>
      <c r="V35" s="704" t="s">
        <v>14</v>
      </c>
      <c r="W35" s="705">
        <f t="shared" si="14"/>
        <v>100</v>
      </c>
      <c r="X35" s="1354"/>
      <c r="Y35" s="3722"/>
      <c r="Z35" s="1355" t="str">
        <f t="shared" si="15"/>
        <v>公共部分装修</v>
      </c>
      <c r="AA35" s="1352">
        <f t="shared" si="3"/>
        <v>1</v>
      </c>
      <c r="AB35" s="1352">
        <f t="shared" si="4"/>
        <v>1</v>
      </c>
      <c r="AC35" s="1352">
        <f t="shared" si="5"/>
        <v>1</v>
      </c>
    </row>
    <row r="36" spans="1:29" ht="15">
      <c r="A36" s="423"/>
      <c r="B36" s="375" t="s">
        <v>1784</v>
      </c>
      <c r="C36" s="425">
        <f>'数据-取费表'!N6</f>
        <v>0.82</v>
      </c>
      <c r="D36" s="386">
        <v>100</v>
      </c>
      <c r="E36" s="425">
        <f>C36</f>
        <v>0.82</v>
      </c>
      <c r="F36" s="412">
        <f>LOOKUP(E36,110:110,111:111)-LOOKUP(C36,110:110,111:111)+100</f>
        <v>100</v>
      </c>
      <c r="G36" s="425">
        <f>E36</f>
        <v>0.82</v>
      </c>
      <c r="H36" s="412">
        <f>LOOKUP(G36,110:110,111:111)-LOOKUP(C36,110:110,111:111)+100</f>
        <v>100</v>
      </c>
      <c r="I36" s="425">
        <f>G36</f>
        <v>0.82</v>
      </c>
      <c r="J36" s="386">
        <f>LOOKUP(I36,110:110,111:111)-LOOKUP(C36,110:110,111:111)+100</f>
        <v>100</v>
      </c>
      <c r="K36" s="561">
        <v>1</v>
      </c>
      <c r="L36" s="2721"/>
      <c r="M36" s="2715"/>
      <c r="N36" s="2715"/>
      <c r="O36" s="2715"/>
      <c r="P36" s="3720"/>
      <c r="Q36" s="1351" t="str">
        <f t="shared" si="11"/>
        <v>成新度</v>
      </c>
      <c r="R36" s="704" t="s">
        <v>14</v>
      </c>
      <c r="S36" s="705">
        <f t="shared" si="12"/>
        <v>100</v>
      </c>
      <c r="T36" s="704" t="s">
        <v>14</v>
      </c>
      <c r="U36" s="705">
        <f t="shared" si="13"/>
        <v>100</v>
      </c>
      <c r="V36" s="704" t="s">
        <v>14</v>
      </c>
      <c r="W36" s="705">
        <f t="shared" si="14"/>
        <v>100</v>
      </c>
      <c r="X36" s="1354"/>
      <c r="Y36" s="3722"/>
      <c r="Z36" s="1355" t="str">
        <f t="shared" si="15"/>
        <v>成新度</v>
      </c>
      <c r="AA36" s="1352">
        <f t="shared" si="3"/>
        <v>1</v>
      </c>
      <c r="AB36" s="1352">
        <f t="shared" si="4"/>
        <v>1</v>
      </c>
      <c r="AC36" s="1352">
        <f t="shared" si="5"/>
        <v>1</v>
      </c>
    </row>
    <row r="37" spans="1:29" s="108" customFormat="1" ht="15">
      <c r="A37" s="424"/>
      <c r="B37" s="375" t="s">
        <v>1785</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720"/>
      <c r="Q37" s="1342"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1786</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720" t="s">
        <v>1694</v>
      </c>
      <c r="Q38" s="1351" t="str">
        <f t="shared" si="11"/>
        <v>业态</v>
      </c>
      <c r="R38" s="704" t="s">
        <v>14</v>
      </c>
      <c r="S38" s="705">
        <f t="shared" si="12"/>
        <v>100</v>
      </c>
      <c r="T38" s="704" t="s">
        <v>14</v>
      </c>
      <c r="U38" s="705">
        <f t="shared" si="13"/>
        <v>100</v>
      </c>
      <c r="V38" s="704" t="s">
        <v>14</v>
      </c>
      <c r="W38" s="705">
        <f t="shared" si="14"/>
        <v>100</v>
      </c>
      <c r="X38" s="1354"/>
      <c r="Y38" s="3722" t="s">
        <v>1694</v>
      </c>
      <c r="Z38" s="1355" t="str">
        <f t="shared" si="15"/>
        <v>业态</v>
      </c>
      <c r="AA38" s="1352">
        <f t="shared" si="3"/>
        <v>1</v>
      </c>
      <c r="AB38" s="1352">
        <f t="shared" si="4"/>
        <v>1</v>
      </c>
      <c r="AC38" s="1352">
        <f t="shared" si="5"/>
        <v>1</v>
      </c>
    </row>
    <row r="39" spans="1:29" ht="15">
      <c r="A39" s="423"/>
      <c r="B39" s="375" t="s">
        <v>1787</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720"/>
      <c r="Q39" s="1351" t="str">
        <f t="shared" si="11"/>
        <v>层高</v>
      </c>
      <c r="R39" s="704" t="s">
        <v>14</v>
      </c>
      <c r="S39" s="705">
        <f t="shared" si="12"/>
        <v>100</v>
      </c>
      <c r="T39" s="704" t="s">
        <v>14</v>
      </c>
      <c r="U39" s="705">
        <f t="shared" si="13"/>
        <v>100</v>
      </c>
      <c r="V39" s="704" t="s">
        <v>14</v>
      </c>
      <c r="W39" s="705">
        <f t="shared" si="14"/>
        <v>100</v>
      </c>
      <c r="X39" s="1354"/>
      <c r="Y39" s="3722"/>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20"/>
      <c r="Q40" s="1351" t="str">
        <f t="shared" si="11"/>
        <v>单套建筑面积</v>
      </c>
      <c r="R40" s="704" t="s">
        <v>14</v>
      </c>
      <c r="S40" s="705">
        <f t="shared" si="12"/>
        <v>100</v>
      </c>
      <c r="T40" s="704" t="s">
        <v>14</v>
      </c>
      <c r="U40" s="705">
        <f t="shared" si="13"/>
        <v>100</v>
      </c>
      <c r="V40" s="704" t="s">
        <v>14</v>
      </c>
      <c r="W40" s="705">
        <f t="shared" si="14"/>
        <v>100</v>
      </c>
      <c r="X40" s="1354"/>
      <c r="Y40" s="3722"/>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2">
        <f t="shared" si="3"/>
        <v>1</v>
      </c>
      <c r="AB41" s="1352">
        <f t="shared" si="4"/>
        <v>1</v>
      </c>
      <c r="AC41" s="1352">
        <f t="shared" si="5"/>
        <v>1</v>
      </c>
    </row>
    <row r="42" spans="1:29" ht="15">
      <c r="A42" s="423"/>
      <c r="B42" s="375" t="s">
        <v>1790</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720"/>
      <c r="Q42" s="1351" t="str">
        <f t="shared" si="11"/>
        <v>内部装修</v>
      </c>
      <c r="R42" s="704" t="s">
        <v>14</v>
      </c>
      <c r="S42" s="705">
        <f t="shared" si="12"/>
        <v>100</v>
      </c>
      <c r="T42" s="704" t="s">
        <v>14</v>
      </c>
      <c r="U42" s="705">
        <f t="shared" si="13"/>
        <v>100</v>
      </c>
      <c r="V42" s="704" t="s">
        <v>14</v>
      </c>
      <c r="W42" s="705">
        <f t="shared" si="14"/>
        <v>100</v>
      </c>
      <c r="X42" s="1354"/>
      <c r="Y42" s="3722"/>
      <c r="Z42" s="1355" t="str">
        <f t="shared" si="15"/>
        <v>内部装修</v>
      </c>
      <c r="AA42" s="1352">
        <f t="shared" si="3"/>
        <v>1</v>
      </c>
      <c r="AB42" s="1352">
        <f t="shared" si="4"/>
        <v>1</v>
      </c>
      <c r="AC42" s="1352">
        <f t="shared" si="5"/>
        <v>1</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720"/>
      <c r="Q43" s="1351" t="str">
        <f t="shared" si="11"/>
        <v>内部装修维护情况</v>
      </c>
      <c r="R43" s="704" t="s">
        <v>14</v>
      </c>
      <c r="S43" s="705">
        <f t="shared" si="12"/>
        <v>100</v>
      </c>
      <c r="T43" s="704" t="s">
        <v>14</v>
      </c>
      <c r="U43" s="705">
        <f t="shared" si="13"/>
        <v>100</v>
      </c>
      <c r="V43" s="704" t="s">
        <v>14</v>
      </c>
      <c r="W43" s="705">
        <f t="shared" si="14"/>
        <v>100</v>
      </c>
      <c r="X43" s="1354"/>
      <c r="Y43" s="372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1342">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1351">
        <f t="shared" si="11"/>
        <v>111</v>
      </c>
      <c r="R45" s="704" t="s">
        <v>14</v>
      </c>
      <c r="S45" s="705">
        <f t="shared" si="12"/>
        <v>100</v>
      </c>
      <c r="T45" s="704" t="s">
        <v>14</v>
      </c>
      <c r="U45" s="705">
        <f t="shared" si="13"/>
        <v>100</v>
      </c>
      <c r="V45" s="704" t="s">
        <v>14</v>
      </c>
      <c r="W45" s="705">
        <f t="shared" si="14"/>
        <v>100</v>
      </c>
      <c r="X45" s="1354"/>
      <c r="Y45" s="372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352">
        <f t="shared" si="5"/>
        <v>1</v>
      </c>
    </row>
    <row r="47" spans="1:29" ht="15">
      <c r="A47" s="430" t="s">
        <v>1706</v>
      </c>
      <c r="B47" s="431"/>
      <c r="C47" s="1153" t="s">
        <v>0</v>
      </c>
      <c r="D47" s="1154"/>
      <c r="E47" s="1155">
        <v>30000</v>
      </c>
      <c r="F47" s="1156"/>
      <c r="G47" s="1157">
        <v>30000</v>
      </c>
      <c r="H47" s="1158"/>
      <c r="I47" s="1155">
        <v>30000</v>
      </c>
      <c r="J47" s="1158"/>
      <c r="K47" s="713"/>
      <c r="L47" s="2723"/>
      <c r="M47" s="2724"/>
      <c r="N47" s="2715"/>
      <c r="O47" s="2724"/>
      <c r="P47" s="3724" t="str">
        <f>A47</f>
        <v>成交单价（元/平方米）</v>
      </c>
      <c r="Q47" s="3724"/>
      <c r="R47" s="3686">
        <f>E47</f>
        <v>30000</v>
      </c>
      <c r="S47" s="3686"/>
      <c r="T47" s="3686">
        <f>G47</f>
        <v>30000</v>
      </c>
      <c r="U47" s="3686"/>
      <c r="V47" s="3686">
        <f>I47</f>
        <v>30000</v>
      </c>
      <c r="W47" s="3686"/>
      <c r="X47" s="689"/>
      <c r="Y47" s="711"/>
      <c r="Z47" s="689"/>
      <c r="AA47" s="689"/>
      <c r="AB47" s="689"/>
      <c r="AC47" s="689"/>
    </row>
    <row r="48" spans="1:29" ht="15.75" thickBot="1">
      <c r="A48" s="437" t="s">
        <v>1791</v>
      </c>
      <c r="B48" s="438"/>
      <c r="C48" s="1159" t="e">
        <f>R49</f>
        <v>#DIV/0!</v>
      </c>
      <c r="D48" s="2316" t="s">
        <v>2135</v>
      </c>
      <c r="E48" s="1160" t="e">
        <f>R48</f>
        <v>#DIV/0!</v>
      </c>
      <c r="F48" s="2317"/>
      <c r="G48" s="1159" t="e">
        <f>T48</f>
        <v>#DIV/0!</v>
      </c>
      <c r="H48" s="2317"/>
      <c r="I48" s="1160" t="e">
        <f>V48</f>
        <v>#DIV/0!</v>
      </c>
      <c r="J48" s="2317"/>
      <c r="K48" s="2319">
        <f>F48+H48+J48</f>
        <v>0</v>
      </c>
      <c r="L48" s="2723"/>
      <c r="M48" s="2724"/>
      <c r="N48" s="2715"/>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3419</v>
      </c>
      <c r="F100" s="3450"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3420</v>
      </c>
      <c r="D116" s="3449"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3424</v>
      </c>
      <c r="D122" s="3449" t="s">
        <v>3425</v>
      </c>
      <c r="E122" s="3449"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zoomScaleSheetLayoutView="70" workbookViewId="0">
      <selection activeCell="O52" sqref="O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3" t="e">
        <f ca="1">ROUND(IF(D2="——",C52/10000,C52/10000-E2),4)</f>
        <v>#DIV/0!</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t="e">
        <f ca="1">ROUND(B2*10000/(IF(B1="",'数据-汇总表'!E3,INDIRECT("'数据-取费表'!k"&amp;$G$1))),0)</f>
        <v>#DIV/0!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t="e">
        <f ca="1">C6+C7+C8</f>
        <v>#DIV/0!</v>
      </c>
      <c r="D5" s="211" t="s">
        <v>1467</v>
      </c>
      <c r="E5" s="212" t="s">
        <v>1468</v>
      </c>
      <c r="F5" s="212" t="s">
        <v>1469</v>
      </c>
      <c r="G5" s="213"/>
    </row>
    <row r="6" spans="1:8" s="214" customFormat="1" ht="13.5" customHeight="1">
      <c r="A6" s="777" t="s">
        <v>1470</v>
      </c>
      <c r="B6" s="215" t="s">
        <v>1471</v>
      </c>
      <c r="C6" s="216" t="e">
        <f>ROUND(基准地价修正!T2*基准地价修正!U2+基准地价修正!T3*基准地价修正!U3,0)</f>
        <v>#DIV/0!</v>
      </c>
      <c r="D6" s="217"/>
      <c r="E6" s="218"/>
      <c r="F6" s="218"/>
      <c r="G6" s="219"/>
    </row>
    <row r="7" spans="1:8" s="214" customFormat="1" ht="13.5" customHeight="1">
      <c r="A7" s="777" t="s">
        <v>1472</v>
      </c>
      <c r="B7" s="215" t="s">
        <v>1473</v>
      </c>
      <c r="C7" s="220" t="e">
        <f>ROUND(C6*F7,0)</f>
        <v>#DIV/0!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477848</v>
      </c>
      <c r="D8" s="222"/>
      <c r="E8" s="220"/>
      <c r="F8" s="221"/>
      <c r="G8" s="1855" t="s">
        <v>3436</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477848</v>
      </c>
      <c r="D10" s="844">
        <f ca="1">IF(B1="",'数据-汇总表'!E6,IF(INDIRECT("'数据-取费表'!c"&amp;$G$1)="住宅",INDIRECT("'数据-取费表'!s"&amp;$G$1),INDIRECT("'数据-取费表'!k"&amp;$G$1)+INDIRECT("'数据-取费表'!s"&amp;$G$1)))</f>
        <v>2389.2399999999998</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2389.2399999999998</v>
      </c>
      <c r="E19" s="211">
        <f>'数据-取费表'!B31</f>
        <v>200</v>
      </c>
      <c r="F19" s="231"/>
      <c r="G19" s="1855" t="s">
        <v>3437</v>
      </c>
    </row>
    <row r="20" spans="1:7" s="214" customFormat="1" ht="13.5" customHeight="1">
      <c r="A20" s="255" t="s">
        <v>1572</v>
      </c>
      <c r="B20" s="210" t="s">
        <v>1573</v>
      </c>
      <c r="C20" s="232" t="e">
        <f ca="1">ROUND((C5+C19)*F20,0)</f>
        <v>#DIV/0!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t="e">
        <f ca="1">ROUND(SUM(C23:C25),0)</f>
        <v>#DIV/0!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t="e">
        <f ca="1">ROUND(IF('数据-取费表'!B22&lt;=1,C5*F22*'数据-取费表'!B22,C5*(POWER((1+F22),'数据-取费表'!B22)-1)),0)</f>
        <v>#DIV/0!</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t="e">
        <f ca="1">ROUND(IF('数据-取费表'!B22&lt;=1,C20*F22*'数据-取费表'!B22/2,C20*(POWER((1+F22),'数据-取费表'!B22/2)-1)),0)</f>
        <v>#DIV/0!</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t="e">
        <f ca="1">C28</f>
        <v>#DIV/0!</v>
      </c>
      <c r="D27" s="235">
        <f ca="1">C29</f>
        <v>2E-3</v>
      </c>
      <c r="E27" s="236" t="s">
        <v>1512</v>
      </c>
      <c r="F27" s="246">
        <f ca="1">IF(B1="",'数据-取费表'!Q16,INDIRECT("'数据-取费表'!q"&amp;$G$1))</f>
        <v>0.1</v>
      </c>
      <c r="G27" s="247" t="s">
        <v>1513</v>
      </c>
    </row>
    <row r="28" spans="1:7" s="214" customFormat="1" ht="13.5" customHeight="1">
      <c r="A28" s="779" t="s">
        <v>346</v>
      </c>
      <c r="B28" s="248" t="s">
        <v>1514</v>
      </c>
      <c r="C28" s="249" t="e">
        <f ca="1">ROUND((C5+C19+C20)*F27,0)</f>
        <v>#DIV/0!</v>
      </c>
      <c r="D28" s="235"/>
      <c r="E28" s="236"/>
      <c r="F28" s="246"/>
      <c r="G28" s="247"/>
    </row>
    <row r="29" spans="1:7" s="214" customFormat="1" ht="13.5" customHeight="1">
      <c r="A29" s="779" t="s">
        <v>347</v>
      </c>
      <c r="B29" s="248" t="s">
        <v>1515</v>
      </c>
      <c r="C29" s="238">
        <f ca="1">ROUND(C21*F27,4)</f>
        <v>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11767007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10751580</v>
      </c>
      <c r="D34" s="217"/>
      <c r="E34" s="220"/>
      <c r="F34" s="257"/>
      <c r="G34" s="219"/>
    </row>
    <row r="35" spans="1:7" ht="13.5" customHeight="1">
      <c r="A35" s="779" t="s">
        <v>351</v>
      </c>
      <c r="B35" s="215" t="s">
        <v>1525</v>
      </c>
      <c r="C35" s="220">
        <f ca="1">ROUND(C34*F35,0)</f>
        <v>322547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477848</v>
      </c>
      <c r="D37" s="217">
        <f ca="1">D19</f>
        <v>2389.2399999999998</v>
      </c>
      <c r="E37" s="249">
        <f>'数据-取费表'!B35</f>
        <v>200</v>
      </c>
      <c r="F37" s="259"/>
      <c r="G37" s="261"/>
    </row>
    <row r="38" spans="1:7" ht="13.5" customHeight="1">
      <c r="A38" s="779" t="s">
        <v>354</v>
      </c>
      <c r="B38" s="215" t="s">
        <v>1531</v>
      </c>
      <c r="C38" s="220">
        <f ca="1">ROUND(C34*F38,0)</f>
        <v>215032</v>
      </c>
      <c r="D38" s="220"/>
      <c r="E38" s="220"/>
      <c r="F38" s="259">
        <f>'数据-取费表'!B36</f>
        <v>0.02</v>
      </c>
      <c r="G38" s="219" t="s">
        <v>1526</v>
      </c>
    </row>
    <row r="39" spans="1:7" s="214" customFormat="1" ht="13.5" customHeight="1">
      <c r="A39" s="255" t="s">
        <v>1532</v>
      </c>
      <c r="B39" s="210" t="s">
        <v>1533</v>
      </c>
      <c r="C39" s="232">
        <f ca="1">ROUND(C33*F20,0)</f>
        <v>235340</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414081</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405962</v>
      </c>
      <c r="D42" s="238"/>
      <c r="E42" s="238"/>
      <c r="F42" s="239"/>
      <c r="G42" s="3675" t="s">
        <v>1589</v>
      </c>
    </row>
    <row r="43" spans="1:7" ht="13.5" customHeight="1">
      <c r="A43" s="779" t="s">
        <v>347</v>
      </c>
      <c r="B43" s="215" t="s">
        <v>1543</v>
      </c>
      <c r="C43" s="238">
        <f ca="1">ROUND(IF('数据-取费表'!B22&lt;=1,C39*F22*'数据-取费表'!B20/2,C39*(POWER((1+F22),'数据-取费表'!B20/2)-1)),0)</f>
        <v>8119</v>
      </c>
      <c r="D43" s="238"/>
      <c r="E43" s="238"/>
      <c r="F43" s="239"/>
      <c r="G43" s="3676"/>
    </row>
    <row r="44" spans="1:7" ht="13.5" customHeight="1">
      <c r="A44" s="779" t="s">
        <v>348</v>
      </c>
      <c r="B44" s="215" t="s">
        <v>1544</v>
      </c>
      <c r="C44" s="238">
        <f ca="1">ROUND(IF('数据-取费表'!B22&lt;=1,C40*F22*'数据-取费表'!B20/2,C40*(POWER((1+F22),'数据-取费表'!B20/2)-1)),4)</f>
        <v>6.9999999999999999E-4</v>
      </c>
      <c r="D44" s="238"/>
      <c r="E44" s="238"/>
      <c r="F44" s="239"/>
      <c r="G44" s="3677"/>
    </row>
    <row r="45" spans="1:7" s="214" customFormat="1" ht="13.5" customHeight="1">
      <c r="A45" s="255" t="s">
        <v>1545</v>
      </c>
      <c r="B45" s="244" t="s">
        <v>1511</v>
      </c>
      <c r="C45" s="245">
        <f ca="1">C46</f>
        <v>1200235</v>
      </c>
      <c r="D45" s="235">
        <f ca="1">C47</f>
        <v>2E-3</v>
      </c>
      <c r="E45" s="236" t="s">
        <v>1537</v>
      </c>
      <c r="F45" s="246">
        <f ca="1">F27</f>
        <v>0.1</v>
      </c>
      <c r="G45" s="247" t="s">
        <v>1546</v>
      </c>
    </row>
    <row r="46" spans="1:7" s="214" customFormat="1" ht="13.5" customHeight="1">
      <c r="A46" s="779" t="s">
        <v>346</v>
      </c>
      <c r="B46" s="248" t="s">
        <v>1547</v>
      </c>
      <c r="C46" s="249">
        <f ca="1">ROUND((C33+C39)*F27,0)</f>
        <v>1200235</v>
      </c>
      <c r="D46" s="263"/>
      <c r="E46" s="236"/>
      <c r="F46" s="246"/>
      <c r="G46" s="247"/>
    </row>
    <row r="47" spans="1:7" s="214" customFormat="1" ht="13.5" customHeight="1">
      <c r="A47" s="779" t="s">
        <v>347</v>
      </c>
      <c r="B47" s="248" t="s">
        <v>1548</v>
      </c>
      <c r="C47" s="238">
        <f ca="1">ROUND(C40*F27,4)</f>
        <v>2E-3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14736648</v>
      </c>
      <c r="D49" s="232"/>
      <c r="E49" s="232"/>
      <c r="F49" s="264"/>
      <c r="G49" s="234" t="s">
        <v>1552</v>
      </c>
    </row>
    <row r="50" spans="1:7" s="258" customFormat="1">
      <c r="A50" s="255" t="s">
        <v>1553</v>
      </c>
      <c r="B50" s="210" t="s">
        <v>1554</v>
      </c>
      <c r="C50" s="232"/>
      <c r="D50" s="232"/>
      <c r="E50" s="232"/>
      <c r="F50" s="264">
        <f>IF('数据-取费表'!B24=0,'数据-取费表'!N16,1)</f>
        <v>0.82</v>
      </c>
      <c r="G50" s="247"/>
    </row>
    <row r="51" spans="1:7" ht="16.5" customHeight="1">
      <c r="A51" s="255" t="s">
        <v>1556</v>
      </c>
      <c r="B51" s="210" t="s">
        <v>1591</v>
      </c>
      <c r="C51" s="232">
        <f ca="1">ROUND(C49*F50,0)</f>
        <v>12084051</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I35" sqref="I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21</v>
      </c>
      <c r="E1" s="3432" t="s">
        <v>3392</v>
      </c>
      <c r="F1" s="1878" t="s">
        <v>3393</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2995.3901999999998</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12537</v>
      </c>
      <c r="C3" s="354" t="s">
        <v>1766</v>
      </c>
      <c r="D3" s="353">
        <f>IF(D1="",'数据-汇总表'!E3,SUMIF('数据-汇总表'!$C19:$C33,D1,'数据-汇总表'!$E19:$E33))</f>
        <v>2389.2399999999998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35" t="s">
        <v>1773</v>
      </c>
      <c r="Q4" s="3736"/>
      <c r="R4" s="3730" t="s">
        <v>1769</v>
      </c>
      <c r="S4" s="3731"/>
      <c r="T4" s="3730" t="s">
        <v>1770</v>
      </c>
      <c r="U4" s="3731"/>
      <c r="V4" s="3739" t="s">
        <v>1771</v>
      </c>
      <c r="W4" s="3739"/>
      <c r="X4" s="1957"/>
      <c r="Y4" s="3730" t="s">
        <v>1773</v>
      </c>
      <c r="Z4" s="3731"/>
      <c r="AA4" s="3729" t="s">
        <v>1769</v>
      </c>
      <c r="AB4" s="3729" t="s">
        <v>1770</v>
      </c>
      <c r="AC4" s="3732" t="s">
        <v>1771</v>
      </c>
    </row>
    <row r="5" spans="1:29" ht="15">
      <c r="A5" s="358"/>
      <c r="B5" s="359"/>
      <c r="C5" s="3695" t="s">
        <v>1671</v>
      </c>
      <c r="D5" s="3696"/>
      <c r="E5" s="3693" t="s">
        <v>1672</v>
      </c>
      <c r="F5" s="3694"/>
      <c r="G5" s="3695" t="s">
        <v>1673</v>
      </c>
      <c r="H5" s="3696"/>
      <c r="I5" s="3695" t="s">
        <v>1674</v>
      </c>
      <c r="J5" s="3696"/>
      <c r="K5" s="559"/>
      <c r="L5" s="2714"/>
      <c r="M5" s="2715"/>
      <c r="N5" s="2715"/>
      <c r="O5" s="2715"/>
      <c r="P5" s="3737"/>
      <c r="Q5" s="3709"/>
      <c r="R5" s="3691"/>
      <c r="S5" s="3692"/>
      <c r="T5" s="3691"/>
      <c r="U5" s="3692"/>
      <c r="V5" s="3686"/>
      <c r="W5" s="3686"/>
      <c r="X5" s="1354"/>
      <c r="Y5" s="3691"/>
      <c r="Z5" s="3692"/>
      <c r="AA5" s="3684"/>
      <c r="AB5" s="3684"/>
      <c r="AC5" s="3733"/>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38"/>
      <c r="Q6" s="3711"/>
      <c r="R6" s="3691"/>
      <c r="S6" s="3692"/>
      <c r="T6" s="3712"/>
      <c r="U6" s="3713"/>
      <c r="V6" s="3686"/>
      <c r="W6" s="3686"/>
      <c r="X6" s="1354"/>
      <c r="Y6" s="3712"/>
      <c r="Z6" s="3713"/>
      <c r="AA6" s="3685"/>
      <c r="AB6" s="3685"/>
      <c r="AC6" s="3734"/>
    </row>
    <row r="7" spans="1:29" s="108" customFormat="1" ht="15.75" thickBot="1">
      <c r="A7" s="362" t="s">
        <v>1677</v>
      </c>
      <c r="B7" s="363"/>
      <c r="C7" s="364">
        <f>'数据-取费表'!B2</f>
        <v>45449</v>
      </c>
      <c r="D7" s="365">
        <v>100</v>
      </c>
      <c r="E7" s="366">
        <f>C7</f>
        <v>45449</v>
      </c>
      <c r="F7" s="367">
        <f>SUMIF(59:59,YEAR(E7)&amp;"-"&amp;MONTH(E7),60:60)</f>
        <v>100</v>
      </c>
      <c r="G7" s="366">
        <f>E7</f>
        <v>45449</v>
      </c>
      <c r="H7" s="365">
        <f>SUMIF(59:59,YEAR(G7)&amp;"-"&amp;MONTH(G7),60:60)</f>
        <v>100</v>
      </c>
      <c r="I7" s="366">
        <f>G7</f>
        <v>45449</v>
      </c>
      <c r="J7" s="365">
        <f>SUMIF(59:59,YEAR(I7)&amp;"-"&amp;MONTH(I7),60:60)</f>
        <v>100</v>
      </c>
      <c r="K7" s="560"/>
      <c r="L7" s="2716"/>
      <c r="M7" s="2717"/>
      <c r="N7" s="2717"/>
      <c r="O7" s="2717"/>
      <c r="P7" s="3740" t="s">
        <v>1678</v>
      </c>
      <c r="Q7" s="3714"/>
      <c r="R7" s="700" t="s">
        <v>14</v>
      </c>
      <c r="S7" s="701">
        <f t="shared" ref="S7:S15" si="0">F7</f>
        <v>100</v>
      </c>
      <c r="T7" s="700" t="s">
        <v>14</v>
      </c>
      <c r="U7" s="701">
        <f t="shared" ref="U7:U15" si="1">H7</f>
        <v>100</v>
      </c>
      <c r="V7" s="700" t="s">
        <v>14</v>
      </c>
      <c r="W7" s="701">
        <f t="shared" ref="W7:W15" si="2">J7</f>
        <v>100</v>
      </c>
      <c r="X7" s="702"/>
      <c r="Y7" s="3687" t="s">
        <v>1678</v>
      </c>
      <c r="Z7" s="3688"/>
      <c r="AA7" s="703">
        <f>D7/F7</f>
        <v>1</v>
      </c>
      <c r="AB7" s="703">
        <f>D7/H7</f>
        <v>1</v>
      </c>
      <c r="AC7" s="1958">
        <f>D7/J7</f>
        <v>1</v>
      </c>
    </row>
    <row r="8" spans="1:29" s="108" customFormat="1" ht="15.75" thickBot="1">
      <c r="A8" s="362" t="s">
        <v>1679</v>
      </c>
      <c r="B8" s="363"/>
      <c r="C8" s="368" t="s">
        <v>3394</v>
      </c>
      <c r="D8" s="365">
        <v>100</v>
      </c>
      <c r="E8" s="368" t="s">
        <v>3471</v>
      </c>
      <c r="F8" s="367">
        <f>SUMIF(62:62,E8,63:63)-SUMIF(62:62,C8,63:63)+100</f>
        <v>108</v>
      </c>
      <c r="G8" s="368" t="s">
        <v>3471</v>
      </c>
      <c r="H8" s="365">
        <f>SUMIF(62:62,G8,63:63)-SUMIF(62:62,C8,63:63)+100</f>
        <v>108</v>
      </c>
      <c r="I8" s="368" t="s">
        <v>3471</v>
      </c>
      <c r="J8" s="365">
        <f>SUMIF(62:62,I8,63:63)-SUMIF(62:62,C8,63:63)+100</f>
        <v>108</v>
      </c>
      <c r="K8" s="560"/>
      <c r="L8" s="2716"/>
      <c r="M8" s="2717"/>
      <c r="N8" s="2717"/>
      <c r="O8" s="2717"/>
      <c r="P8" s="3740" t="s">
        <v>1681</v>
      </c>
      <c r="Q8" s="3688"/>
      <c r="R8" s="700" t="s">
        <v>14</v>
      </c>
      <c r="S8" s="701">
        <f t="shared" si="0"/>
        <v>108</v>
      </c>
      <c r="T8" s="700" t="s">
        <v>14</v>
      </c>
      <c r="U8" s="701">
        <f t="shared" si="1"/>
        <v>108</v>
      </c>
      <c r="V8" s="700" t="s">
        <v>14</v>
      </c>
      <c r="W8" s="701">
        <f t="shared" si="2"/>
        <v>108</v>
      </c>
      <c r="X8" s="702"/>
      <c r="Y8" s="3687" t="s">
        <v>1681</v>
      </c>
      <c r="Z8" s="3688"/>
      <c r="AA8" s="703">
        <f t="shared" ref="AA8:AA47" si="3">D8/F8</f>
        <v>0.92592592592592593</v>
      </c>
      <c r="AB8" s="703">
        <f t="shared" ref="AB8:AB47" si="4">D8/H8</f>
        <v>0.92592592592592593</v>
      </c>
      <c r="AC8" s="1958">
        <f t="shared" ref="AC8:AC47" si="5">D8/J8</f>
        <v>0.92592592592592593</v>
      </c>
    </row>
    <row r="9" spans="1:29" s="108" customFormat="1">
      <c r="A9" s="369" t="s">
        <v>1682</v>
      </c>
      <c r="B9" s="63" t="s">
        <v>1683</v>
      </c>
      <c r="C9" s="3448" t="s">
        <v>3473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1689</v>
      </c>
      <c r="Q15" s="1351" t="str">
        <f t="shared" si="6"/>
        <v>办公集聚程度</v>
      </c>
      <c r="R15" s="704" t="s">
        <v>14</v>
      </c>
      <c r="S15" s="705">
        <f t="shared" si="0"/>
        <v>100</v>
      </c>
      <c r="T15" s="704" t="s">
        <v>14</v>
      </c>
      <c r="U15" s="705">
        <f t="shared" si="1"/>
        <v>100</v>
      </c>
      <c r="V15" s="704" t="s">
        <v>14</v>
      </c>
      <c r="W15" s="705">
        <f t="shared" si="2"/>
        <v>100</v>
      </c>
      <c r="X15" s="1354"/>
      <c r="Y15" s="3717" t="s">
        <v>1689</v>
      </c>
      <c r="Z15" s="1355" t="str">
        <f t="shared" si="7"/>
        <v>办公集聚程度</v>
      </c>
      <c r="AA15" s="1352">
        <f t="shared" si="3"/>
        <v>1</v>
      </c>
      <c r="AB15" s="1352">
        <f t="shared" si="4"/>
        <v>1</v>
      </c>
      <c r="AC15" s="1961">
        <f t="shared" si="5"/>
        <v>1</v>
      </c>
    </row>
    <row r="16" spans="1:29" ht="15">
      <c r="A16" s="379"/>
      <c r="B16" s="577"/>
      <c r="C16" s="1903" t="s">
        <v>3401</v>
      </c>
      <c r="D16" s="399"/>
      <c r="E16" s="1903" t="s">
        <v>3401</v>
      </c>
      <c r="F16" s="399"/>
      <c r="G16" s="1903" t="s">
        <v>3401</v>
      </c>
      <c r="H16" s="401"/>
      <c r="I16" s="1903" t="s">
        <v>3401</v>
      </c>
      <c r="J16" s="399"/>
      <c r="K16" s="564"/>
      <c r="L16" s="2721"/>
      <c r="M16" s="2715"/>
      <c r="N16" s="2715"/>
      <c r="O16" s="2715"/>
      <c r="P16" s="3716"/>
      <c r="Q16" s="1351"/>
      <c r="R16" s="704"/>
      <c r="S16" s="705"/>
      <c r="T16" s="704"/>
      <c r="U16" s="705"/>
      <c r="V16" s="704"/>
      <c r="W16" s="705"/>
      <c r="X16" s="1354"/>
      <c r="Y16" s="3718"/>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961">
        <f t="shared" si="5"/>
        <v>1</v>
      </c>
    </row>
    <row r="18" spans="1:29" ht="15">
      <c r="A18" s="379"/>
      <c r="B18" s="579"/>
      <c r="C18" s="1903" t="s">
        <v>3401</v>
      </c>
      <c r="D18" s="401"/>
      <c r="E18" s="1903" t="s">
        <v>3401</v>
      </c>
      <c r="F18" s="401"/>
      <c r="G18" s="1903" t="s">
        <v>3401</v>
      </c>
      <c r="H18" s="399"/>
      <c r="I18" s="1903" t="s">
        <v>3401</v>
      </c>
      <c r="J18" s="399"/>
      <c r="K18" s="564"/>
      <c r="L18" s="2721"/>
      <c r="M18" s="2715"/>
      <c r="N18" s="2715"/>
      <c r="O18" s="2715"/>
      <c r="P18" s="3716"/>
      <c r="Q18" s="1351"/>
      <c r="R18" s="704"/>
      <c r="S18" s="705"/>
      <c r="T18" s="704"/>
      <c r="U18" s="705"/>
      <c r="V18" s="704"/>
      <c r="W18" s="705"/>
      <c r="X18" s="1354"/>
      <c r="Y18" s="3718"/>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961">
        <f t="shared" si="5"/>
        <v>1</v>
      </c>
    </row>
    <row r="20" spans="1:29" ht="15">
      <c r="A20" s="379"/>
      <c r="B20" s="579"/>
      <c r="C20" s="1903" t="s">
        <v>3401</v>
      </c>
      <c r="D20" s="399"/>
      <c r="E20" s="1903" t="s">
        <v>3401</v>
      </c>
      <c r="F20" s="399"/>
      <c r="G20" s="1903" t="s">
        <v>3401</v>
      </c>
      <c r="H20" s="399"/>
      <c r="I20" s="1903" t="s">
        <v>3401</v>
      </c>
      <c r="J20" s="399"/>
      <c r="K20" s="564"/>
      <c r="L20" s="2721"/>
      <c r="M20" s="2715"/>
      <c r="N20" s="2715"/>
      <c r="O20" s="2715"/>
      <c r="P20" s="3716"/>
      <c r="Q20" s="1351"/>
      <c r="R20" s="704"/>
      <c r="S20" s="705"/>
      <c r="T20" s="704"/>
      <c r="U20" s="705"/>
      <c r="V20" s="704"/>
      <c r="W20" s="705"/>
      <c r="X20" s="1354"/>
      <c r="Y20" s="3718"/>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961">
        <f t="shared" ref="AC21" si="10">D21/J21</f>
        <v>1</v>
      </c>
    </row>
    <row r="22" spans="1:29" ht="15">
      <c r="A22" s="379"/>
      <c r="B22" s="580"/>
      <c r="C22" s="1963" t="s">
        <v>3409</v>
      </c>
      <c r="D22" s="399"/>
      <c r="E22" s="1963" t="s">
        <v>3409</v>
      </c>
      <c r="F22" s="399"/>
      <c r="G22" s="1963" t="s">
        <v>3409</v>
      </c>
      <c r="H22" s="399"/>
      <c r="I22" s="1963" t="s">
        <v>3409</v>
      </c>
      <c r="J22" s="399"/>
      <c r="K22" s="1129"/>
      <c r="L22" s="2721"/>
      <c r="M22" s="2715"/>
      <c r="N22" s="2715"/>
      <c r="O22" s="2715"/>
      <c r="P22" s="3716"/>
      <c r="Q22" s="1351"/>
      <c r="R22" s="704"/>
      <c r="S22" s="705"/>
      <c r="T22" s="704"/>
      <c r="U22" s="705"/>
      <c r="V22" s="704"/>
      <c r="W22" s="705"/>
      <c r="X22" s="1354"/>
      <c r="Y22" s="3718"/>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961">
        <f t="shared" si="5"/>
        <v>1</v>
      </c>
    </row>
    <row r="24" spans="1:29" ht="15">
      <c r="A24" s="379"/>
      <c r="B24" s="580"/>
      <c r="C24" s="1903" t="s">
        <v>3401</v>
      </c>
      <c r="D24" s="399"/>
      <c r="E24" s="1903" t="s">
        <v>3401</v>
      </c>
      <c r="F24" s="399"/>
      <c r="G24" s="1903" t="s">
        <v>3401</v>
      </c>
      <c r="H24" s="399"/>
      <c r="I24" s="1903" t="s">
        <v>3401</v>
      </c>
      <c r="J24" s="399"/>
      <c r="K24" s="564"/>
      <c r="L24" s="2721"/>
      <c r="M24" s="2715"/>
      <c r="N24" s="2715"/>
      <c r="O24" s="2715"/>
      <c r="P24" s="3716"/>
      <c r="Q24" s="1351"/>
      <c r="R24" s="704"/>
      <c r="S24" s="705"/>
      <c r="T24" s="704"/>
      <c r="U24" s="705"/>
      <c r="V24" s="704"/>
      <c r="W24" s="705"/>
      <c r="X24" s="1354"/>
      <c r="Y24" s="3718"/>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6"/>
      <c r="Q25" s="1351" t="str">
        <f>B25</f>
        <v>毗邻道路的类型与等级</v>
      </c>
      <c r="R25" s="704" t="s">
        <v>14</v>
      </c>
      <c r="S25" s="705">
        <f>F25</f>
        <v>100</v>
      </c>
      <c r="T25" s="704" t="s">
        <v>14</v>
      </c>
      <c r="U25" s="705">
        <f>H25</f>
        <v>100</v>
      </c>
      <c r="V25" s="704" t="s">
        <v>14</v>
      </c>
      <c r="W25" s="705">
        <f>J25</f>
        <v>100</v>
      </c>
      <c r="X25" s="1354"/>
      <c r="Y25" s="371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16"/>
      <c r="Q26" s="1351"/>
      <c r="R26" s="704"/>
      <c r="S26" s="705"/>
      <c r="T26" s="704"/>
      <c r="U26" s="705"/>
      <c r="V26" s="704"/>
      <c r="W26" s="705"/>
      <c r="X26" s="1354"/>
      <c r="Y26" s="3718"/>
      <c r="Z26" s="1355"/>
      <c r="AA26" s="1352">
        <v>1</v>
      </c>
      <c r="AB26" s="1352">
        <v>1</v>
      </c>
      <c r="AC26" s="1961">
        <v>1</v>
      </c>
    </row>
    <row r="27" spans="1:29" ht="15">
      <c r="A27" s="379"/>
      <c r="B27" s="579" t="s">
        <v>1781</v>
      </c>
      <c r="C27" s="581"/>
      <c r="D27" s="386">
        <v>100</v>
      </c>
      <c r="E27" s="581"/>
      <c r="F27" s="386">
        <f>SUMIF(89:89,E27,90:90)-SUMIF(89:89,C27,90:90)+100</f>
        <v>100</v>
      </c>
      <c r="G27" s="581"/>
      <c r="H27" s="386">
        <f>SUMIF(89:89,G27,90:90)-SUMIF(89:89,C27,90:90)+100</f>
        <v>100</v>
      </c>
      <c r="I27" s="581"/>
      <c r="J27" s="386">
        <f>SUMIF(89:89,I27,90:90)-SUMIF(89:89,C27,90:90)+100</f>
        <v>100</v>
      </c>
      <c r="K27" s="561">
        <v>2</v>
      </c>
      <c r="L27" s="2721"/>
      <c r="M27" s="2715"/>
      <c r="N27" s="2715"/>
      <c r="O27" s="2715"/>
      <c r="P27" s="3716"/>
      <c r="Q27" s="1351" t="str">
        <f t="shared" ref="Q27:Q47" si="11">B27</f>
        <v>楼层</v>
      </c>
      <c r="R27" s="704" t="s">
        <v>14</v>
      </c>
      <c r="S27" s="705">
        <f>F27</f>
        <v>100</v>
      </c>
      <c r="T27" s="704" t="s">
        <v>14</v>
      </c>
      <c r="U27" s="705">
        <f>H27</f>
        <v>100</v>
      </c>
      <c r="V27" s="704" t="s">
        <v>14</v>
      </c>
      <c r="W27" s="705">
        <f>J27</f>
        <v>100</v>
      </c>
      <c r="X27" s="1354"/>
      <c r="Y27" s="3718"/>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6"/>
      <c r="Q28" s="1342" t="str">
        <f t="shared" si="11"/>
        <v>朝向</v>
      </c>
      <c r="R28" s="700" t="s">
        <v>14</v>
      </c>
      <c r="S28" s="701">
        <f>F28</f>
        <v>100</v>
      </c>
      <c r="T28" s="700" t="s">
        <v>14</v>
      </c>
      <c r="U28" s="701">
        <f>H28</f>
        <v>100</v>
      </c>
      <c r="V28" s="700" t="s">
        <v>14</v>
      </c>
      <c r="W28" s="701">
        <f>J28</f>
        <v>100</v>
      </c>
      <c r="X28" s="702"/>
      <c r="Y28" s="371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6"/>
      <c r="Q29" s="1351">
        <f t="shared" si="11"/>
        <v>111</v>
      </c>
      <c r="R29" s="704" t="s">
        <v>14</v>
      </c>
      <c r="S29" s="705">
        <f t="shared" ref="S29:S47" si="12">F29</f>
        <v>100</v>
      </c>
      <c r="T29" s="704" t="s">
        <v>14</v>
      </c>
      <c r="U29" s="705">
        <f t="shared" ref="U29:U47" si="13">H29</f>
        <v>100</v>
      </c>
      <c r="V29" s="704" t="s">
        <v>14</v>
      </c>
      <c r="W29" s="705">
        <f t="shared" ref="W29:W47" si="14">J29</f>
        <v>100</v>
      </c>
      <c r="X29" s="1354"/>
      <c r="Y29" s="371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6"/>
      <c r="Q32" s="1351">
        <f t="shared" si="11"/>
        <v>111</v>
      </c>
      <c r="R32" s="704" t="s">
        <v>14</v>
      </c>
      <c r="S32" s="705">
        <f t="shared" si="12"/>
        <v>100</v>
      </c>
      <c r="T32" s="704" t="s">
        <v>14</v>
      </c>
      <c r="U32" s="705">
        <f t="shared" si="13"/>
        <v>100</v>
      </c>
      <c r="V32" s="704" t="s">
        <v>14</v>
      </c>
      <c r="W32" s="705">
        <f t="shared" si="14"/>
        <v>100</v>
      </c>
      <c r="X32" s="1354"/>
      <c r="Y32" s="3718"/>
      <c r="Z32" s="1355">
        <f t="shared" si="15"/>
        <v>111</v>
      </c>
      <c r="AA32" s="1352">
        <f t="shared" si="3"/>
        <v>1</v>
      </c>
      <c r="AB32" s="1352">
        <f t="shared" si="4"/>
        <v>1</v>
      </c>
      <c r="AC32" s="1961">
        <f t="shared" si="5"/>
        <v>1</v>
      </c>
    </row>
    <row r="33" spans="1:29" ht="15">
      <c r="A33" s="391" t="s">
        <v>1692</v>
      </c>
      <c r="B33" s="63" t="s">
        <v>1815</v>
      </c>
      <c r="C33" s="1966" t="s">
        <v>3477</v>
      </c>
      <c r="D33" s="418">
        <v>100</v>
      </c>
      <c r="E33" s="1966" t="s">
        <v>3477</v>
      </c>
      <c r="F33" s="412">
        <f>SUMIF(101:101,E33,102:102)-SUMIF(101:101,C33,102:102)+100</f>
        <v>100</v>
      </c>
      <c r="G33" s="1966" t="s">
        <v>3477</v>
      </c>
      <c r="H33" s="386">
        <f>SUMIF(101:101,G33,102:102)-SUMIF(101:101,C33,102:102)+100</f>
        <v>100</v>
      </c>
      <c r="I33" s="1966" t="s">
        <v>3477</v>
      </c>
      <c r="J33" s="418">
        <f>SUMIF(101:101,I33,102:102)-SUMIF(101:101,C33,102:102)+100</f>
        <v>100</v>
      </c>
      <c r="K33" s="561"/>
      <c r="L33" s="2721"/>
      <c r="M33" s="2715"/>
      <c r="N33" s="2715"/>
      <c r="O33" s="2715"/>
      <c r="P33" s="3719" t="s">
        <v>1694</v>
      </c>
      <c r="Q33" s="1351" t="str">
        <f t="shared" si="11"/>
        <v>建筑类型</v>
      </c>
      <c r="R33" s="704" t="s">
        <v>14</v>
      </c>
      <c r="S33" s="705">
        <f t="shared" si="12"/>
        <v>100</v>
      </c>
      <c r="T33" s="704" t="s">
        <v>14</v>
      </c>
      <c r="U33" s="705">
        <f t="shared" si="13"/>
        <v>100</v>
      </c>
      <c r="V33" s="704" t="s">
        <v>14</v>
      </c>
      <c r="W33" s="705">
        <f t="shared" si="14"/>
        <v>100</v>
      </c>
      <c r="X33" s="1354"/>
      <c r="Y33" s="3722" t="s">
        <v>1694</v>
      </c>
      <c r="Z33" s="1355" t="str">
        <f t="shared" si="15"/>
        <v>建筑类型</v>
      </c>
      <c r="AA33" s="1352">
        <f t="shared" si="3"/>
        <v>1</v>
      </c>
      <c r="AB33" s="1352">
        <f t="shared" si="4"/>
        <v>1</v>
      </c>
      <c r="AC33" s="1961">
        <f t="shared" si="5"/>
        <v>1</v>
      </c>
    </row>
    <row r="34" spans="1:29" s="422" customFormat="1" ht="15">
      <c r="A34" s="419"/>
      <c r="B34" s="375" t="s">
        <v>1695</v>
      </c>
      <c r="C34" s="420">
        <f>'数据-汇总表'!E19</f>
        <v>2389.2399999999998</v>
      </c>
      <c r="D34" s="127">
        <v>100</v>
      </c>
      <c r="E34" s="381">
        <v>2000</v>
      </c>
      <c r="F34" s="376">
        <f>LOOKUP(E34,104:104,105:105)-LOOKUP(C34,104:104,105:105)+100</f>
        <v>100</v>
      </c>
      <c r="G34" s="380">
        <v>3400</v>
      </c>
      <c r="H34" s="127">
        <f>LOOKUP(G34,104:104,105:105)-LOOKUP(C34,104:104,105:105)+100</f>
        <v>99</v>
      </c>
      <c r="I34" s="380">
        <v>2000</v>
      </c>
      <c r="J34" s="127">
        <f>LOOKUP(I34,104:104,105:105)-LOOKUP(C34,104:104,105:105)+100</f>
        <v>100</v>
      </c>
      <c r="K34" s="562"/>
      <c r="L34" s="2720"/>
      <c r="M34" s="2722"/>
      <c r="N34" s="2722"/>
      <c r="O34" s="2722"/>
      <c r="P34" s="3720"/>
      <c r="Q34" s="706" t="str">
        <f t="shared" si="11"/>
        <v>项目建筑规模</v>
      </c>
      <c r="R34" s="707" t="s">
        <v>14</v>
      </c>
      <c r="S34" s="708">
        <f t="shared" si="12"/>
        <v>100</v>
      </c>
      <c r="T34" s="707" t="s">
        <v>14</v>
      </c>
      <c r="U34" s="708">
        <f t="shared" si="13"/>
        <v>99</v>
      </c>
      <c r="V34" s="707" t="s">
        <v>14</v>
      </c>
      <c r="W34" s="708">
        <f t="shared" si="14"/>
        <v>100</v>
      </c>
      <c r="X34" s="709"/>
      <c r="Y34" s="3722"/>
      <c r="Z34" s="710" t="str">
        <f t="shared" si="15"/>
        <v>项目建筑规模</v>
      </c>
      <c r="AA34" s="1352">
        <f t="shared" si="3"/>
        <v>1</v>
      </c>
      <c r="AB34" s="1352">
        <f t="shared" si="4"/>
        <v>1.0101010101010102</v>
      </c>
      <c r="AC34" s="1961">
        <f t="shared" si="5"/>
        <v>1</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0"/>
      <c r="Q35" s="1351" t="str">
        <f t="shared" si="11"/>
        <v>建筑结构</v>
      </c>
      <c r="R35" s="704" t="s">
        <v>14</v>
      </c>
      <c r="S35" s="705">
        <f t="shared" si="12"/>
        <v>100</v>
      </c>
      <c r="T35" s="704" t="s">
        <v>14</v>
      </c>
      <c r="U35" s="705">
        <f t="shared" si="13"/>
        <v>100</v>
      </c>
      <c r="V35" s="704" t="s">
        <v>14</v>
      </c>
      <c r="W35" s="705">
        <f t="shared" si="14"/>
        <v>100</v>
      </c>
      <c r="X35" s="1354"/>
      <c r="Y35" s="3722"/>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0"/>
      <c r="Q36" s="1351" t="str">
        <f t="shared" si="11"/>
        <v>公共部分装修</v>
      </c>
      <c r="R36" s="704" t="s">
        <v>14</v>
      </c>
      <c r="S36" s="705">
        <f t="shared" si="12"/>
        <v>100</v>
      </c>
      <c r="T36" s="704" t="s">
        <v>14</v>
      </c>
      <c r="U36" s="705">
        <f t="shared" si="13"/>
        <v>100</v>
      </c>
      <c r="V36" s="704" t="s">
        <v>14</v>
      </c>
      <c r="W36" s="705">
        <f t="shared" si="14"/>
        <v>100</v>
      </c>
      <c r="X36" s="1354"/>
      <c r="Y36" s="3722"/>
      <c r="Z36" s="1355" t="str">
        <f t="shared" si="15"/>
        <v>公共部分装修</v>
      </c>
      <c r="AA36" s="1352">
        <f t="shared" si="3"/>
        <v>1</v>
      </c>
      <c r="AB36" s="1352">
        <f t="shared" si="4"/>
        <v>1</v>
      </c>
      <c r="AC36" s="1961">
        <f t="shared" si="5"/>
        <v>1</v>
      </c>
    </row>
    <row r="37" spans="1:29" ht="15">
      <c r="A37" s="423"/>
      <c r="B37" s="375" t="s">
        <v>1784</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c r="L37" s="2721"/>
      <c r="M37" s="2715"/>
      <c r="N37" s="2715"/>
      <c r="O37" s="2715"/>
      <c r="P37" s="3720"/>
      <c r="Q37" s="1351" t="str">
        <f t="shared" si="11"/>
        <v>成新度</v>
      </c>
      <c r="R37" s="704" t="s">
        <v>14</v>
      </c>
      <c r="S37" s="705">
        <f t="shared" si="12"/>
        <v>100</v>
      </c>
      <c r="T37" s="704" t="s">
        <v>14</v>
      </c>
      <c r="U37" s="705">
        <f t="shared" si="13"/>
        <v>100</v>
      </c>
      <c r="V37" s="704" t="s">
        <v>14</v>
      </c>
      <c r="W37" s="705">
        <f t="shared" si="14"/>
        <v>100</v>
      </c>
      <c r="X37" s="1354"/>
      <c r="Y37" s="3722"/>
      <c r="Z37" s="1355" t="str">
        <f t="shared" si="15"/>
        <v>成新度</v>
      </c>
      <c r="AA37" s="1352">
        <f t="shared" si="3"/>
        <v>1</v>
      </c>
      <c r="AB37" s="1352">
        <f t="shared" si="4"/>
        <v>1</v>
      </c>
      <c r="AC37" s="1961">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0"/>
      <c r="Q38" s="1342"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0" t="s">
        <v>1694</v>
      </c>
      <c r="Q39" s="1351" t="str">
        <f t="shared" si="11"/>
        <v>物业管理</v>
      </c>
      <c r="R39" s="704" t="s">
        <v>14</v>
      </c>
      <c r="S39" s="705">
        <f t="shared" si="12"/>
        <v>100</v>
      </c>
      <c r="T39" s="704" t="s">
        <v>14</v>
      </c>
      <c r="U39" s="705">
        <f t="shared" si="13"/>
        <v>100</v>
      </c>
      <c r="V39" s="704" t="s">
        <v>14</v>
      </c>
      <c r="W39" s="705">
        <f t="shared" si="14"/>
        <v>100</v>
      </c>
      <c r="X39" s="1354"/>
      <c r="Y39" s="3722"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0"/>
      <c r="Q40" s="1351" t="str">
        <f t="shared" si="11"/>
        <v>市政基础设施</v>
      </c>
      <c r="R40" s="704" t="s">
        <v>14</v>
      </c>
      <c r="S40" s="705">
        <f t="shared" si="12"/>
        <v>100</v>
      </c>
      <c r="T40" s="704" t="s">
        <v>14</v>
      </c>
      <c r="U40" s="705">
        <f t="shared" si="13"/>
        <v>100</v>
      </c>
      <c r="V40" s="704" t="s">
        <v>14</v>
      </c>
      <c r="W40" s="705">
        <f t="shared" si="14"/>
        <v>100</v>
      </c>
      <c r="X40" s="1354"/>
      <c r="Y40" s="3722"/>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0"/>
      <c r="Q41" s="1351" t="str">
        <f t="shared" si="11"/>
        <v>层高</v>
      </c>
      <c r="R41" s="704" t="s">
        <v>14</v>
      </c>
      <c r="S41" s="705">
        <f t="shared" si="12"/>
        <v>100</v>
      </c>
      <c r="T41" s="704" t="s">
        <v>14</v>
      </c>
      <c r="U41" s="705">
        <f t="shared" si="13"/>
        <v>100</v>
      </c>
      <c r="V41" s="704" t="s">
        <v>14</v>
      </c>
      <c r="W41" s="705">
        <f t="shared" si="14"/>
        <v>100</v>
      </c>
      <c r="X41" s="1354"/>
      <c r="Y41" s="3722"/>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0"/>
      <c r="Q43" s="1351" t="str">
        <f t="shared" si="11"/>
        <v>内部装修</v>
      </c>
      <c r="R43" s="704" t="s">
        <v>14</v>
      </c>
      <c r="S43" s="705">
        <f t="shared" si="12"/>
        <v>100</v>
      </c>
      <c r="T43" s="704" t="s">
        <v>14</v>
      </c>
      <c r="U43" s="705">
        <f t="shared" si="13"/>
        <v>100</v>
      </c>
      <c r="V43" s="704" t="s">
        <v>14</v>
      </c>
      <c r="W43" s="705">
        <f t="shared" si="14"/>
        <v>100</v>
      </c>
      <c r="X43" s="1354"/>
      <c r="Y43" s="3722"/>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0"/>
      <c r="Q44" s="1351" t="str">
        <f t="shared" si="11"/>
        <v>内部装修维护情况</v>
      </c>
      <c r="R44" s="704" t="s">
        <v>14</v>
      </c>
      <c r="S44" s="705">
        <f t="shared" si="12"/>
        <v>100</v>
      </c>
      <c r="T44" s="704" t="s">
        <v>14</v>
      </c>
      <c r="U44" s="705">
        <f t="shared" si="13"/>
        <v>100</v>
      </c>
      <c r="V44" s="704" t="s">
        <v>14</v>
      </c>
      <c r="W44" s="705">
        <f t="shared" si="14"/>
        <v>100</v>
      </c>
      <c r="X44" s="1354"/>
      <c r="Y44" s="3722"/>
      <c r="Z44" s="1355" t="str">
        <f t="shared" si="15"/>
        <v>内部装修维护情况</v>
      </c>
      <c r="AA44" s="1352">
        <f t="shared" si="3"/>
        <v>1</v>
      </c>
      <c r="AB44" s="1352">
        <f t="shared" si="4"/>
        <v>1</v>
      </c>
      <c r="AC44" s="1961">
        <f t="shared" si="5"/>
        <v>1</v>
      </c>
    </row>
    <row r="45" spans="1:29" s="108" customFormat="1" ht="15">
      <c r="A45" s="424"/>
      <c r="B45" s="3835" t="s">
        <v>3480</v>
      </c>
      <c r="C45" s="3836" t="s">
        <v>3481</v>
      </c>
      <c r="D45" s="127">
        <v>100</v>
      </c>
      <c r="E45" s="3837" t="s">
        <v>3482</v>
      </c>
      <c r="F45" s="376">
        <f>SUMIF(127:127,E45,128:128)-SUMIF(127:127,C45,128:128)+100</f>
        <v>105</v>
      </c>
      <c r="G45" s="3837" t="s">
        <v>3482</v>
      </c>
      <c r="H45" s="127">
        <f>SUMIF(127:127,G45,128:128)-SUMIF(127:127,C45,128:128)+100</f>
        <v>105</v>
      </c>
      <c r="I45" s="3837" t="s">
        <v>3482</v>
      </c>
      <c r="J45" s="127">
        <f>SUMIF(127:127,I45,128:128)-SUMIF(127:127,C45,128:128)+100</f>
        <v>105</v>
      </c>
      <c r="K45" s="562"/>
      <c r="L45" s="2716"/>
      <c r="M45" s="2717"/>
      <c r="N45" s="2717"/>
      <c r="O45" s="2717"/>
      <c r="P45" s="3720"/>
      <c r="Q45" s="1342" t="str">
        <f t="shared" si="11"/>
        <v>是否有地下</v>
      </c>
      <c r="R45" s="700" t="s">
        <v>14</v>
      </c>
      <c r="S45" s="701">
        <f t="shared" si="12"/>
        <v>105</v>
      </c>
      <c r="T45" s="700" t="s">
        <v>14</v>
      </c>
      <c r="U45" s="701">
        <f t="shared" si="13"/>
        <v>105</v>
      </c>
      <c r="V45" s="700" t="s">
        <v>14</v>
      </c>
      <c r="W45" s="701">
        <f t="shared" si="14"/>
        <v>105</v>
      </c>
      <c r="X45" s="702"/>
      <c r="Y45" s="3722"/>
      <c r="Z45" s="52" t="str">
        <f t="shared" si="15"/>
        <v>是否有地下</v>
      </c>
      <c r="AA45" s="703">
        <f t="shared" si="3"/>
        <v>0.95238095238095233</v>
      </c>
      <c r="AB45" s="703">
        <f t="shared" si="4"/>
        <v>0.95238095238095233</v>
      </c>
      <c r="AC45" s="1958">
        <f t="shared" si="5"/>
        <v>0.95238095238095233</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1"/>
      <c r="Q47" s="1351">
        <f t="shared" si="11"/>
        <v>111</v>
      </c>
      <c r="R47" s="704" t="s">
        <v>14</v>
      </c>
      <c r="S47" s="705">
        <f t="shared" si="12"/>
        <v>100</v>
      </c>
      <c r="T47" s="704" t="s">
        <v>14</v>
      </c>
      <c r="U47" s="705">
        <f t="shared" si="13"/>
        <v>100</v>
      </c>
      <c r="V47" s="704" t="s">
        <v>14</v>
      </c>
      <c r="W47" s="705">
        <f t="shared" si="14"/>
        <v>100</v>
      </c>
      <c r="X47" s="1354"/>
      <c r="Y47" s="3723"/>
      <c r="Z47" s="1355">
        <f t="shared" si="15"/>
        <v>111</v>
      </c>
      <c r="AA47" s="1352">
        <f t="shared" si="3"/>
        <v>1</v>
      </c>
      <c r="AB47" s="1352">
        <f t="shared" si="4"/>
        <v>1</v>
      </c>
      <c r="AC47" s="1961">
        <f t="shared" si="5"/>
        <v>1</v>
      </c>
    </row>
    <row r="48" spans="1:29" ht="15">
      <c r="A48" s="430" t="s">
        <v>1706</v>
      </c>
      <c r="B48" s="431"/>
      <c r="C48" s="1153" t="s">
        <v>0</v>
      </c>
      <c r="D48" s="1154"/>
      <c r="E48" s="1155">
        <v>13500</v>
      </c>
      <c r="F48" s="1156"/>
      <c r="G48" s="1157">
        <v>15000</v>
      </c>
      <c r="H48" s="1158"/>
      <c r="I48" s="1155">
        <v>14000</v>
      </c>
      <c r="J48" s="436"/>
      <c r="K48" s="713"/>
      <c r="L48" s="2723"/>
      <c r="M48" s="2715"/>
      <c r="N48" s="2715"/>
      <c r="O48" s="2715"/>
      <c r="P48" s="3701" t="str">
        <f>A48</f>
        <v>成交单价（元/平方米）</v>
      </c>
      <c r="Q48" s="3724"/>
      <c r="R48" s="3725">
        <f>E48</f>
        <v>13500</v>
      </c>
      <c r="S48" s="3725"/>
      <c r="T48" s="3725">
        <f>G48</f>
        <v>15000</v>
      </c>
      <c r="U48" s="3725"/>
      <c r="V48" s="3725">
        <f>I48</f>
        <v>14000</v>
      </c>
      <c r="W48" s="3725"/>
      <c r="X48" s="397"/>
      <c r="Y48" s="711"/>
      <c r="Z48" s="397"/>
      <c r="AA48" s="397"/>
      <c r="AB48" s="397"/>
      <c r="AC48" s="577"/>
    </row>
    <row r="49" spans="1:29" ht="15.75" thickBot="1">
      <c r="A49" s="437" t="s">
        <v>1791</v>
      </c>
      <c r="B49" s="438"/>
      <c r="C49" s="1159">
        <f>R50</f>
        <v>12537</v>
      </c>
      <c r="D49" s="2316" t="s">
        <v>2135</v>
      </c>
      <c r="E49" s="1160">
        <f>R49</f>
        <v>11905</v>
      </c>
      <c r="F49" s="2317"/>
      <c r="G49" s="1159">
        <f>T49</f>
        <v>13361</v>
      </c>
      <c r="H49" s="2317"/>
      <c r="I49" s="1160">
        <f>V49</f>
        <v>12346</v>
      </c>
      <c r="J49" s="2317"/>
      <c r="K49" s="2319">
        <f>F49+H49+J49</f>
        <v>0</v>
      </c>
      <c r="L49" s="2723"/>
      <c r="M49" s="2715"/>
      <c r="N49" s="2715"/>
      <c r="O49" s="2715"/>
      <c r="P49" s="3701" t="str">
        <f>A49</f>
        <v>比较价值（元/平方米）</v>
      </c>
      <c r="Q49" s="3724"/>
      <c r="R49" s="3725">
        <f>IF(F1="售价",ROUND(PRODUCT(R48,AA7:AA47),0),ROUND(PRODUCT(R48,AA7:AA47),1))</f>
        <v>11905</v>
      </c>
      <c r="S49" s="3725"/>
      <c r="T49" s="3725">
        <f>IF(F1="售价",ROUND(PRODUCT(T48,AB7:AB47),0),ROUND(PRODUCT(T48,AB7:AB47),1))</f>
        <v>13361</v>
      </c>
      <c r="U49" s="3725"/>
      <c r="V49" s="3725">
        <f>IF(F1="售价",ROUND(PRODUCT(V48,AC7:AC47),0),ROUND(PRODUCT(V48,AC7:AC47),1))</f>
        <v>12346</v>
      </c>
      <c r="W49" s="3725"/>
      <c r="X49" s="397"/>
      <c r="Y49" s="397"/>
      <c r="Z49" s="397"/>
      <c r="AA49" s="397"/>
      <c r="AB49" s="397"/>
      <c r="AC49" s="577"/>
    </row>
    <row r="50" spans="1:29" ht="15.75" thickBot="1">
      <c r="A50" s="441" t="s">
        <v>1792</v>
      </c>
      <c r="B50" s="442"/>
      <c r="C50" s="1162">
        <f>R50</f>
        <v>12537</v>
      </c>
      <c r="D50" s="1162"/>
      <c r="E50" s="1162"/>
      <c r="F50" s="1162"/>
      <c r="G50" s="1162"/>
      <c r="H50" s="1162"/>
      <c r="I50" s="1162"/>
      <c r="J50" s="443"/>
      <c r="K50" s="714"/>
      <c r="L50" s="2723"/>
      <c r="M50" s="2715"/>
      <c r="N50" s="2715"/>
      <c r="O50" s="2715"/>
      <c r="P50" s="3741" t="str">
        <f>A50</f>
        <v>估价对象XX用房的比较价值（楼面单价，元/平方米）</v>
      </c>
      <c r="Q50" s="3742"/>
      <c r="R50" s="3743">
        <f>IF(F1="售价",ROUND(IF(D49="简单平均",AVERAGE(R49:V49),R49*F49+T49*H49+V49*J49),0),ROUND(IF(D49="简单平均",AVERAGE(R49:V49),R49*F49+T49*H49+V49*J49),1))</f>
        <v>12537</v>
      </c>
      <c r="S50" s="3743"/>
      <c r="T50" s="3743"/>
      <c r="U50" s="3743"/>
      <c r="V50" s="3743"/>
      <c r="W50" s="374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f>IF(E48&lt;E49,E49/E48-1,E48/E49-1)</f>
        <v>0.13397732045359101</v>
      </c>
      <c r="F53" s="449" t="str">
        <f>IF(OR(E53&gt;=0.3,E53&lt;=-0.3),"超过30%","")</f>
        <v/>
      </c>
      <c r="G53" s="448">
        <f>IF(G48&lt;G49,G49/G48-1,G48/G49-1)</f>
        <v>0.1226704587979941</v>
      </c>
      <c r="H53" s="449" t="str">
        <f>IF(OR(G53&gt;=0.3,G53&lt;=-0.3),"超过30%","")</f>
        <v/>
      </c>
      <c r="I53" s="448">
        <f>IF(I48&lt;I49,I49/I48-1,I48/I49-1)</f>
        <v>0.13397051676656413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f>IF(E49&lt;G49,G49/E49-1,E49/G49-1)</f>
        <v>0.12230155396892073</v>
      </c>
      <c r="F54" s="449" t="str">
        <f>IF(OR(E54&gt;=0.2,E54&lt;=-0.2),"超过20%","")</f>
        <v/>
      </c>
      <c r="G54" s="448">
        <f>IF(G49&lt;I49,I49/G49-1,G49/I49-1)</f>
        <v>8.2212862465575798E-2</v>
      </c>
      <c r="H54" s="449" t="str">
        <f>IF(OR(G54&gt;=0.2,G54&lt;=-0.2),"超过20%","")</f>
        <v/>
      </c>
      <c r="I54" s="448">
        <f>IF(I49&lt;E49,E49/I49-1,I49/E49-1)</f>
        <v>3.7043259134817319E-2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f>IF(E48&lt;G48,G48/E48-1,E48/G48-1)</f>
        <v>0.11111111111111116</v>
      </c>
      <c r="F55" s="449" t="str">
        <f>IF(OR(E55&gt;=0.3,E55&lt;=-0.3),"超过30%","")</f>
        <v/>
      </c>
      <c r="G55" s="448">
        <f>IF(G48&lt;I48,I48/G48-1,G48/I48-1)</f>
        <v>7.1428571428571397E-2</v>
      </c>
      <c r="H55" s="449" t="str">
        <f>IF(OR(G55&gt;=0.3,G55&lt;=-0.3),"超过30%","")</f>
        <v/>
      </c>
      <c r="I55" s="448">
        <f>IF(I48&lt;E48,E48/I48-1,I48/E48-1)</f>
        <v>3.7037037037036979E-2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3451" t="s">
        <v>3472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108</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49" t="s">
        <v>3468</v>
      </c>
      <c r="D89" s="3449" t="s">
        <v>3469</v>
      </c>
      <c r="E89" s="3449" t="s">
        <v>3470</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3450" t="s">
        <v>3478</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0(含)-1500</v>
      </c>
      <c r="D103" s="527" t="str">
        <f t="shared" ref="D103:L103" si="23">D104&amp;"(含)"&amp;"-"&amp;E104</f>
        <v>1500(含)-3000</v>
      </c>
      <c r="E103" s="527" t="str">
        <f t="shared" si="23"/>
        <v>3000(含)-4500</v>
      </c>
      <c r="F103" s="527" t="str">
        <f t="shared" si="23"/>
        <v>4500(含)-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1500</v>
      </c>
      <c r="E104" s="544">
        <v>3000</v>
      </c>
      <c r="F104" s="544">
        <v>4500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f>C105-1</f>
        <v>99</v>
      </c>
      <c r="E105" s="485">
        <f t="shared" ref="E105:F105" si="24">D105-1</f>
        <v>98</v>
      </c>
      <c r="F105" s="485">
        <f t="shared" si="24"/>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是否有地下</v>
      </c>
      <c r="C127" s="3449" t="s">
        <v>3481</v>
      </c>
      <c r="D127" s="3449" t="s">
        <v>3482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2" priority="20" stopIfTrue="1" operator="containsText" text="超过">
      <formula>NOT(ISERROR(SEARCH("超过",F53)))</formula>
    </cfRule>
  </conditionalFormatting>
  <conditionalFormatting sqref="H55">
    <cfRule type="containsText" dxfId="161" priority="19" stopIfTrue="1" operator="containsText" text="超过">
      <formula>NOT(ISERROR(SEARCH("超过",H55)))</formula>
    </cfRule>
  </conditionalFormatting>
  <conditionalFormatting sqref="F55">
    <cfRule type="containsText" dxfId="160" priority="18" stopIfTrue="1" operator="containsText" text="超过">
      <formula>NOT(ISERROR(SEARCH("超过",F55)))</formula>
    </cfRule>
  </conditionalFormatting>
  <conditionalFormatting sqref="F54 H54">
    <cfRule type="containsText" dxfId="159" priority="17" stopIfTrue="1" operator="containsText" text="超过">
      <formula>NOT(ISERROR(SEARCH("超过",F54)))</formula>
    </cfRule>
  </conditionalFormatting>
  <conditionalFormatting sqref="E53">
    <cfRule type="expression" dxfId="158" priority="16" stopIfTrue="1">
      <formula>$F$53="超过30%"</formula>
    </cfRule>
  </conditionalFormatting>
  <conditionalFormatting sqref="E54">
    <cfRule type="expression" dxfId="157" priority="15" stopIfTrue="1">
      <formula>$F$54="超过20%"</formula>
    </cfRule>
  </conditionalFormatting>
  <conditionalFormatting sqref="E55">
    <cfRule type="expression" dxfId="156" priority="14" stopIfTrue="1">
      <formula>$F$55="超过30%"</formula>
    </cfRule>
  </conditionalFormatting>
  <conditionalFormatting sqref="G55">
    <cfRule type="expression" dxfId="155" priority="13" stopIfTrue="1">
      <formula>$H$55="超过30%"</formula>
    </cfRule>
  </conditionalFormatting>
  <conditionalFormatting sqref="G53">
    <cfRule type="expression" dxfId="154" priority="12" stopIfTrue="1">
      <formula>$H$53="超过30%"</formula>
    </cfRule>
  </conditionalFormatting>
  <conditionalFormatting sqref="G54">
    <cfRule type="expression" dxfId="153" priority="11" stopIfTrue="1">
      <formula>$H$54="超过20%"</formula>
    </cfRule>
  </conditionalFormatting>
  <conditionalFormatting sqref="J53">
    <cfRule type="containsText" dxfId="152" priority="10" stopIfTrue="1" operator="containsText" text="超过">
      <formula>NOT(ISERROR(SEARCH("超过",J53)))</formula>
    </cfRule>
  </conditionalFormatting>
  <conditionalFormatting sqref="J55">
    <cfRule type="containsText" dxfId="151" priority="9" stopIfTrue="1" operator="containsText" text="超过">
      <formula>NOT(ISERROR(SEARCH("超过",J55)))</formula>
    </cfRule>
  </conditionalFormatting>
  <conditionalFormatting sqref="J54">
    <cfRule type="containsText" dxfId="150" priority="8" stopIfTrue="1" operator="containsText" text="超过">
      <formula>NOT(ISERROR(SEARCH("超过",J54)))</formula>
    </cfRule>
  </conditionalFormatting>
  <conditionalFormatting sqref="I53">
    <cfRule type="expression" dxfId="149" priority="7" stopIfTrue="1">
      <formula>$J$53="超过30%"</formula>
    </cfRule>
  </conditionalFormatting>
  <conditionalFormatting sqref="I54">
    <cfRule type="expression" dxfId="148" priority="6" stopIfTrue="1">
      <formula>$J$53+$J$54="超过20%"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7:F47 H7:H47 J7:J47">
    <cfRule type="cellIs" dxfId="14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36.58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2356.3177000000001</v>
      </c>
      <c r="C2" s="1386" t="s">
        <v>879</v>
      </c>
      <c r="D2" s="1470">
        <f ca="1">C40+J29+L46</f>
        <v>23563177</v>
      </c>
      <c r="E2" s="1387" t="s">
        <v>880</v>
      </c>
      <c r="F2" s="1388"/>
      <c r="G2" s="2705"/>
      <c r="H2" s="2694"/>
      <c r="I2" s="2694"/>
      <c r="J2" s="2694"/>
      <c r="K2" s="2695"/>
      <c r="L2" s="2694"/>
      <c r="M2" s="2694"/>
    </row>
    <row r="3" spans="1:37" ht="18" customHeight="1" thickBot="1">
      <c r="A3" s="1389" t="s">
        <v>881</v>
      </c>
      <c r="B3" s="1390">
        <f ca="1">IF(ISERROR(D2/F43),0,ROUND(D2/F43,0))</f>
        <v>9862</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1484376</v>
      </c>
      <c r="D5" s="1363" t="s">
        <v>889</v>
      </c>
      <c r="E5" s="1070"/>
      <c r="F5" s="1071"/>
      <c r="G5" s="1383"/>
      <c r="H5" s="299">
        <v>1</v>
      </c>
      <c r="I5" s="300" t="s">
        <v>888</v>
      </c>
      <c r="J5" s="1069">
        <f ca="1">J6+J10+J12</f>
        <v>0</v>
      </c>
      <c r="K5" s="1363" t="s">
        <v>889</v>
      </c>
      <c r="L5" s="1070"/>
      <c r="M5" s="1071"/>
    </row>
    <row r="6" spans="1:37" ht="18" customHeight="1">
      <c r="A6" s="1068" t="s">
        <v>398</v>
      </c>
      <c r="B6" s="3680" t="s">
        <v>694</v>
      </c>
      <c r="C6" s="1073">
        <f ca="1">ROUND(F6*F8*F7*(1-F9),0)</f>
        <v>1482523</v>
      </c>
      <c r="D6" s="155" t="s">
        <v>2103</v>
      </c>
      <c r="E6" s="302" t="s">
        <v>696</v>
      </c>
      <c r="F6" s="303">
        <f ca="1">INDIRECT("'数据-取费表'!u"&amp;$G$1)</f>
        <v>2</v>
      </c>
      <c r="G6" s="1383"/>
      <c r="H6" s="1068" t="s">
        <v>398</v>
      </c>
      <c r="I6" s="3680" t="s">
        <v>694</v>
      </c>
      <c r="J6" s="301">
        <f ca="1">ROUND(M6*M8*M7*(1-M9),0)</f>
        <v>0</v>
      </c>
      <c r="K6" s="1375" t="s">
        <v>2104</v>
      </c>
      <c r="L6" s="302" t="s">
        <v>696</v>
      </c>
      <c r="M6" s="303">
        <f ca="1">INDIRECT("'数据-取费表'!z"&amp;$G$1)</f>
        <v>0</v>
      </c>
    </row>
    <row r="7" spans="1:37" ht="18" customHeight="1">
      <c r="A7" s="1072"/>
      <c r="B7" s="3681"/>
      <c r="C7" s="1074"/>
      <c r="D7" s="307"/>
      <c r="E7" s="1075" t="s">
        <v>697</v>
      </c>
      <c r="F7" s="303">
        <f ca="1">IF(INDIRECT("'数据-取费表'!ah"&amp;$G$1)="",INDIRECT("'数据-取费表'!k"&amp;$G$1),INDIRECT("'数据-取费表'!ah"&amp;$G$1))</f>
        <v>2389.2399999999998</v>
      </c>
      <c r="G7" s="1383"/>
      <c r="H7" s="304"/>
      <c r="I7" s="3681"/>
      <c r="J7" s="306"/>
      <c r="K7" s="307"/>
      <c r="L7" s="302" t="s">
        <v>697</v>
      </c>
      <c r="M7" s="303">
        <f ca="1">F7</f>
        <v>2389.2399999999998</v>
      </c>
    </row>
    <row r="8" spans="1:37" ht="18" customHeight="1">
      <c r="A8" s="304"/>
      <c r="B8" s="3681"/>
      <c r="C8" s="306"/>
      <c r="D8" s="307"/>
      <c r="E8" s="302" t="s">
        <v>698</v>
      </c>
      <c r="F8" s="303">
        <f ca="1">INDIRECT("'数据-取费表'!ai"&amp;$G$1)</f>
        <v>365</v>
      </c>
      <c r="G8" s="1383"/>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0.15</v>
      </c>
      <c r="G9" s="1383"/>
      <c r="H9" s="304"/>
      <c r="I9" s="3682"/>
      <c r="J9" s="306"/>
      <c r="K9" s="307"/>
      <c r="L9" s="313" t="s">
        <v>699</v>
      </c>
      <c r="M9" s="314">
        <f ca="1">INDIRECT("'数据-取费表'!ab"&amp;$G$1)</f>
        <v>0</v>
      </c>
    </row>
    <row r="10" spans="1:37" ht="18" customHeight="1">
      <c r="A10" s="1068" t="s">
        <v>402</v>
      </c>
      <c r="B10" s="1364" t="s">
        <v>700</v>
      </c>
      <c r="C10" s="316">
        <f ca="1">ROUND(IF(F10="押一",C6/12*F11,IF(F10="押二",C6/12*2*F11,IF(F10="押三",C6/12*3*F11,C11*F11))),0)</f>
        <v>1853</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12084051</v>
      </c>
      <c r="D13" s="1080" t="s">
        <v>705</v>
      </c>
      <c r="E13" s="1080" t="s">
        <v>706</v>
      </c>
      <c r="F13" s="1081">
        <f ca="1">INDIRECT("'数据-取费表'!y"&amp;$G$1)</f>
        <v>0.82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10751580</v>
      </c>
      <c r="D14" s="1344" t="s">
        <v>708</v>
      </c>
      <c r="E14" s="1341"/>
      <c r="F14" s="319"/>
      <c r="G14" s="1383"/>
      <c r="H14" s="981" t="s">
        <v>398</v>
      </c>
      <c r="I14" s="302" t="s">
        <v>709</v>
      </c>
      <c r="J14" s="21">
        <f ca="1">C29</f>
        <v>14736648</v>
      </c>
      <c r="K14" s="12"/>
      <c r="L14" s="806"/>
      <c r="M14" s="807"/>
    </row>
    <row r="15" spans="1:37" s="1396" customFormat="1" ht="18" customHeight="1" thickBot="1">
      <c r="A15" s="981" t="s">
        <v>399</v>
      </c>
      <c r="B15" s="302" t="s">
        <v>710</v>
      </c>
      <c r="C15" s="21">
        <f ca="1">ROUND(C14*F15,0)</f>
        <v>322547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73683</v>
      </c>
      <c r="K16" s="1086" t="s">
        <v>715</v>
      </c>
      <c r="L16" s="1087"/>
      <c r="M16" s="1071"/>
    </row>
    <row r="17" spans="1:37" s="1396" customFormat="1" ht="18" customHeight="1">
      <c r="A17" s="981" t="s">
        <v>681</v>
      </c>
      <c r="B17" s="302" t="s">
        <v>716</v>
      </c>
      <c r="C17" s="21">
        <f ca="1">ROUND(F17*(F43+INDIRECT("'数据-取费表'!S"&amp;$G$1)),0)</f>
        <v>477848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215032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11767007</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235340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73683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414081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-73683</v>
      </c>
      <c r="K25" s="1094" t="s">
        <v>753</v>
      </c>
      <c r="L25" s="1095"/>
      <c r="M25" s="1096"/>
    </row>
    <row r="26" spans="1:37" ht="18" customHeight="1">
      <c r="A26" s="981" t="s">
        <v>397</v>
      </c>
      <c r="B26" s="302" t="s">
        <v>754</v>
      </c>
      <c r="C26" s="21">
        <f ca="1">ROUND((C19+C20)*F26,0)</f>
        <v>1200235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14736648</v>
      </c>
      <c r="D29" s="1091"/>
      <c r="E29" s="1089"/>
      <c r="F29" s="1092"/>
      <c r="G29" s="1395"/>
      <c r="H29" s="334" t="s">
        <v>396</v>
      </c>
      <c r="I29" s="335" t="s">
        <v>768</v>
      </c>
      <c r="J29" s="336">
        <f ca="1">ROUND(J26/(1+F40)^F41,0)</f>
        <v>0</v>
      </c>
      <c r="K29" s="337" t="s">
        <v>769</v>
      </c>
      <c r="L29" s="338"/>
      <c r="M29" s="339">
        <f ca="1">INDIRECT("'数据-取费表'!k"&amp;$G$1)</f>
        <v>2389.2399999999998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341688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248499</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79068</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169431</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73683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12084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7422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1142688</v>
      </c>
      <c r="D39" s="1094" t="s">
        <v>773</v>
      </c>
      <c r="E39" s="1095"/>
      <c r="F39" s="1096"/>
      <c r="G39" s="1383"/>
      <c r="H39" s="2699"/>
      <c r="I39" s="1397"/>
      <c r="J39" s="1398"/>
      <c r="K39" s="2703"/>
      <c r="L39" s="2699"/>
      <c r="M39" s="2699"/>
    </row>
    <row r="40" spans="1:18" ht="18" customHeight="1">
      <c r="A40" s="299" t="s">
        <v>395</v>
      </c>
      <c r="B40" s="300" t="s">
        <v>774</v>
      </c>
      <c r="C40" s="301">
        <f ca="1">ROUND(C39*(1-((1+F42)/(1+F40))^F41)/(F40-F42),0)</f>
        <v>23144830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36.58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9687</v>
      </c>
      <c r="D43" s="337" t="s">
        <v>777</v>
      </c>
      <c r="E43" s="338" t="s">
        <v>778</v>
      </c>
      <c r="F43" s="339">
        <f ca="1">INDIRECT("'数据-取费表'!k"&amp;$G$1)</f>
        <v>2389.2399999999998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f ca="1">ROUND((C68-C40)/10000,4)</f>
        <v>-2448.4250000000002</v>
      </c>
      <c r="D45" s="3431" t="s">
        <v>3352</v>
      </c>
      <c r="E45" s="1399"/>
      <c r="F45" s="1399"/>
      <c r="O45" s="1402" t="s">
        <v>808</v>
      </c>
      <c r="P45" s="1460"/>
      <c r="Q45" s="1460"/>
      <c r="R45" s="1460"/>
    </row>
    <row r="46" spans="1:18" s="1383" customFormat="1" ht="13.5" thickBot="1">
      <c r="A46" s="1403" t="s">
        <v>809</v>
      </c>
      <c r="C46" s="1404">
        <f ca="1">ROUND(C45,0)</f>
        <v>-2448</v>
      </c>
      <c r="D46" s="1405" t="str">
        <f>C2</f>
        <v>万元</v>
      </c>
      <c r="I46" s="1406" t="s">
        <v>810</v>
      </c>
      <c r="J46" s="1407"/>
      <c r="K46" s="1408"/>
      <c r="L46" s="1409">
        <f ca="1">IF(M47="住宅",0,IF(L48&gt;J51,L60,J60))</f>
        <v>418347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50</v>
      </c>
      <c r="M47" s="1379" t="str">
        <f>IF(ISNUMBER(FIND("住宅",C1)),"住宅","非住宅")</f>
        <v>非住宅</v>
      </c>
      <c r="O47" s="1417" t="s">
        <v>403</v>
      </c>
      <c r="P47" s="1418" t="s">
        <v>817</v>
      </c>
      <c r="Q47" s="1419">
        <f ca="1">C40+J29</f>
        <v>23144830</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36.58</v>
      </c>
      <c r="O48" s="1417" t="s">
        <v>404</v>
      </c>
      <c r="P48" s="1418" t="s">
        <v>821</v>
      </c>
      <c r="Q48" s="1419">
        <f ca="1">J60</f>
        <v>418347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2013</v>
      </c>
      <c r="K49" s="1422" t="s">
        <v>824</v>
      </c>
      <c r="L49" s="1426"/>
      <c r="O49" s="1427" t="s">
        <v>405</v>
      </c>
      <c r="P49" s="1418" t="s">
        <v>825</v>
      </c>
      <c r="Q49" s="1419">
        <f ca="1">C29</f>
        <v>14736648</v>
      </c>
      <c r="R49" s="1419" t="s">
        <v>818</v>
      </c>
    </row>
    <row r="50" spans="1:18" s="1383" customFormat="1" ht="13.5" thickBot="1">
      <c r="A50" s="975"/>
      <c r="B50" s="978"/>
      <c r="C50" s="979"/>
      <c r="D50" s="952"/>
      <c r="E50" s="1055" t="s">
        <v>697</v>
      </c>
      <c r="F50" s="1056">
        <f ca="1">F7</f>
        <v>2389.2399999999998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49</v>
      </c>
      <c r="K51" s="1433" t="s">
        <v>830</v>
      </c>
      <c r="L51" s="1434">
        <f ca="1">ROUND(-PV(INDIRECT("'数据-取费表'!h"&amp;$G$1),J51,(C39-C13*C76),0),0)</f>
        <v>5392557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36.58</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36.58</v>
      </c>
      <c r="K53" s="3678" t="s">
        <v>837</v>
      </c>
      <c r="L53" s="3679"/>
      <c r="O53" s="1417" t="s">
        <v>409</v>
      </c>
      <c r="P53" s="1418" t="s">
        <v>838</v>
      </c>
      <c r="Q53" s="1419">
        <f ca="1">Q47+Q48</f>
        <v>23563177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12084051</v>
      </c>
      <c r="D56" s="1446"/>
      <c r="E56" s="1447"/>
      <c r="F56" s="1439"/>
      <c r="I56" s="1448" t="s">
        <v>842</v>
      </c>
      <c r="J56" s="1449" t="s">
        <v>3382</v>
      </c>
      <c r="K56" s="1420" t="s">
        <v>843</v>
      </c>
      <c r="L56" s="1423" t="str">
        <f ca="1">IF(L48&lt;J51,"——",L48-J51)</f>
        <v>——</v>
      </c>
      <c r="O56" s="1417" t="s">
        <v>403</v>
      </c>
      <c r="P56" s="1418" t="s">
        <v>817</v>
      </c>
      <c r="Q56" s="1419">
        <f ca="1">C40+J29</f>
        <v>23144830</v>
      </c>
      <c r="R56" s="1419" t="s">
        <v>818</v>
      </c>
    </row>
    <row r="57" spans="1:18" s="1383" customFormat="1" ht="24.75" thickBot="1">
      <c r="A57" s="1450"/>
      <c r="B57" s="949" t="s">
        <v>767</v>
      </c>
      <c r="C57" s="238">
        <f ca="1">C29</f>
        <v>14736648</v>
      </c>
      <c r="D57" s="1451"/>
      <c r="E57" s="1452"/>
      <c r="F57" s="1453"/>
      <c r="I57" s="1454" t="s">
        <v>844</v>
      </c>
      <c r="J57" s="1455">
        <f ca="1">IF(OR(M47="住宅",J51&lt;L48,J56="是"),"——",J51-L48)</f>
        <v>12.420000000000002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85767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5894659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418347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23144830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73683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12084</v>
      </c>
      <c r="D65" s="963" t="s">
        <v>743</v>
      </c>
      <c r="E65" s="949" t="s">
        <v>744</v>
      </c>
      <c r="F65" s="330">
        <f t="shared" ca="1" si="0"/>
        <v>1E-3</v>
      </c>
      <c r="I65" s="1461" t="s">
        <v>867</v>
      </c>
      <c r="J65" s="1462">
        <v>40</v>
      </c>
      <c r="K65" s="1462">
        <v>30</v>
      </c>
      <c r="L65" s="1462">
        <v>50</v>
      </c>
      <c r="M65" s="1464">
        <v>0.02</v>
      </c>
      <c r="O65" s="1417" t="s">
        <v>403</v>
      </c>
      <c r="P65" s="1418" t="s">
        <v>868</v>
      </c>
      <c r="Q65" s="1419">
        <f ca="1">C40+J29</f>
        <v>23144830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-85767</v>
      </c>
      <c r="D67" s="962" t="s">
        <v>753</v>
      </c>
      <c r="E67" s="967"/>
      <c r="F67" s="968"/>
      <c r="O67" s="1427" t="s">
        <v>405</v>
      </c>
      <c r="P67" s="1418" t="s">
        <v>850</v>
      </c>
      <c r="Q67" s="1465">
        <f ca="1">L51</f>
        <v>5392557</v>
      </c>
      <c r="R67" s="1419" t="s">
        <v>870</v>
      </c>
    </row>
    <row r="68" spans="1:18" s="1383" customFormat="1" ht="16.5" thickBot="1">
      <c r="A68" s="946" t="s">
        <v>395</v>
      </c>
      <c r="B68" s="947" t="s">
        <v>774</v>
      </c>
      <c r="C68" s="301">
        <f ca="1">ROUND(C67*(1-((1+F70)/(1+F68))^F69)/(F68-F70),0)</f>
        <v>-1339420</v>
      </c>
      <c r="D68" s="964" t="s">
        <v>758</v>
      </c>
      <c r="E68" s="949" t="s">
        <v>759</v>
      </c>
      <c r="F68" s="312">
        <f ca="1">F40</f>
        <v>5.5E-2</v>
      </c>
      <c r="O68" s="1427" t="s">
        <v>406</v>
      </c>
      <c r="P68" s="1466" t="s">
        <v>871</v>
      </c>
      <c r="Q68" s="1419">
        <f ca="1">ROUND(Q69-Q70*Q71,0)</f>
        <v>296804</v>
      </c>
      <c r="R68" s="1419" t="s">
        <v>414</v>
      </c>
    </row>
    <row r="69" spans="1:18" s="1383" customFormat="1" ht="13.5" thickBot="1">
      <c r="A69" s="950"/>
      <c r="B69" s="951"/>
      <c r="C69" s="306"/>
      <c r="D69" s="969" t="s">
        <v>762</v>
      </c>
      <c r="E69" s="949" t="s">
        <v>763</v>
      </c>
      <c r="F69" s="333">
        <f ca="1">F41</f>
        <v>36.58</v>
      </c>
      <c r="O69" s="1427" t="s">
        <v>411</v>
      </c>
      <c r="P69" s="1466" t="s">
        <v>872</v>
      </c>
      <c r="Q69" s="1419">
        <f ca="1">C39</f>
        <v>1142688</v>
      </c>
      <c r="R69" s="1419" t="s">
        <v>818</v>
      </c>
    </row>
    <row r="70" spans="1:18" s="1383" customFormat="1" ht="13.5" thickBot="1">
      <c r="A70" s="953"/>
      <c r="B70" s="954"/>
      <c r="C70" s="310"/>
      <c r="D70" s="965"/>
      <c r="E70" s="949" t="s">
        <v>766</v>
      </c>
      <c r="F70" s="1053"/>
      <c r="O70" s="1427" t="s">
        <v>412</v>
      </c>
      <c r="P70" s="1466" t="s">
        <v>873</v>
      </c>
      <c r="Q70" s="1419">
        <f ca="1">C13</f>
        <v>12084051</v>
      </c>
      <c r="R70" s="1419" t="s">
        <v>818</v>
      </c>
    </row>
    <row r="71" spans="1:18" s="1383" customFormat="1" ht="13.5" thickBot="1">
      <c r="A71" s="970" t="s">
        <v>396</v>
      </c>
      <c r="B71" s="971" t="s">
        <v>776</v>
      </c>
      <c r="C71" s="336">
        <f ca="1">ROUND(C68/F71,0)</f>
        <v>-561</v>
      </c>
      <c r="D71" s="972" t="s">
        <v>777</v>
      </c>
      <c r="E71" s="973" t="s">
        <v>778</v>
      </c>
      <c r="F71" s="339">
        <f ca="1">F43</f>
        <v>2389.2399999999998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845884</v>
      </c>
      <c r="D75" s="1383"/>
      <c r="E75" s="1383"/>
      <c r="F75" s="1383"/>
      <c r="K75" s="1401"/>
      <c r="L75" s="1383"/>
      <c r="O75" s="1417" t="s">
        <v>409</v>
      </c>
      <c r="P75" s="1418" t="s">
        <v>838</v>
      </c>
      <c r="Q75" s="1419">
        <f ca="1">Q65+Q66</f>
        <v>23144830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0.26</v>
      </c>
    </row>
    <row r="80" spans="1:18">
      <c r="B80" s="340" t="s">
        <v>800</v>
      </c>
      <c r="C80" s="274">
        <f ca="1">ROUND(C75/C39,3)</f>
        <v>0.74</v>
      </c>
    </row>
    <row r="81" spans="2:3">
      <c r="B81" s="270" t="s">
        <v>801</v>
      </c>
      <c r="C81" s="238"/>
    </row>
    <row r="82" spans="2:3">
      <c r="B82" s="273" t="s">
        <v>802</v>
      </c>
      <c r="C82" s="275">
        <f ca="1">1-C83</f>
        <v>0.47799999999999998</v>
      </c>
    </row>
    <row r="83" spans="2:3">
      <c r="B83" s="273" t="s">
        <v>803</v>
      </c>
      <c r="C83" s="274">
        <f ca="1">ROUND(C13/C40,3)</f>
        <v>0.52200000000000002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44" t="s">
        <v>2318</v>
      </c>
      <c r="K2" s="3745"/>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46" t="s">
        <v>2328</v>
      </c>
      <c r="K3" s="3747"/>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46" t="s">
        <v>2330</v>
      </c>
      <c r="K4" s="3747"/>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48" t="s">
        <v>2334</v>
      </c>
      <c r="B6" s="3749"/>
      <c r="C6" s="3750"/>
      <c r="D6" s="2869"/>
      <c r="E6" s="2870"/>
      <c r="F6" s="2871"/>
      <c r="G6" s="2872"/>
      <c r="H6" s="2847"/>
      <c r="I6" s="2848"/>
      <c r="J6" s="3751">
        <v>1</v>
      </c>
      <c r="K6" s="3752"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51"/>
      <c r="K7" s="3753"/>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55" t="s">
        <v>2348</v>
      </c>
      <c r="C8" s="3756"/>
      <c r="D8" s="2888" t="s">
        <v>2349</v>
      </c>
      <c r="E8" s="2889" t="s">
        <v>2350</v>
      </c>
      <c r="F8" s="2890" t="s">
        <v>2351</v>
      </c>
      <c r="G8" s="2891"/>
      <c r="H8" s="2847"/>
      <c r="I8" s="2848"/>
      <c r="J8" s="3751"/>
      <c r="K8" s="3753"/>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55" t="s">
        <v>2354</v>
      </c>
      <c r="C9" s="3756"/>
      <c r="D9" s="2888">
        <f>ROUND(D6*E9,0)</f>
        <v>0</v>
      </c>
      <c r="E9" s="2892"/>
      <c r="F9" s="2893" t="s">
        <v>2355</v>
      </c>
      <c r="G9" s="2872"/>
      <c r="H9" s="2847"/>
      <c r="I9" s="2848"/>
      <c r="J9" s="3751"/>
      <c r="K9" s="3753"/>
      <c r="L9" s="2882" t="s">
        <v>2356</v>
      </c>
      <c r="M9" s="2883"/>
      <c r="N9" s="2859"/>
      <c r="O9" s="2884"/>
      <c r="P9" s="2884"/>
      <c r="Q9" s="2885">
        <v>365</v>
      </c>
      <c r="R9" s="2886">
        <f t="shared" si="0"/>
        <v>0</v>
      </c>
      <c r="S9" s="2840"/>
      <c r="T9" s="2840"/>
      <c r="U9" s="2840"/>
      <c r="V9" s="2848"/>
    </row>
    <row r="10" spans="1:22" s="2852" customFormat="1" ht="13.15" customHeight="1">
      <c r="A10" s="2887">
        <v>2</v>
      </c>
      <c r="B10" s="3755" t="s">
        <v>2357</v>
      </c>
      <c r="C10" s="3756"/>
      <c r="D10" s="2888">
        <f>ROUND(D6*E10,0)</f>
        <v>0</v>
      </c>
      <c r="E10" s="2892"/>
      <c r="F10" s="2893" t="s">
        <v>2358</v>
      </c>
      <c r="G10" s="2872"/>
      <c r="H10" s="2847"/>
      <c r="I10" s="2848"/>
      <c r="J10" s="3751"/>
      <c r="K10" s="3753"/>
      <c r="L10" s="2882" t="s">
        <v>2359</v>
      </c>
      <c r="M10" s="2883"/>
      <c r="N10" s="2859"/>
      <c r="O10" s="2884"/>
      <c r="P10" s="2884"/>
      <c r="Q10" s="2885">
        <v>365</v>
      </c>
      <c r="R10" s="2886">
        <f t="shared" si="0"/>
        <v>0</v>
      </c>
      <c r="S10" s="2840"/>
      <c r="T10" s="2840"/>
      <c r="U10" s="2840"/>
      <c r="V10" s="2848"/>
    </row>
    <row r="11" spans="1:22" s="2852" customFormat="1" ht="13.15" customHeight="1">
      <c r="A11" s="2887">
        <v>3</v>
      </c>
      <c r="B11" s="3755" t="s">
        <v>2360</v>
      </c>
      <c r="C11" s="3756"/>
      <c r="D11" s="2888">
        <f>D12+D14+D15+D16</f>
        <v>0</v>
      </c>
      <c r="E11" s="2894" t="e">
        <f>D11/D6</f>
        <v>#DIV/0!</v>
      </c>
      <c r="F11" s="2890"/>
      <c r="G11" s="2891"/>
      <c r="H11" s="2847"/>
      <c r="I11" s="2848"/>
      <c r="J11" s="3751"/>
      <c r="K11" s="3753"/>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57" t="s">
        <v>2363</v>
      </c>
      <c r="C12" s="3758"/>
      <c r="D12" s="2896">
        <f>ROUND(D13*1.2%*(1-30%),0)</f>
        <v>0</v>
      </c>
      <c r="E12" s="2897">
        <v>1.2E-2</v>
      </c>
      <c r="F12" s="2890" t="s">
        <v>2364</v>
      </c>
      <c r="G12" s="2891"/>
      <c r="H12" s="2847"/>
      <c r="I12" s="2848"/>
      <c r="J12" s="3751"/>
      <c r="K12" s="3753"/>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51"/>
      <c r="K13" s="3753"/>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57" t="s">
        <v>2369</v>
      </c>
      <c r="C14" s="3758"/>
      <c r="D14" s="2896">
        <f>ROUND(E14*B5/10000,0)</f>
        <v>0</v>
      </c>
      <c r="E14" s="2885"/>
      <c r="F14" s="2890" t="s">
        <v>2370</v>
      </c>
      <c r="G14" s="2891"/>
      <c r="H14" s="2847"/>
      <c r="I14" s="2848"/>
      <c r="J14" s="3751"/>
      <c r="K14" s="3754"/>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57" t="s">
        <v>2373</v>
      </c>
      <c r="C15" s="3758"/>
      <c r="D15" s="2896">
        <f>ROUND(D6*E15,0)</f>
        <v>0</v>
      </c>
      <c r="E15" s="2897">
        <v>5.5E-2</v>
      </c>
      <c r="F15" s="2890" t="s">
        <v>2374</v>
      </c>
      <c r="G15" s="2872"/>
      <c r="H15" s="2847"/>
      <c r="I15" s="2848"/>
      <c r="J15" s="3751">
        <v>2</v>
      </c>
      <c r="K15" s="3752"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57" t="s">
        <v>2382</v>
      </c>
      <c r="C16" s="3758"/>
      <c r="D16" s="2907">
        <f>D6*E16</f>
        <v>0</v>
      </c>
      <c r="E16" s="2908"/>
      <c r="F16" s="2893" t="s">
        <v>2383</v>
      </c>
      <c r="G16" s="2872"/>
      <c r="H16" s="2847"/>
      <c r="I16" s="2848"/>
      <c r="J16" s="3751"/>
      <c r="K16" s="3753"/>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59" t="s">
        <v>2385</v>
      </c>
      <c r="C17" s="3760"/>
      <c r="D17" s="2910">
        <f>ROUND(D6*E17,0)</f>
        <v>0</v>
      </c>
      <c r="E17" s="2911"/>
      <c r="F17" s="2912" t="s">
        <v>2386</v>
      </c>
      <c r="G17" s="2872"/>
      <c r="H17" s="2847"/>
      <c r="I17" s="2848"/>
      <c r="J17" s="3751"/>
      <c r="K17" s="3753"/>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51"/>
      <c r="K18" s="3753"/>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51"/>
      <c r="K19" s="3754"/>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1">
        <v>3</v>
      </c>
      <c r="K20" s="3752"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51"/>
      <c r="K21" s="3753"/>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51"/>
      <c r="K22" s="3753"/>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51"/>
      <c r="K23" s="3753"/>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51"/>
      <c r="K24" s="3754"/>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61">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6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44" t="s">
        <v>2318</v>
      </c>
      <c r="K32" s="3745"/>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46" t="s">
        <v>2328</v>
      </c>
      <c r="K33" s="3747"/>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46" t="s">
        <v>2330</v>
      </c>
      <c r="K34" s="374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51">
        <v>1</v>
      </c>
      <c r="K36" s="3752"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51"/>
      <c r="K37" s="3753"/>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1"/>
      <c r="K38" s="3753"/>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51"/>
      <c r="K39" s="3753"/>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51"/>
      <c r="K40" s="3754"/>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1">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6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2356.3177000000001</v>
      </c>
      <c r="C2" s="1871" t="s">
        <v>1649</v>
      </c>
      <c r="D2" s="1872" t="s">
        <v>1650</v>
      </c>
      <c r="E2" s="2606">
        <f>SUM(E6:E13)</f>
        <v>2389.2399999999998</v>
      </c>
      <c r="F2" s="2706"/>
      <c r="G2" s="1488"/>
      <c r="H2" s="1488"/>
      <c r="I2" s="1488"/>
      <c r="J2" s="1488"/>
      <c r="K2" s="1488"/>
      <c r="L2" s="1488"/>
      <c r="M2" s="1488"/>
      <c r="N2" s="1488"/>
      <c r="O2" s="1488"/>
      <c r="P2" s="1488"/>
      <c r="Q2" s="1488"/>
      <c r="R2" s="1488"/>
      <c r="S2" s="1488"/>
    </row>
    <row r="3" spans="1:22" ht="15.75">
      <c r="A3" s="1869" t="s">
        <v>686</v>
      </c>
      <c r="B3" s="2600">
        <f ca="1">ROUND(B2*10000/E2,0)</f>
        <v>9862</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63" t="s">
        <v>1652</v>
      </c>
      <c r="C5" s="3764"/>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2356.3177000000001</v>
      </c>
      <c r="C6" s="1871" t="s">
        <v>1649</v>
      </c>
      <c r="D6" s="2708"/>
      <c r="E6" s="2605">
        <f>IF(OR(A6=0,F6="否"),0,'数据-取费表'!K6+'数据-取费表'!S6)</f>
        <v>2389.2399999999998</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2389.2399999999998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2" t="s">
        <v>1665</v>
      </c>
      <c r="D4" s="3703"/>
      <c r="E4" s="3704" t="s">
        <v>1666</v>
      </c>
      <c r="F4" s="3705"/>
      <c r="G4" s="3702" t="s">
        <v>1667</v>
      </c>
      <c r="H4" s="3703"/>
      <c r="I4" s="3702" t="s">
        <v>1668</v>
      </c>
      <c r="J4" s="3703"/>
      <c r="K4" s="1888" t="s">
        <v>1669</v>
      </c>
      <c r="L4" s="2714"/>
      <c r="M4" s="2715"/>
      <c r="N4" s="2715"/>
      <c r="O4" s="2715"/>
      <c r="P4" s="3706" t="s">
        <v>1670</v>
      </c>
      <c r="Q4" s="3707"/>
      <c r="R4" s="3689" t="s">
        <v>1666</v>
      </c>
      <c r="S4" s="3690"/>
      <c r="T4" s="3689" t="s">
        <v>1667</v>
      </c>
      <c r="U4" s="3690"/>
      <c r="V4" s="3686" t="s">
        <v>1668</v>
      </c>
      <c r="W4" s="3686"/>
      <c r="X4" s="1354"/>
      <c r="Y4" s="3689" t="s">
        <v>1670</v>
      </c>
      <c r="Z4" s="3690"/>
      <c r="AA4" s="3683" t="s">
        <v>1666</v>
      </c>
      <c r="AB4" s="3683" t="s">
        <v>1667</v>
      </c>
      <c r="AC4" s="3683" t="s">
        <v>1668</v>
      </c>
    </row>
    <row r="5" spans="1:29" ht="15">
      <c r="A5" s="358"/>
      <c r="B5" s="359"/>
      <c r="C5" s="3695" t="s">
        <v>1671</v>
      </c>
      <c r="D5" s="3696"/>
      <c r="E5" s="3693" t="s">
        <v>1672</v>
      </c>
      <c r="F5" s="3694"/>
      <c r="G5" s="3695" t="s">
        <v>1673</v>
      </c>
      <c r="H5" s="3696"/>
      <c r="I5" s="3695" t="s">
        <v>1674</v>
      </c>
      <c r="J5" s="3696"/>
      <c r="K5" s="188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188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45449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7" t="s">
        <v>1678</v>
      </c>
      <c r="Q7" s="3714"/>
      <c r="R7" s="700" t="s">
        <v>20</v>
      </c>
      <c r="S7" s="701">
        <f t="shared" ref="S7:S15" si="0">F7</f>
        <v>0</v>
      </c>
      <c r="T7" s="700" t="s">
        <v>20</v>
      </c>
      <c r="U7" s="701">
        <f t="shared" ref="U7:U15" si="1">H7</f>
        <v>0</v>
      </c>
      <c r="V7" s="700" t="s">
        <v>20</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7" t="s">
        <v>1681</v>
      </c>
      <c r="Q8" s="3688"/>
      <c r="R8" s="700" t="s">
        <v>20</v>
      </c>
      <c r="S8" s="701">
        <f t="shared" si="0"/>
        <v>100</v>
      </c>
      <c r="T8" s="700" t="s">
        <v>20</v>
      </c>
      <c r="U8" s="701">
        <f t="shared" si="1"/>
        <v>100</v>
      </c>
      <c r="V8" s="700" t="s">
        <v>20</v>
      </c>
      <c r="W8" s="701">
        <f t="shared" si="2"/>
        <v>100</v>
      </c>
      <c r="X8" s="702"/>
      <c r="Y8" s="3687" t="s">
        <v>1681</v>
      </c>
      <c r="Z8" s="3688"/>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1"/>
      <c r="Q11" s="1342" t="str">
        <f t="shared" si="6"/>
        <v>容积率</v>
      </c>
      <c r="R11" s="700" t="s">
        <v>18</v>
      </c>
      <c r="S11" s="701" t="e">
        <f t="shared" si="0"/>
        <v>#N/A</v>
      </c>
      <c r="T11" s="700" t="s">
        <v>18</v>
      </c>
      <c r="U11" s="701" t="e">
        <f t="shared" si="1"/>
        <v>#N/A</v>
      </c>
      <c r="V11" s="700" t="s">
        <v>18</v>
      </c>
      <c r="W11" s="701" t="e">
        <f t="shared" si="2"/>
        <v>#N/A</v>
      </c>
      <c r="X11" s="702"/>
      <c r="Y11" s="365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0" t="s">
        <v>18</v>
      </c>
      <c r="S12" s="701">
        <f t="shared" si="0"/>
        <v>100</v>
      </c>
      <c r="T12" s="700" t="s">
        <v>18</v>
      </c>
      <c r="U12" s="701">
        <f t="shared" si="1"/>
        <v>100</v>
      </c>
      <c r="V12" s="700" t="s">
        <v>18</v>
      </c>
      <c r="W12" s="701">
        <f t="shared" si="2"/>
        <v>100</v>
      </c>
      <c r="X12" s="702"/>
      <c r="Y12" s="365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0" t="s">
        <v>18</v>
      </c>
      <c r="S13" s="701">
        <f t="shared" si="0"/>
        <v>100</v>
      </c>
      <c r="T13" s="700" t="s">
        <v>18</v>
      </c>
      <c r="U13" s="701">
        <f t="shared" si="1"/>
        <v>100</v>
      </c>
      <c r="V13" s="700" t="s">
        <v>18</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0" t="s">
        <v>18</v>
      </c>
      <c r="S14" s="701">
        <f t="shared" si="0"/>
        <v>100</v>
      </c>
      <c r="T14" s="700" t="s">
        <v>18</v>
      </c>
      <c r="U14" s="701">
        <f t="shared" si="1"/>
        <v>100</v>
      </c>
      <c r="V14" s="700" t="s">
        <v>18</v>
      </c>
      <c r="W14" s="701">
        <f t="shared" si="2"/>
        <v>100</v>
      </c>
      <c r="X14" s="702"/>
      <c r="Y14" s="3651"/>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1689</v>
      </c>
      <c r="Q15" s="1351" t="str">
        <f t="shared" si="6"/>
        <v>居住社区成熟度</v>
      </c>
      <c r="R15" s="704" t="s">
        <v>18</v>
      </c>
      <c r="S15" s="705">
        <f t="shared" si="0"/>
        <v>100</v>
      </c>
      <c r="T15" s="704" t="s">
        <v>18</v>
      </c>
      <c r="U15" s="705">
        <f t="shared" si="1"/>
        <v>100</v>
      </c>
      <c r="V15" s="704" t="s">
        <v>18</v>
      </c>
      <c r="W15" s="705">
        <f t="shared" si="2"/>
        <v>100</v>
      </c>
      <c r="X15" s="1354"/>
      <c r="Y15" s="3717"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6"/>
      <c r="Q16" s="1351"/>
      <c r="R16" s="704"/>
      <c r="S16" s="705"/>
      <c r="T16" s="704"/>
      <c r="U16" s="705"/>
      <c r="V16" s="704"/>
      <c r="W16" s="705"/>
      <c r="X16" s="1354"/>
      <c r="Y16" s="3718"/>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1" t="str">
        <f>B17</f>
        <v>交通便捷度</v>
      </c>
      <c r="R17" s="704" t="s">
        <v>18</v>
      </c>
      <c r="S17" s="705">
        <f>F17</f>
        <v>100</v>
      </c>
      <c r="T17" s="704" t="s">
        <v>18</v>
      </c>
      <c r="U17" s="705">
        <f>H17</f>
        <v>100</v>
      </c>
      <c r="V17" s="704" t="s">
        <v>18</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1" t="str">
        <f>B19</f>
        <v>公共配套设施</v>
      </c>
      <c r="R19" s="704" t="s">
        <v>18</v>
      </c>
      <c r="S19" s="705">
        <f>F19</f>
        <v>100</v>
      </c>
      <c r="T19" s="704" t="s">
        <v>18</v>
      </c>
      <c r="U19" s="705">
        <f>H19</f>
        <v>100</v>
      </c>
      <c r="V19" s="704" t="s">
        <v>18</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6"/>
      <c r="Q22" s="1351"/>
      <c r="R22" s="704"/>
      <c r="S22" s="705"/>
      <c r="T22" s="704"/>
      <c r="U22" s="705"/>
      <c r="V22" s="704"/>
      <c r="W22" s="705"/>
      <c r="X22" s="1354"/>
      <c r="Y22" s="3718"/>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1" t="str">
        <f>B23</f>
        <v>自然及人文环境</v>
      </c>
      <c r="R23" s="704" t="s">
        <v>18</v>
      </c>
      <c r="S23" s="705">
        <f>F23</f>
        <v>100</v>
      </c>
      <c r="T23" s="704" t="s">
        <v>18</v>
      </c>
      <c r="U23" s="705">
        <f>H23</f>
        <v>100</v>
      </c>
      <c r="V23" s="704" t="s">
        <v>18</v>
      </c>
      <c r="W23" s="705">
        <f>J23</f>
        <v>100</v>
      </c>
      <c r="X23" s="1354"/>
      <c r="Y23" s="371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8"/>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6"/>
      <c r="Q26" s="1351" t="str">
        <f t="shared" si="11"/>
        <v>朝向</v>
      </c>
      <c r="R26" s="704" t="s">
        <v>18</v>
      </c>
      <c r="S26" s="705">
        <f t="shared" si="12"/>
        <v>100</v>
      </c>
      <c r="T26" s="704" t="s">
        <v>18</v>
      </c>
      <c r="U26" s="705">
        <f t="shared" si="13"/>
        <v>100</v>
      </c>
      <c r="V26" s="704" t="s">
        <v>18</v>
      </c>
      <c r="W26" s="705">
        <f t="shared" si="14"/>
        <v>100</v>
      </c>
      <c r="X26" s="1354"/>
      <c r="Y26" s="371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6"/>
      <c r="Q27" s="1342">
        <f t="shared" si="11"/>
        <v>111</v>
      </c>
      <c r="R27" s="700" t="s">
        <v>18</v>
      </c>
      <c r="S27" s="701">
        <f t="shared" si="12"/>
        <v>100</v>
      </c>
      <c r="T27" s="700" t="s">
        <v>18</v>
      </c>
      <c r="U27" s="701">
        <f t="shared" si="13"/>
        <v>100</v>
      </c>
      <c r="V27" s="700" t="s">
        <v>18</v>
      </c>
      <c r="W27" s="701">
        <f t="shared" si="14"/>
        <v>100</v>
      </c>
      <c r="X27" s="702"/>
      <c r="Y27" s="371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6"/>
      <c r="Q28" s="1351">
        <f t="shared" si="11"/>
        <v>111</v>
      </c>
      <c r="R28" s="704" t="s">
        <v>18</v>
      </c>
      <c r="S28" s="705">
        <f t="shared" si="12"/>
        <v>100</v>
      </c>
      <c r="T28" s="704" t="s">
        <v>18</v>
      </c>
      <c r="U28" s="705">
        <f t="shared" si="13"/>
        <v>100</v>
      </c>
      <c r="V28" s="704" t="s">
        <v>18</v>
      </c>
      <c r="W28" s="705">
        <f t="shared" si="14"/>
        <v>100</v>
      </c>
      <c r="X28" s="1354"/>
      <c r="Y28" s="371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6"/>
      <c r="Q29" s="1351">
        <f t="shared" si="11"/>
        <v>111</v>
      </c>
      <c r="R29" s="704" t="s">
        <v>18</v>
      </c>
      <c r="S29" s="705">
        <f t="shared" si="12"/>
        <v>100</v>
      </c>
      <c r="T29" s="704" t="s">
        <v>18</v>
      </c>
      <c r="U29" s="705">
        <f t="shared" si="13"/>
        <v>100</v>
      </c>
      <c r="V29" s="704" t="s">
        <v>18</v>
      </c>
      <c r="W29" s="705">
        <f t="shared" si="14"/>
        <v>100</v>
      </c>
      <c r="X29" s="1354"/>
      <c r="Y29" s="371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6"/>
      <c r="Q30" s="1351">
        <f t="shared" si="11"/>
        <v>111</v>
      </c>
      <c r="R30" s="704" t="s">
        <v>18</v>
      </c>
      <c r="S30" s="705">
        <f t="shared" si="12"/>
        <v>100</v>
      </c>
      <c r="T30" s="704" t="s">
        <v>18</v>
      </c>
      <c r="U30" s="705">
        <f t="shared" si="13"/>
        <v>100</v>
      </c>
      <c r="V30" s="704" t="s">
        <v>18</v>
      </c>
      <c r="W30" s="705">
        <f t="shared" si="14"/>
        <v>100</v>
      </c>
      <c r="X30" s="1354"/>
      <c r="Y30" s="371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6"/>
      <c r="Q31" s="1351">
        <f t="shared" si="11"/>
        <v>111</v>
      </c>
      <c r="R31" s="704" t="s">
        <v>18</v>
      </c>
      <c r="S31" s="705">
        <f t="shared" si="12"/>
        <v>100</v>
      </c>
      <c r="T31" s="704" t="s">
        <v>18</v>
      </c>
      <c r="U31" s="705">
        <f t="shared" si="13"/>
        <v>100</v>
      </c>
      <c r="V31" s="704" t="s">
        <v>18</v>
      </c>
      <c r="W31" s="705">
        <f t="shared" si="14"/>
        <v>100</v>
      </c>
      <c r="X31" s="1354"/>
      <c r="Y31" s="3718"/>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9" t="s">
        <v>1694</v>
      </c>
      <c r="Q32" s="1351" t="str">
        <f t="shared" si="11"/>
        <v>建筑类型</v>
      </c>
      <c r="R32" s="704" t="s">
        <v>18</v>
      </c>
      <c r="S32" s="705">
        <f t="shared" si="12"/>
        <v>100</v>
      </c>
      <c r="T32" s="704" t="s">
        <v>18</v>
      </c>
      <c r="U32" s="705">
        <f t="shared" si="13"/>
        <v>100</v>
      </c>
      <c r="V32" s="704" t="s">
        <v>18</v>
      </c>
      <c r="W32" s="705">
        <f t="shared" si="14"/>
        <v>100</v>
      </c>
      <c r="X32" s="1354"/>
      <c r="Y32" s="3722"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0"/>
      <c r="Q34" s="1351" t="str">
        <f t="shared" si="11"/>
        <v>建筑结构</v>
      </c>
      <c r="R34" s="704" t="s">
        <v>18</v>
      </c>
      <c r="S34" s="705">
        <f t="shared" si="12"/>
        <v>100</v>
      </c>
      <c r="T34" s="704" t="s">
        <v>18</v>
      </c>
      <c r="U34" s="705">
        <f t="shared" si="13"/>
        <v>100</v>
      </c>
      <c r="V34" s="704" t="s">
        <v>18</v>
      </c>
      <c r="W34" s="705">
        <f t="shared" si="14"/>
        <v>100</v>
      </c>
      <c r="X34" s="1354"/>
      <c r="Y34" s="3722"/>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0"/>
      <c r="Q35" s="1351" t="str">
        <f t="shared" si="11"/>
        <v>建筑品质</v>
      </c>
      <c r="R35" s="704" t="s">
        <v>18</v>
      </c>
      <c r="S35" s="705">
        <f t="shared" si="12"/>
        <v>100</v>
      </c>
      <c r="T35" s="704" t="s">
        <v>18</v>
      </c>
      <c r="U35" s="705">
        <f t="shared" si="13"/>
        <v>100</v>
      </c>
      <c r="V35" s="704" t="s">
        <v>18</v>
      </c>
      <c r="W35" s="705">
        <f t="shared" si="14"/>
        <v>100</v>
      </c>
      <c r="X35" s="1354"/>
      <c r="Y35" s="3722"/>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0"/>
      <c r="Q36" s="1351" t="str">
        <f t="shared" si="11"/>
        <v>公共部分装修</v>
      </c>
      <c r="R36" s="704" t="s">
        <v>18</v>
      </c>
      <c r="S36" s="705">
        <f t="shared" si="12"/>
        <v>100</v>
      </c>
      <c r="T36" s="704" t="s">
        <v>18</v>
      </c>
      <c r="U36" s="705">
        <f t="shared" si="13"/>
        <v>100</v>
      </c>
      <c r="V36" s="704" t="s">
        <v>18</v>
      </c>
      <c r="W36" s="705">
        <f t="shared" si="14"/>
        <v>100</v>
      </c>
      <c r="X36" s="1354"/>
      <c r="Y36" s="3722"/>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0"/>
      <c r="Q37" s="1342"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0" t="s">
        <v>1694</v>
      </c>
      <c r="Q38" s="1351" t="str">
        <f t="shared" si="11"/>
        <v>物业管理</v>
      </c>
      <c r="R38" s="704" t="s">
        <v>18</v>
      </c>
      <c r="S38" s="705">
        <f t="shared" si="12"/>
        <v>100</v>
      </c>
      <c r="T38" s="704" t="s">
        <v>18</v>
      </c>
      <c r="U38" s="705">
        <f t="shared" si="13"/>
        <v>100</v>
      </c>
      <c r="V38" s="704" t="s">
        <v>18</v>
      </c>
      <c r="W38" s="705">
        <f t="shared" si="14"/>
        <v>100</v>
      </c>
      <c r="X38" s="1354"/>
      <c r="Y38" s="3722"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0"/>
      <c r="Q39" s="1351" t="str">
        <f t="shared" si="11"/>
        <v>市政基础设施</v>
      </c>
      <c r="R39" s="704" t="s">
        <v>18</v>
      </c>
      <c r="S39" s="705">
        <f t="shared" si="12"/>
        <v>100</v>
      </c>
      <c r="T39" s="704" t="s">
        <v>18</v>
      </c>
      <c r="U39" s="705">
        <f t="shared" si="13"/>
        <v>100</v>
      </c>
      <c r="V39" s="704" t="s">
        <v>18</v>
      </c>
      <c r="W39" s="705">
        <f t="shared" si="14"/>
        <v>100</v>
      </c>
      <c r="X39" s="1354"/>
      <c r="Y39" s="3722"/>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0"/>
      <c r="Q40" s="1351" t="str">
        <f t="shared" si="11"/>
        <v>房型</v>
      </c>
      <c r="R40" s="704" t="s">
        <v>18</v>
      </c>
      <c r="S40" s="705">
        <f t="shared" si="12"/>
        <v>100</v>
      </c>
      <c r="T40" s="704" t="s">
        <v>18</v>
      </c>
      <c r="U40" s="705">
        <f t="shared" si="13"/>
        <v>100</v>
      </c>
      <c r="V40" s="704" t="s">
        <v>18</v>
      </c>
      <c r="W40" s="705">
        <f t="shared" si="14"/>
        <v>100</v>
      </c>
      <c r="X40" s="1354"/>
      <c r="Y40" s="3722"/>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0"/>
      <c r="Q42" s="1351" t="str">
        <f t="shared" si="11"/>
        <v>内部装修</v>
      </c>
      <c r="R42" s="704" t="s">
        <v>18</v>
      </c>
      <c r="S42" s="705">
        <f t="shared" si="12"/>
        <v>100</v>
      </c>
      <c r="T42" s="704" t="s">
        <v>18</v>
      </c>
      <c r="U42" s="705">
        <f t="shared" si="13"/>
        <v>100</v>
      </c>
      <c r="V42" s="704" t="s">
        <v>18</v>
      </c>
      <c r="W42" s="705">
        <f t="shared" si="14"/>
        <v>100</v>
      </c>
      <c r="X42" s="1354"/>
      <c r="Y42" s="3722"/>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0"/>
      <c r="Q43" s="1351" t="str">
        <f t="shared" si="11"/>
        <v>内部装修维护情况</v>
      </c>
      <c r="R43" s="704" t="s">
        <v>18</v>
      </c>
      <c r="S43" s="705">
        <f t="shared" si="12"/>
        <v>100</v>
      </c>
      <c r="T43" s="704" t="s">
        <v>18</v>
      </c>
      <c r="U43" s="705">
        <f t="shared" si="13"/>
        <v>100</v>
      </c>
      <c r="V43" s="704" t="s">
        <v>18</v>
      </c>
      <c r="W43" s="705">
        <f t="shared" si="14"/>
        <v>100</v>
      </c>
      <c r="X43" s="1354"/>
      <c r="Y43" s="372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0"/>
      <c r="Q44" s="1342">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0"/>
      <c r="Q45" s="1351">
        <f t="shared" si="11"/>
        <v>111</v>
      </c>
      <c r="R45" s="704" t="s">
        <v>18</v>
      </c>
      <c r="S45" s="705">
        <f t="shared" si="12"/>
        <v>100</v>
      </c>
      <c r="T45" s="704" t="s">
        <v>18</v>
      </c>
      <c r="U45" s="705">
        <f t="shared" si="13"/>
        <v>100</v>
      </c>
      <c r="V45" s="704" t="s">
        <v>18</v>
      </c>
      <c r="W45" s="705">
        <f t="shared" si="14"/>
        <v>100</v>
      </c>
      <c r="X45" s="1354"/>
      <c r="Y45" s="372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1"/>
      <c r="Q46" s="1351">
        <f t="shared" si="11"/>
        <v>111</v>
      </c>
      <c r="R46" s="704" t="s">
        <v>17</v>
      </c>
      <c r="S46" s="705">
        <f t="shared" si="12"/>
        <v>100</v>
      </c>
      <c r="T46" s="704" t="s">
        <v>17</v>
      </c>
      <c r="U46" s="705">
        <f t="shared" si="13"/>
        <v>100</v>
      </c>
      <c r="V46" s="704" t="s">
        <v>17</v>
      </c>
      <c r="W46" s="705">
        <f t="shared" si="14"/>
        <v>100</v>
      </c>
      <c r="X46" s="1354"/>
      <c r="Y46" s="3723"/>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724" t="str">
        <f>A47</f>
        <v>成交单价（元/平方米）</v>
      </c>
      <c r="Q47" s="3724"/>
      <c r="R47" s="3725">
        <f>E47</f>
        <v>0</v>
      </c>
      <c r="S47" s="3725"/>
      <c r="T47" s="3725">
        <f>G47</f>
        <v>0</v>
      </c>
      <c r="U47" s="3725"/>
      <c r="V47" s="3725">
        <f>I47</f>
        <v>0</v>
      </c>
      <c r="W47" s="372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2389.2399999999998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912"/>
      <c r="M4" s="913"/>
      <c r="N4" s="913"/>
      <c r="O4" s="913"/>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t="s">
        <v>1672</v>
      </c>
      <c r="F5" s="3694"/>
      <c r="G5" s="3695" t="s">
        <v>1673</v>
      </c>
      <c r="H5" s="3696"/>
      <c r="I5" s="3695" t="s">
        <v>1674</v>
      </c>
      <c r="J5" s="3696"/>
      <c r="K5" s="559"/>
      <c r="L5" s="912"/>
      <c r="M5" s="913"/>
      <c r="N5" s="913"/>
      <c r="O5" s="913"/>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559" t="s">
        <v>1676</v>
      </c>
      <c r="L6" s="912"/>
      <c r="M6" s="913"/>
      <c r="N6" s="913"/>
      <c r="O6" s="913"/>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4"/>
      <c r="M7" s="915"/>
      <c r="N7" s="915"/>
      <c r="O7" s="915"/>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7" t="s">
        <v>1681</v>
      </c>
      <c r="Q8" s="3688"/>
      <c r="R8" s="700" t="s">
        <v>14</v>
      </c>
      <c r="S8" s="701">
        <f t="shared" si="0"/>
        <v>100</v>
      </c>
      <c r="T8" s="700" t="s">
        <v>14</v>
      </c>
      <c r="U8" s="701">
        <f t="shared" si="1"/>
        <v>100</v>
      </c>
      <c r="V8" s="700" t="s">
        <v>14</v>
      </c>
      <c r="W8" s="701">
        <f t="shared" si="2"/>
        <v>100</v>
      </c>
      <c r="X8" s="702"/>
      <c r="Y8" s="3687" t="s">
        <v>1681</v>
      </c>
      <c r="Z8" s="3688"/>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4"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24"/>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4"/>
      <c r="Q11" s="1342" t="str">
        <f t="shared" si="6"/>
        <v>容积率</v>
      </c>
      <c r="R11" s="700" t="s">
        <v>14</v>
      </c>
      <c r="S11" s="701">
        <f t="shared" si="0"/>
        <v>100</v>
      </c>
      <c r="T11" s="700" t="s">
        <v>14</v>
      </c>
      <c r="U11" s="701">
        <f t="shared" si="1"/>
        <v>100</v>
      </c>
      <c r="V11" s="700" t="s">
        <v>14</v>
      </c>
      <c r="W11" s="701">
        <f t="shared" si="2"/>
        <v>100</v>
      </c>
      <c r="X11" s="702"/>
      <c r="Y11" s="365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4"/>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8"/>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8"/>
      <c r="Q18" s="1351"/>
      <c r="R18" s="704"/>
      <c r="S18" s="705"/>
      <c r="T18" s="704"/>
      <c r="U18" s="705"/>
      <c r="V18" s="704"/>
      <c r="W18" s="705"/>
      <c r="X18" s="1354"/>
      <c r="Y18" s="3718"/>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8"/>
      <c r="Q20" s="1351"/>
      <c r="R20" s="704"/>
      <c r="S20" s="705"/>
      <c r="T20" s="704"/>
      <c r="U20" s="705"/>
      <c r="V20" s="704"/>
      <c r="W20" s="705"/>
      <c r="X20" s="1354"/>
      <c r="Y20" s="3718"/>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8"/>
      <c r="Q22" s="1351"/>
      <c r="R22" s="704"/>
      <c r="S22" s="705"/>
      <c r="T22" s="704"/>
      <c r="U22" s="705"/>
      <c r="V22" s="704"/>
      <c r="W22" s="705"/>
      <c r="X22" s="1354"/>
      <c r="Y22" s="3718"/>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8"/>
      <c r="Q24" s="1351"/>
      <c r="R24" s="704"/>
      <c r="S24" s="705"/>
      <c r="T24" s="704"/>
      <c r="U24" s="705"/>
      <c r="V24" s="704"/>
      <c r="W24" s="705"/>
      <c r="X24" s="1354"/>
      <c r="Y24" s="371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51">
        <f>B25</f>
        <v>111</v>
      </c>
      <c r="R25" s="704" t="s">
        <v>14</v>
      </c>
      <c r="S25" s="705">
        <f>F25</f>
        <v>100</v>
      </c>
      <c r="T25" s="704" t="s">
        <v>14</v>
      </c>
      <c r="U25" s="705">
        <f>H25</f>
        <v>100</v>
      </c>
      <c r="V25" s="704" t="s">
        <v>14</v>
      </c>
      <c r="W25" s="705">
        <f>J25</f>
        <v>100</v>
      </c>
      <c r="X25" s="1354"/>
      <c r="Y25" s="371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51">
        <f t="shared" ref="Q26:Q40" si="11">B26</f>
        <v>111</v>
      </c>
      <c r="R26" s="704" t="s">
        <v>14</v>
      </c>
      <c r="S26" s="705">
        <f>F26</f>
        <v>100</v>
      </c>
      <c r="T26" s="704" t="s">
        <v>14</v>
      </c>
      <c r="U26" s="705">
        <f>H26</f>
        <v>100</v>
      </c>
      <c r="V26" s="704" t="s">
        <v>14</v>
      </c>
      <c r="W26" s="705">
        <f>J26</f>
        <v>100</v>
      </c>
      <c r="X26" s="1354"/>
      <c r="Y26" s="371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2">
        <f t="shared" si="11"/>
        <v>111</v>
      </c>
      <c r="R27" s="700" t="s">
        <v>14</v>
      </c>
      <c r="S27" s="701">
        <f>F27</f>
        <v>100</v>
      </c>
      <c r="T27" s="700" t="s">
        <v>14</v>
      </c>
      <c r="U27" s="701">
        <f>H27</f>
        <v>100</v>
      </c>
      <c r="V27" s="700" t="s">
        <v>14</v>
      </c>
      <c r="W27" s="701">
        <f>J27</f>
        <v>100</v>
      </c>
      <c r="X27" s="702"/>
      <c r="Y27" s="371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51">
        <f t="shared" si="11"/>
        <v>111</v>
      </c>
      <c r="R28" s="704" t="s">
        <v>14</v>
      </c>
      <c r="S28" s="705">
        <f t="shared" ref="S28:S40" si="12">F28</f>
        <v>100</v>
      </c>
      <c r="T28" s="704" t="s">
        <v>14</v>
      </c>
      <c r="U28" s="705">
        <f t="shared" ref="U28:U40" si="13">H28</f>
        <v>100</v>
      </c>
      <c r="V28" s="704" t="s">
        <v>14</v>
      </c>
      <c r="W28" s="705">
        <f t="shared" ref="W28:W40" si="14">J28</f>
        <v>100</v>
      </c>
      <c r="X28" s="1354"/>
      <c r="Y28" s="3718"/>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5" t="s">
        <v>1694</v>
      </c>
      <c r="Q29" s="1351" t="str">
        <f t="shared" si="11"/>
        <v>建筑类型</v>
      </c>
      <c r="R29" s="704" t="s">
        <v>14</v>
      </c>
      <c r="S29" s="705">
        <f t="shared" si="12"/>
        <v>100</v>
      </c>
      <c r="T29" s="704" t="s">
        <v>14</v>
      </c>
      <c r="U29" s="705">
        <f t="shared" si="13"/>
        <v>100</v>
      </c>
      <c r="V29" s="704" t="s">
        <v>14</v>
      </c>
      <c r="W29" s="705">
        <f t="shared" si="14"/>
        <v>100</v>
      </c>
      <c r="X29" s="1354"/>
      <c r="Y29" s="3722"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51" t="str">
        <f t="shared" si="11"/>
        <v>建筑结构</v>
      </c>
      <c r="R31" s="704" t="s">
        <v>14</v>
      </c>
      <c r="S31" s="705">
        <f t="shared" si="12"/>
        <v>100</v>
      </c>
      <c r="T31" s="704" t="s">
        <v>14</v>
      </c>
      <c r="U31" s="705">
        <f t="shared" si="13"/>
        <v>100</v>
      </c>
      <c r="V31" s="704" t="s">
        <v>14</v>
      </c>
      <c r="W31" s="705">
        <f t="shared" si="14"/>
        <v>100</v>
      </c>
      <c r="X31" s="1354"/>
      <c r="Y31" s="3722"/>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51" t="str">
        <f t="shared" si="11"/>
        <v>公共部分装修</v>
      </c>
      <c r="R32" s="704" t="s">
        <v>14</v>
      </c>
      <c r="S32" s="705">
        <f t="shared" si="12"/>
        <v>100</v>
      </c>
      <c r="T32" s="704" t="s">
        <v>14</v>
      </c>
      <c r="U32" s="705">
        <f t="shared" si="13"/>
        <v>100</v>
      </c>
      <c r="V32" s="704" t="s">
        <v>14</v>
      </c>
      <c r="W32" s="705">
        <f t="shared" si="14"/>
        <v>100</v>
      </c>
      <c r="X32" s="1354"/>
      <c r="Y32" s="3722"/>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51" t="str">
        <f t="shared" si="11"/>
        <v>成新度</v>
      </c>
      <c r="R33" s="704" t="s">
        <v>14</v>
      </c>
      <c r="S33" s="705" t="e">
        <f t="shared" si="12"/>
        <v>#N/A</v>
      </c>
      <c r="T33" s="704" t="s">
        <v>14</v>
      </c>
      <c r="U33" s="705" t="e">
        <f t="shared" si="13"/>
        <v>#N/A</v>
      </c>
      <c r="V33" s="704" t="s">
        <v>14</v>
      </c>
      <c r="W33" s="705" t="e">
        <f t="shared" si="14"/>
        <v>#N/A</v>
      </c>
      <c r="X33" s="1354"/>
      <c r="Y33" s="3722"/>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2"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1694</v>
      </c>
      <c r="Q35" s="1351" t="str">
        <f t="shared" si="11"/>
        <v>市政基础设施</v>
      </c>
      <c r="R35" s="704" t="s">
        <v>14</v>
      </c>
      <c r="S35" s="705">
        <f t="shared" si="12"/>
        <v>100</v>
      </c>
      <c r="T35" s="704" t="s">
        <v>14</v>
      </c>
      <c r="U35" s="705">
        <f t="shared" si="13"/>
        <v>100</v>
      </c>
      <c r="V35" s="704" t="s">
        <v>14</v>
      </c>
      <c r="W35" s="705">
        <f t="shared" si="14"/>
        <v>100</v>
      </c>
      <c r="X35" s="1354"/>
      <c r="Y35" s="3722"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51" t="str">
        <f t="shared" si="11"/>
        <v>内部装修</v>
      </c>
      <c r="R36" s="704" t="s">
        <v>14</v>
      </c>
      <c r="S36" s="705">
        <f t="shared" si="12"/>
        <v>100</v>
      </c>
      <c r="T36" s="704" t="s">
        <v>14</v>
      </c>
      <c r="U36" s="705">
        <f t="shared" si="13"/>
        <v>100</v>
      </c>
      <c r="V36" s="704" t="s">
        <v>14</v>
      </c>
      <c r="W36" s="705">
        <f t="shared" si="14"/>
        <v>100</v>
      </c>
      <c r="X36" s="1354"/>
      <c r="Y36" s="3722"/>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51" t="str">
        <f t="shared" si="11"/>
        <v>内部装修状况</v>
      </c>
      <c r="R37" s="704" t="s">
        <v>14</v>
      </c>
      <c r="S37" s="705">
        <f t="shared" si="12"/>
        <v>100</v>
      </c>
      <c r="T37" s="704" t="s">
        <v>14</v>
      </c>
      <c r="U37" s="705">
        <f t="shared" si="13"/>
        <v>100</v>
      </c>
      <c r="V37" s="704" t="s">
        <v>14</v>
      </c>
      <c r="W37" s="705">
        <f t="shared" si="14"/>
        <v>100</v>
      </c>
      <c r="X37" s="1354"/>
      <c r="Y37" s="372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51">
        <f t="shared" si="11"/>
        <v>111</v>
      </c>
      <c r="R39" s="704" t="s">
        <v>14</v>
      </c>
      <c r="S39" s="705">
        <f t="shared" si="12"/>
        <v>100</v>
      </c>
      <c r="T39" s="704" t="s">
        <v>14</v>
      </c>
      <c r="U39" s="705">
        <f t="shared" si="13"/>
        <v>100</v>
      </c>
      <c r="V39" s="704" t="s">
        <v>14</v>
      </c>
      <c r="W39" s="705">
        <f t="shared" si="14"/>
        <v>100</v>
      </c>
      <c r="X39" s="1354"/>
      <c r="Y39" s="372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51">
        <f t="shared" si="11"/>
        <v>111</v>
      </c>
      <c r="R40" s="704" t="s">
        <v>14</v>
      </c>
      <c r="S40" s="705">
        <f t="shared" si="12"/>
        <v>100</v>
      </c>
      <c r="T40" s="704" t="s">
        <v>14</v>
      </c>
      <c r="U40" s="705">
        <f t="shared" si="13"/>
        <v>100</v>
      </c>
      <c r="V40" s="704" t="s">
        <v>14</v>
      </c>
      <c r="W40" s="705">
        <f t="shared" si="14"/>
        <v>100</v>
      </c>
      <c r="X40" s="1354"/>
      <c r="Y40" s="3723"/>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24" t="str">
        <f>A41</f>
        <v>成交单价（元/平方米）</v>
      </c>
      <c r="Q41" s="3724"/>
      <c r="R41" s="3725">
        <f>E41</f>
        <v>0</v>
      </c>
      <c r="S41" s="3725"/>
      <c r="T41" s="3725">
        <f>G41</f>
        <v>0</v>
      </c>
      <c r="U41" s="3725"/>
      <c r="V41" s="3725">
        <f>I41</f>
        <v>0</v>
      </c>
      <c r="W41" s="372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估价对象为北京市房地产,属开发建设的办公项目，该项目尚在开发建设中。根据《国有土地使用证》[]，估价对象（分摊）出让国有建设用地使用权面积为0平方米，规划建筑面积为2389.24平方米。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7" t="s">
        <v>1678</v>
      </c>
      <c r="Q7" s="3714"/>
      <c r="R7" s="700" t="s">
        <v>14</v>
      </c>
      <c r="S7" s="701">
        <f t="shared" ref="S7:S14" si="0">F7</f>
        <v>0</v>
      </c>
      <c r="T7" s="700" t="s">
        <v>14</v>
      </c>
      <c r="U7" s="701">
        <f t="shared" ref="U7:U14" si="1">H7</f>
        <v>0</v>
      </c>
      <c r="V7" s="700" t="s">
        <v>14</v>
      </c>
      <c r="W7" s="701">
        <f t="shared" ref="W7:W14"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1684</v>
      </c>
      <c r="Q9" s="1342" t="str">
        <f t="shared" ref="Q9:Q14" si="6">B9</f>
        <v>用途</v>
      </c>
      <c r="R9" s="700" t="s">
        <v>14</v>
      </c>
      <c r="S9" s="701">
        <f t="shared" si="0"/>
        <v>100</v>
      </c>
      <c r="T9" s="700" t="s">
        <v>14</v>
      </c>
      <c r="U9" s="701">
        <f t="shared" si="1"/>
        <v>100</v>
      </c>
      <c r="V9" s="700" t="s">
        <v>14</v>
      </c>
      <c r="W9" s="701">
        <f t="shared" si="2"/>
        <v>100</v>
      </c>
      <c r="X9" s="702"/>
      <c r="Y9" s="3651"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0" t="s">
        <v>14</v>
      </c>
      <c r="S11" s="701">
        <f t="shared" si="0"/>
        <v>100</v>
      </c>
      <c r="T11" s="700" t="s">
        <v>14</v>
      </c>
      <c r="U11" s="701">
        <f t="shared" si="1"/>
        <v>100</v>
      </c>
      <c r="V11" s="700" t="s">
        <v>14</v>
      </c>
      <c r="W11" s="701">
        <f t="shared" si="2"/>
        <v>100</v>
      </c>
      <c r="X11" s="702"/>
      <c r="Y11" s="365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18"/>
      <c r="Q15" s="1351"/>
      <c r="R15" s="704"/>
      <c r="S15" s="705"/>
      <c r="T15" s="704"/>
      <c r="U15" s="705"/>
      <c r="V15" s="704"/>
      <c r="W15" s="705"/>
      <c r="X15" s="1354"/>
      <c r="Y15" s="3718"/>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18"/>
      <c r="Q17" s="1351"/>
      <c r="R17" s="704"/>
      <c r="S17" s="705"/>
      <c r="T17" s="704"/>
      <c r="U17" s="705"/>
      <c r="V17" s="704"/>
      <c r="W17" s="705"/>
      <c r="X17" s="1354"/>
      <c r="Y17" s="3718"/>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18"/>
      <c r="Q19" s="1351"/>
      <c r="R19" s="704"/>
      <c r="S19" s="705"/>
      <c r="T19" s="704"/>
      <c r="U19" s="705"/>
      <c r="V19" s="704"/>
      <c r="W19" s="705"/>
      <c r="X19" s="1354"/>
      <c r="Y19" s="3718"/>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18"/>
      <c r="Q21" s="1351"/>
      <c r="R21" s="704"/>
      <c r="S21" s="705"/>
      <c r="T21" s="704"/>
      <c r="U21" s="705"/>
      <c r="V21" s="704"/>
      <c r="W21" s="705"/>
      <c r="X21" s="1354"/>
      <c r="Y21" s="3718"/>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8"/>
      <c r="Q24" s="1351">
        <f t="shared" ref="Q24:Q36"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5"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2"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2"/>
      <c r="Q28" s="1351" t="str">
        <f t="shared" si="11"/>
        <v>公共部分装修</v>
      </c>
      <c r="R28" s="704" t="s">
        <v>14</v>
      </c>
      <c r="S28" s="705">
        <f t="shared" si="12"/>
        <v>100</v>
      </c>
      <c r="T28" s="704" t="s">
        <v>14</v>
      </c>
      <c r="U28" s="705">
        <f t="shared" si="13"/>
        <v>100</v>
      </c>
      <c r="V28" s="704" t="s">
        <v>14</v>
      </c>
      <c r="W28" s="705">
        <f t="shared" si="14"/>
        <v>100</v>
      </c>
      <c r="X28" s="1354"/>
      <c r="Y28" s="3722"/>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2"/>
      <c r="Q29" s="1351" t="str">
        <f t="shared" si="11"/>
        <v>成新率</v>
      </c>
      <c r="R29" s="704" t="s">
        <v>14</v>
      </c>
      <c r="S29" s="705" t="e">
        <f t="shared" si="12"/>
        <v>#N/A</v>
      </c>
      <c r="T29" s="704" t="s">
        <v>14</v>
      </c>
      <c r="U29" s="705" t="e">
        <f t="shared" si="13"/>
        <v>#N/A</v>
      </c>
      <c r="V29" s="704" t="s">
        <v>14</v>
      </c>
      <c r="W29" s="705" t="e">
        <f t="shared" si="14"/>
        <v>#N/A</v>
      </c>
      <c r="X29" s="1354"/>
      <c r="Y29" s="3722"/>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22"/>
      <c r="Q30" s="1351" t="str">
        <f t="shared" si="11"/>
        <v>物业等级</v>
      </c>
      <c r="R30" s="704" t="s">
        <v>14</v>
      </c>
      <c r="S30" s="705">
        <f t="shared" si="12"/>
        <v>100</v>
      </c>
      <c r="T30" s="704" t="s">
        <v>14</v>
      </c>
      <c r="U30" s="705">
        <f t="shared" si="13"/>
        <v>100</v>
      </c>
      <c r="V30" s="704" t="s">
        <v>14</v>
      </c>
      <c r="W30" s="705">
        <f t="shared" si="14"/>
        <v>100</v>
      </c>
      <c r="X30" s="1354"/>
      <c r="Y30" s="3722"/>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2"/>
      <c r="Q31" s="1342"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2" t="s">
        <v>1694</v>
      </c>
      <c r="Q32" s="1351" t="str">
        <f t="shared" si="11"/>
        <v>车位类型</v>
      </c>
      <c r="R32" s="704" t="s">
        <v>14</v>
      </c>
      <c r="S32" s="705">
        <f t="shared" si="12"/>
        <v>100</v>
      </c>
      <c r="T32" s="704" t="s">
        <v>14</v>
      </c>
      <c r="U32" s="705">
        <f t="shared" si="13"/>
        <v>100</v>
      </c>
      <c r="V32" s="704" t="s">
        <v>14</v>
      </c>
      <c r="W32" s="705">
        <f t="shared" si="14"/>
        <v>100</v>
      </c>
      <c r="X32" s="1354"/>
      <c r="Y32" s="3722"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2"/>
      <c r="Q33" s="1351" t="str">
        <f t="shared" si="11"/>
        <v>是否直接入户</v>
      </c>
      <c r="R33" s="704" t="s">
        <v>14</v>
      </c>
      <c r="S33" s="705">
        <f t="shared" si="12"/>
        <v>100</v>
      </c>
      <c r="T33" s="704" t="s">
        <v>14</v>
      </c>
      <c r="U33" s="705">
        <f t="shared" si="13"/>
        <v>100</v>
      </c>
      <c r="V33" s="704" t="s">
        <v>14</v>
      </c>
      <c r="W33" s="705">
        <f t="shared" si="14"/>
        <v>100</v>
      </c>
      <c r="X33" s="1354"/>
      <c r="Y33" s="372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2"/>
      <c r="Q36" s="1351">
        <f t="shared" si="11"/>
        <v>111</v>
      </c>
      <c r="R36" s="704" t="s">
        <v>14</v>
      </c>
      <c r="S36" s="705">
        <f t="shared" si="12"/>
        <v>100</v>
      </c>
      <c r="T36" s="704" t="s">
        <v>14</v>
      </c>
      <c r="U36" s="705">
        <f t="shared" si="13"/>
        <v>100</v>
      </c>
      <c r="V36" s="704" t="s">
        <v>14</v>
      </c>
      <c r="W36" s="705">
        <f t="shared" si="14"/>
        <v>100</v>
      </c>
      <c r="X36" s="1354"/>
      <c r="Y36" s="3722"/>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724" t="str">
        <f>A37</f>
        <v>成交单价</v>
      </c>
      <c r="Q37" s="3724"/>
      <c r="R37" s="3725">
        <f>E37</f>
        <v>0</v>
      </c>
      <c r="S37" s="3725"/>
      <c r="T37" s="3725">
        <f>G37</f>
        <v>0</v>
      </c>
      <c r="U37" s="3725"/>
      <c r="V37" s="3725">
        <f>I37</f>
        <v>0</v>
      </c>
      <c r="W37" s="372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726" t="str">
        <f>A39</f>
        <v>估价对象XX用房的比较价值（楼面单价，元/平方米）</v>
      </c>
      <c r="Q39" s="3727"/>
      <c r="R39" s="3766" t="e">
        <f>IF(F1="售价",ROUND(IF(D38="简单平均",AVERAGE(R38:W38),R38*F38+T38*H38+V38*J38),0),ROUND(IF(D38="简单平均",AVERAGE(R38:V38),R38*F38+T38*H38+V38*J38),1))</f>
        <v>#DIV/0!</v>
      </c>
      <c r="S39" s="3766"/>
      <c r="T39" s="3766"/>
      <c r="U39" s="3766"/>
      <c r="V39" s="3766"/>
      <c r="W39" s="376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45449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7" t="s">
        <v>1678</v>
      </c>
      <c r="Q7" s="3714"/>
      <c r="R7" s="700" t="s">
        <v>14</v>
      </c>
      <c r="S7" s="701">
        <f t="shared" ref="S7:S14" si="0">F7</f>
        <v>0</v>
      </c>
      <c r="T7" s="700" t="s">
        <v>14</v>
      </c>
      <c r="U7" s="701">
        <f t="shared" ref="U7:U14" si="1">H7</f>
        <v>0</v>
      </c>
      <c r="V7" s="700" t="s">
        <v>14</v>
      </c>
      <c r="W7" s="701">
        <f t="shared" ref="W7:W14" si="2">J7</f>
        <v>0</v>
      </c>
      <c r="X7" s="702"/>
      <c r="Y7" s="3687" t="s">
        <v>1678</v>
      </c>
      <c r="Z7" s="3688"/>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1684</v>
      </c>
      <c r="Q9" s="1342" t="str">
        <f t="shared" ref="Q9:Q14" si="6">B9</f>
        <v>用途</v>
      </c>
      <c r="R9" s="700" t="s">
        <v>14</v>
      </c>
      <c r="S9" s="701">
        <f t="shared" si="0"/>
        <v>100</v>
      </c>
      <c r="T9" s="700" t="s">
        <v>14</v>
      </c>
      <c r="U9" s="701">
        <f t="shared" si="1"/>
        <v>100</v>
      </c>
      <c r="V9" s="700" t="s">
        <v>14</v>
      </c>
      <c r="W9" s="701">
        <f t="shared" si="2"/>
        <v>100</v>
      </c>
      <c r="X9" s="702"/>
      <c r="Y9" s="3651"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0" t="s">
        <v>14</v>
      </c>
      <c r="S10" s="701">
        <f t="shared" si="0"/>
        <v>100</v>
      </c>
      <c r="T10" s="700" t="s">
        <v>14</v>
      </c>
      <c r="U10" s="701">
        <f t="shared" si="1"/>
        <v>100</v>
      </c>
      <c r="V10" s="700" t="s">
        <v>14</v>
      </c>
      <c r="W10" s="701">
        <f t="shared" si="2"/>
        <v>100</v>
      </c>
      <c r="X10" s="702"/>
      <c r="Y10" s="365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0" t="s">
        <v>14</v>
      </c>
      <c r="S11" s="701">
        <f t="shared" si="0"/>
        <v>100</v>
      </c>
      <c r="T11" s="700" t="s">
        <v>14</v>
      </c>
      <c r="U11" s="701">
        <f t="shared" si="1"/>
        <v>100</v>
      </c>
      <c r="V11" s="700" t="s">
        <v>14</v>
      </c>
      <c r="W11" s="701">
        <f t="shared" si="2"/>
        <v>100</v>
      </c>
      <c r="X11" s="702"/>
      <c r="Y11" s="365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8"/>
      <c r="Q15" s="1351"/>
      <c r="R15" s="704"/>
      <c r="S15" s="705"/>
      <c r="T15" s="704"/>
      <c r="U15" s="705"/>
      <c r="V15" s="704"/>
      <c r="W15" s="705"/>
      <c r="X15" s="1354"/>
      <c r="Y15" s="3718"/>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8"/>
      <c r="Q17" s="1351"/>
      <c r="R17" s="704"/>
      <c r="S17" s="705"/>
      <c r="T17" s="704"/>
      <c r="U17" s="705"/>
      <c r="V17" s="704"/>
      <c r="W17" s="705"/>
      <c r="X17" s="1354"/>
      <c r="Y17" s="3718"/>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8"/>
      <c r="Q19" s="1351"/>
      <c r="R19" s="704"/>
      <c r="S19" s="705"/>
      <c r="T19" s="704"/>
      <c r="U19" s="705"/>
      <c r="V19" s="704"/>
      <c r="W19" s="705"/>
      <c r="X19" s="1354"/>
      <c r="Y19" s="3718"/>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8"/>
      <c r="Q21" s="1351"/>
      <c r="R21" s="704"/>
      <c r="S21" s="705"/>
      <c r="T21" s="704"/>
      <c r="U21" s="705"/>
      <c r="V21" s="704"/>
      <c r="W21" s="705"/>
      <c r="X21" s="1354"/>
      <c r="Y21" s="3718"/>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8"/>
      <c r="Q24" s="1351">
        <f t="shared" ref="Q24:Q34"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5"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2"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2"/>
      <c r="Q28" s="1351" t="str">
        <f t="shared" si="11"/>
        <v>物业等级</v>
      </c>
      <c r="R28" s="704" t="s">
        <v>14</v>
      </c>
      <c r="S28" s="705">
        <f t="shared" si="12"/>
        <v>100</v>
      </c>
      <c r="T28" s="704" t="s">
        <v>14</v>
      </c>
      <c r="U28" s="705">
        <f t="shared" si="13"/>
        <v>100</v>
      </c>
      <c r="V28" s="704" t="s">
        <v>14</v>
      </c>
      <c r="W28" s="705">
        <f t="shared" si="14"/>
        <v>100</v>
      </c>
      <c r="X28" s="1354"/>
      <c r="Y28" s="3722"/>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22"/>
      <c r="Q29" s="1351" t="str">
        <f t="shared" si="11"/>
        <v>有无电梯</v>
      </c>
      <c r="R29" s="704" t="s">
        <v>14</v>
      </c>
      <c r="S29" s="705">
        <f t="shared" si="12"/>
        <v>100</v>
      </c>
      <c r="T29" s="704" t="s">
        <v>14</v>
      </c>
      <c r="U29" s="705">
        <f t="shared" si="13"/>
        <v>100</v>
      </c>
      <c r="V29" s="704" t="s">
        <v>14</v>
      </c>
      <c r="W29" s="705">
        <f t="shared" si="14"/>
        <v>100</v>
      </c>
      <c r="X29" s="1354"/>
      <c r="Y29" s="3722"/>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2"/>
      <c r="Q30" s="1351" t="str">
        <f t="shared" si="11"/>
        <v>建筑面积</v>
      </c>
      <c r="R30" s="704" t="s">
        <v>14</v>
      </c>
      <c r="S30" s="705" t="e">
        <f t="shared" si="12"/>
        <v>#N/A</v>
      </c>
      <c r="T30" s="704" t="s">
        <v>14</v>
      </c>
      <c r="U30" s="705" t="e">
        <f t="shared" si="13"/>
        <v>#N/A</v>
      </c>
      <c r="V30" s="704" t="s">
        <v>14</v>
      </c>
      <c r="W30" s="705" t="e">
        <f t="shared" si="14"/>
        <v>#N/A</v>
      </c>
      <c r="X30" s="1354"/>
      <c r="Y30" s="3722"/>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22"/>
      <c r="Q31" s="1342"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2" t="s">
        <v>1694</v>
      </c>
      <c r="Q32" s="1351">
        <f t="shared" si="11"/>
        <v>111</v>
      </c>
      <c r="R32" s="704" t="s">
        <v>14</v>
      </c>
      <c r="S32" s="705">
        <f t="shared" si="12"/>
        <v>100</v>
      </c>
      <c r="T32" s="704" t="s">
        <v>14</v>
      </c>
      <c r="U32" s="705">
        <f t="shared" si="13"/>
        <v>100</v>
      </c>
      <c r="V32" s="704" t="s">
        <v>14</v>
      </c>
      <c r="W32" s="705">
        <f t="shared" si="14"/>
        <v>100</v>
      </c>
      <c r="X32" s="1354"/>
      <c r="Y32" s="3722"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2"/>
      <c r="Q33" s="1351">
        <f t="shared" si="11"/>
        <v>111</v>
      </c>
      <c r="R33" s="704" t="s">
        <v>14</v>
      </c>
      <c r="S33" s="705">
        <f t="shared" si="12"/>
        <v>100</v>
      </c>
      <c r="T33" s="704" t="s">
        <v>14</v>
      </c>
      <c r="U33" s="705">
        <f t="shared" si="13"/>
        <v>100</v>
      </c>
      <c r="V33" s="704" t="s">
        <v>14</v>
      </c>
      <c r="W33" s="705">
        <f t="shared" si="14"/>
        <v>100</v>
      </c>
      <c r="X33" s="1354"/>
      <c r="Y33" s="372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724" t="str">
        <f>A35</f>
        <v>成交单价（元/平方米）</v>
      </c>
      <c r="Q35" s="3724"/>
      <c r="R35" s="3725">
        <f>E35</f>
        <v>0</v>
      </c>
      <c r="S35" s="3725"/>
      <c r="T35" s="3725">
        <f>G35</f>
        <v>0</v>
      </c>
      <c r="U35" s="3725"/>
      <c r="V35" s="3725">
        <f>I35</f>
        <v>0</v>
      </c>
      <c r="W35" s="372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726" t="str">
        <f>A37</f>
        <v>估价对象XX用房的比较价值（楼面单价，元/平方米）</v>
      </c>
      <c r="Q37" s="3727"/>
      <c r="R37" s="3766" t="e">
        <f>IF(F1="售价",ROUND(IF(D36="简单平均",AVERAGE(R36:W36),R36*F36+T36*H36+V36*J36),0),ROUND(IF(D36="简单平均",AVERAGE(R36:V36),R36*F36+T36*H36+V36*J36),1))</f>
        <v>#DIV/0!</v>
      </c>
      <c r="S37" s="3766"/>
      <c r="T37" s="3766"/>
      <c r="U37" s="3766"/>
      <c r="V37" s="3766"/>
      <c r="W37" s="376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30" ht="15">
      <c r="A5" s="358"/>
      <c r="B5" s="359"/>
      <c r="C5" s="3695" t="s">
        <v>1671</v>
      </c>
      <c r="D5" s="3696"/>
      <c r="E5" s="3693" t="s">
        <v>1672</v>
      </c>
      <c r="F5" s="3694"/>
      <c r="G5" s="3695" t="s">
        <v>1673</v>
      </c>
      <c r="H5" s="3696"/>
      <c r="I5" s="3695" t="s">
        <v>1674</v>
      </c>
      <c r="J5" s="3696"/>
      <c r="K5" s="559"/>
      <c r="L5" s="2714"/>
      <c r="M5" s="2715"/>
      <c r="N5" s="2715"/>
      <c r="O5" s="2715"/>
      <c r="P5" s="3708"/>
      <c r="Q5" s="3709"/>
      <c r="R5" s="3691"/>
      <c r="S5" s="3692"/>
      <c r="T5" s="3691"/>
      <c r="U5" s="3692"/>
      <c r="V5" s="3686"/>
      <c r="W5" s="3686"/>
      <c r="X5" s="1354"/>
      <c r="Y5" s="3691"/>
      <c r="Z5" s="3692"/>
      <c r="AA5" s="3684"/>
      <c r="AB5" s="3684"/>
      <c r="AC5" s="3684"/>
    </row>
    <row r="6" spans="1:30"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1"/>
      <c r="S6" s="3692"/>
      <c r="T6" s="3712"/>
      <c r="U6" s="3713"/>
      <c r="V6" s="3686"/>
      <c r="W6" s="3686"/>
      <c r="X6" s="1354"/>
      <c r="Y6" s="3712"/>
      <c r="Z6" s="3713"/>
      <c r="AA6" s="3685"/>
      <c r="AB6" s="3685"/>
      <c r="AC6" s="3685"/>
    </row>
    <row r="7" spans="1:30" s="108" customFormat="1" ht="15.75" thickBot="1">
      <c r="A7" s="362" t="s">
        <v>1677</v>
      </c>
      <c r="B7" s="363"/>
      <c r="C7" s="364">
        <f>'数据-取费表'!B2</f>
        <v>45449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7" t="s">
        <v>1681</v>
      </c>
      <c r="Q8" s="3688"/>
      <c r="R8" s="700" t="s">
        <v>14</v>
      </c>
      <c r="S8" s="701">
        <f t="shared" si="0"/>
        <v>0</v>
      </c>
      <c r="T8" s="700" t="s">
        <v>14</v>
      </c>
      <c r="U8" s="701">
        <f t="shared" si="1"/>
        <v>0</v>
      </c>
      <c r="V8" s="700" t="s">
        <v>14</v>
      </c>
      <c r="W8" s="701">
        <f t="shared" si="2"/>
        <v>0</v>
      </c>
      <c r="X8" s="702"/>
      <c r="Y8" s="3687" t="s">
        <v>1681</v>
      </c>
      <c r="Z8" s="3688"/>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110</v>
      </c>
      <c r="G10" s="414"/>
      <c r="H10" s="127">
        <f>ROUND(100/'数据-取费表'!G16,0)</f>
        <v>110</v>
      </c>
      <c r="I10" s="414"/>
      <c r="J10" s="127">
        <f>ROUND(100/'数据-取费表'!G16,0)</f>
        <v>110</v>
      </c>
      <c r="K10" s="619"/>
      <c r="L10" s="2718"/>
      <c r="M10" s="2719"/>
      <c r="N10" s="2719"/>
      <c r="O10" s="2772"/>
      <c r="P10" s="3724"/>
      <c r="Q10" s="1342" t="str">
        <f t="shared" si="6"/>
        <v>土地使用年限（年）</v>
      </c>
      <c r="R10" s="700" t="s">
        <v>14</v>
      </c>
      <c r="S10" s="701">
        <f t="shared" si="0"/>
        <v>110</v>
      </c>
      <c r="T10" s="700" t="s">
        <v>14</v>
      </c>
      <c r="U10" s="701">
        <f t="shared" si="1"/>
        <v>110</v>
      </c>
      <c r="V10" s="700" t="s">
        <v>14</v>
      </c>
      <c r="W10" s="701">
        <f t="shared" si="2"/>
        <v>110</v>
      </c>
      <c r="X10" s="702"/>
      <c r="Y10" s="3651"/>
      <c r="Z10" s="52" t="str">
        <f t="shared" si="7"/>
        <v>土地使用年限（年）</v>
      </c>
      <c r="AA10" s="703">
        <f t="shared" si="3"/>
        <v>0.90909090909090906</v>
      </c>
      <c r="AB10" s="703">
        <f t="shared" si="4"/>
        <v>0.90909090909090906</v>
      </c>
      <c r="AC10" s="703">
        <f t="shared" si="5"/>
        <v>0.90909090909090906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24"/>
      <c r="Q11" s="1342" t="str">
        <f t="shared" si="6"/>
        <v>容积率</v>
      </c>
      <c r="R11" s="700" t="s">
        <v>14</v>
      </c>
      <c r="S11" s="701" t="e">
        <f t="shared" si="0"/>
        <v>#N/A</v>
      </c>
      <c r="T11" s="700" t="s">
        <v>14</v>
      </c>
      <c r="U11" s="701" t="e">
        <f t="shared" si="1"/>
        <v>#N/A</v>
      </c>
      <c r="V11" s="700" t="s">
        <v>14</v>
      </c>
      <c r="W11" s="701" t="e">
        <f t="shared" si="2"/>
        <v>#N/A</v>
      </c>
      <c r="X11" s="702"/>
      <c r="Y11" s="3651"/>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24"/>
      <c r="Q12" s="1342" t="str">
        <f t="shared" si="6"/>
        <v>配建</v>
      </c>
      <c r="R12" s="700" t="s">
        <v>14</v>
      </c>
      <c r="S12" s="701">
        <f t="shared" si="0"/>
        <v>100</v>
      </c>
      <c r="T12" s="700" t="s">
        <v>14</v>
      </c>
      <c r="U12" s="701">
        <f t="shared" si="1"/>
        <v>100</v>
      </c>
      <c r="V12" s="700" t="s">
        <v>14</v>
      </c>
      <c r="W12" s="701">
        <f t="shared" si="2"/>
        <v>100</v>
      </c>
      <c r="X12" s="702"/>
      <c r="Y12" s="365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1"/>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17" t="s">
        <v>1689</v>
      </c>
      <c r="Q15" s="1351" t="str">
        <f t="shared" si="6"/>
        <v>居住社区成熟度</v>
      </c>
      <c r="R15" s="704" t="s">
        <v>14</v>
      </c>
      <c r="S15" s="705">
        <f t="shared" si="0"/>
        <v>100</v>
      </c>
      <c r="T15" s="704" t="s">
        <v>14</v>
      </c>
      <c r="U15" s="705">
        <f t="shared" si="1"/>
        <v>100</v>
      </c>
      <c r="V15" s="704" t="s">
        <v>14</v>
      </c>
      <c r="W15" s="705">
        <f t="shared" si="2"/>
        <v>100</v>
      </c>
      <c r="X15" s="1354"/>
      <c r="Y15" s="3717"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18"/>
      <c r="Q17" s="1351" t="str">
        <f>B17</f>
        <v>商业繁华度</v>
      </c>
      <c r="R17" s="704" t="s">
        <v>14</v>
      </c>
      <c r="S17" s="705">
        <f>F17</f>
        <v>100</v>
      </c>
      <c r="T17" s="704" t="s">
        <v>14</v>
      </c>
      <c r="U17" s="705">
        <f>H17</f>
        <v>100</v>
      </c>
      <c r="V17" s="704" t="s">
        <v>14</v>
      </c>
      <c r="W17" s="705">
        <f>J17</f>
        <v>100</v>
      </c>
      <c r="X17" s="1354"/>
      <c r="Y17" s="371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18"/>
      <c r="Q19" s="1351" t="str">
        <f>B19</f>
        <v>办公集聚程度</v>
      </c>
      <c r="R19" s="704" t="s">
        <v>14</v>
      </c>
      <c r="S19" s="705">
        <f>F19</f>
        <v>100</v>
      </c>
      <c r="T19" s="704" t="s">
        <v>14</v>
      </c>
      <c r="U19" s="705">
        <f>H19</f>
        <v>100</v>
      </c>
      <c r="V19" s="704" t="s">
        <v>14</v>
      </c>
      <c r="W19" s="705">
        <f>J19</f>
        <v>100</v>
      </c>
      <c r="X19" s="1354"/>
      <c r="Y19" s="371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18"/>
      <c r="Q20" s="1351"/>
      <c r="R20" s="704"/>
      <c r="S20" s="705"/>
      <c r="T20" s="704"/>
      <c r="U20" s="705"/>
      <c r="V20" s="704"/>
      <c r="W20" s="705"/>
      <c r="X20" s="1354"/>
      <c r="Y20" s="3718"/>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18"/>
      <c r="Q21" s="1351" t="str">
        <f>B21</f>
        <v>交通便捷度</v>
      </c>
      <c r="R21" s="704" t="s">
        <v>14</v>
      </c>
      <c r="S21" s="705">
        <f>F21</f>
        <v>100</v>
      </c>
      <c r="T21" s="704" t="s">
        <v>14</v>
      </c>
      <c r="U21" s="705">
        <f>H21</f>
        <v>100</v>
      </c>
      <c r="V21" s="704" t="s">
        <v>14</v>
      </c>
      <c r="W21" s="705">
        <f>J21</f>
        <v>100</v>
      </c>
      <c r="X21" s="1354"/>
      <c r="Y21" s="371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18"/>
      <c r="Q23" s="1351" t="str">
        <f t="shared" ref="Q23:Q37" si="8">B23</f>
        <v>区域土地利用方向</v>
      </c>
      <c r="R23" s="704" t="s">
        <v>14</v>
      </c>
      <c r="S23" s="705">
        <f>F23</f>
        <v>100</v>
      </c>
      <c r="T23" s="704" t="s">
        <v>14</v>
      </c>
      <c r="U23" s="705">
        <f>H23</f>
        <v>100</v>
      </c>
      <c r="V23" s="704" t="s">
        <v>14</v>
      </c>
      <c r="W23" s="705">
        <f>J23</f>
        <v>100</v>
      </c>
      <c r="X23" s="1354"/>
      <c r="Y23" s="371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8"/>
      <c r="Q24" s="1351"/>
      <c r="R24" s="704"/>
      <c r="S24" s="705"/>
      <c r="T24" s="704"/>
      <c r="U24" s="705"/>
      <c r="V24" s="704"/>
      <c r="W24" s="705"/>
      <c r="X24" s="1354"/>
      <c r="Y24" s="3718"/>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18"/>
      <c r="Q25" s="1351" t="str">
        <f t="shared" si="8"/>
        <v>自然及人文环境状况</v>
      </c>
      <c r="R25" s="704" t="s">
        <v>14</v>
      </c>
      <c r="S25" s="705">
        <f>F25</f>
        <v>100</v>
      </c>
      <c r="T25" s="704" t="s">
        <v>14</v>
      </c>
      <c r="U25" s="705">
        <f>H25</f>
        <v>100</v>
      </c>
      <c r="V25" s="704" t="s">
        <v>14</v>
      </c>
      <c r="W25" s="705">
        <f>J25</f>
        <v>100</v>
      </c>
      <c r="X25" s="1354"/>
      <c r="Y25" s="371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18"/>
      <c r="Q26" s="1351"/>
      <c r="R26" s="704"/>
      <c r="S26" s="705"/>
      <c r="T26" s="704"/>
      <c r="U26" s="705"/>
      <c r="V26" s="704"/>
      <c r="W26" s="705"/>
      <c r="X26" s="1354"/>
      <c r="Y26" s="3718"/>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18"/>
      <c r="Q27" s="1342" t="str">
        <f t="shared" si="8"/>
        <v>公共配套设施</v>
      </c>
      <c r="R27" s="700" t="s">
        <v>14</v>
      </c>
      <c r="S27" s="701">
        <f>F27</f>
        <v>100</v>
      </c>
      <c r="T27" s="700" t="s">
        <v>14</v>
      </c>
      <c r="U27" s="701">
        <f>H27</f>
        <v>100</v>
      </c>
      <c r="V27" s="700" t="s">
        <v>14</v>
      </c>
      <c r="W27" s="701">
        <f>J27</f>
        <v>100</v>
      </c>
      <c r="X27" s="702"/>
      <c r="Y27" s="371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18"/>
      <c r="Q28" s="1342"/>
      <c r="R28" s="700"/>
      <c r="S28" s="701"/>
      <c r="T28" s="700"/>
      <c r="U28" s="701"/>
      <c r="V28" s="700"/>
      <c r="W28" s="701"/>
      <c r="X28" s="702"/>
      <c r="Y28" s="3718"/>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18"/>
      <c r="Q29" s="1342"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18"/>
      <c r="Q30" s="1342"/>
      <c r="R30" s="700"/>
      <c r="S30" s="701"/>
      <c r="T30" s="700"/>
      <c r="U30" s="701"/>
      <c r="V30" s="700"/>
      <c r="W30" s="701"/>
      <c r="X30" s="702"/>
      <c r="Y30" s="3718"/>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1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8"/>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18"/>
      <c r="Q32" s="1351" t="str">
        <f t="shared" si="8"/>
        <v>毗邻道路的类型与等级</v>
      </c>
      <c r="R32" s="704" t="s">
        <v>14</v>
      </c>
      <c r="S32" s="705">
        <f t="shared" si="10"/>
        <v>100</v>
      </c>
      <c r="T32" s="704" t="s">
        <v>14</v>
      </c>
      <c r="U32" s="705">
        <f t="shared" si="11"/>
        <v>100</v>
      </c>
      <c r="V32" s="704" t="s">
        <v>14</v>
      </c>
      <c r="W32" s="705">
        <f t="shared" si="12"/>
        <v>100</v>
      </c>
      <c r="X32" s="1354"/>
      <c r="Y32" s="371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8"/>
      <c r="Q33" s="1351"/>
      <c r="R33" s="704"/>
      <c r="S33" s="705"/>
      <c r="T33" s="704"/>
      <c r="U33" s="705"/>
      <c r="V33" s="704"/>
      <c r="W33" s="705"/>
      <c r="X33" s="1354"/>
      <c r="Y33" s="3718"/>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18"/>
      <c r="Q34" s="1351" t="str">
        <f t="shared" si="8"/>
        <v>土地级别</v>
      </c>
      <c r="R34" s="704" t="s">
        <v>14</v>
      </c>
      <c r="S34" s="705">
        <f t="shared" si="10"/>
        <v>100</v>
      </c>
      <c r="T34" s="704" t="s">
        <v>14</v>
      </c>
      <c r="U34" s="705">
        <f t="shared" si="11"/>
        <v>100</v>
      </c>
      <c r="V34" s="704" t="s">
        <v>14</v>
      </c>
      <c r="W34" s="705">
        <f t="shared" si="12"/>
        <v>100</v>
      </c>
      <c r="X34" s="1354"/>
      <c r="Y34" s="371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18"/>
      <c r="Q35" s="1351">
        <f t="shared" si="8"/>
        <v>111</v>
      </c>
      <c r="R35" s="704" t="s">
        <v>14</v>
      </c>
      <c r="S35" s="705">
        <f t="shared" si="10"/>
        <v>100</v>
      </c>
      <c r="T35" s="704" t="s">
        <v>14</v>
      </c>
      <c r="U35" s="705">
        <f t="shared" si="11"/>
        <v>100</v>
      </c>
      <c r="V35" s="704" t="s">
        <v>14</v>
      </c>
      <c r="W35" s="705">
        <f t="shared" si="12"/>
        <v>100</v>
      </c>
      <c r="X35" s="1354"/>
      <c r="Y35" s="371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5" t="s">
        <v>1694</v>
      </c>
      <c r="Q36" s="1351">
        <f t="shared" si="8"/>
        <v>111</v>
      </c>
      <c r="R36" s="704" t="s">
        <v>14</v>
      </c>
      <c r="S36" s="705">
        <f t="shared" si="10"/>
        <v>100</v>
      </c>
      <c r="T36" s="704" t="s">
        <v>14</v>
      </c>
      <c r="U36" s="705">
        <f t="shared" si="11"/>
        <v>100</v>
      </c>
      <c r="V36" s="704" t="s">
        <v>14</v>
      </c>
      <c r="W36" s="705">
        <f t="shared" si="12"/>
        <v>100</v>
      </c>
      <c r="X36" s="1354"/>
      <c r="Y36" s="3722"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22"/>
      <c r="Q37" s="1351">
        <f t="shared" si="8"/>
        <v>111</v>
      </c>
      <c r="R37" s="707" t="s">
        <v>14</v>
      </c>
      <c r="S37" s="708">
        <f t="shared" si="10"/>
        <v>100</v>
      </c>
      <c r="T37" s="707" t="s">
        <v>14</v>
      </c>
      <c r="U37" s="708">
        <f t="shared" si="11"/>
        <v>100</v>
      </c>
      <c r="V37" s="707" t="s">
        <v>14</v>
      </c>
      <c r="W37" s="708">
        <f t="shared" si="12"/>
        <v>100</v>
      </c>
      <c r="X37" s="709"/>
      <c r="Y37" s="3722"/>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22"/>
      <c r="Q38" s="1351" t="str">
        <f>B38</f>
        <v>宗地面积</v>
      </c>
      <c r="R38" s="704" t="s">
        <v>14</v>
      </c>
      <c r="S38" s="705" t="e">
        <f t="shared" si="10"/>
        <v>#N/A</v>
      </c>
      <c r="T38" s="704" t="s">
        <v>14</v>
      </c>
      <c r="U38" s="705" t="e">
        <f t="shared" si="11"/>
        <v>#N/A</v>
      </c>
      <c r="V38" s="704" t="s">
        <v>14</v>
      </c>
      <c r="W38" s="705" t="e">
        <f t="shared" si="12"/>
        <v>#N/A</v>
      </c>
      <c r="X38" s="1354"/>
      <c r="Y38" s="3722"/>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2"/>
      <c r="Q39" s="1351" t="str">
        <f t="shared" ref="Q39:Q45" si="14">B39</f>
        <v>宗地形状</v>
      </c>
      <c r="R39" s="704" t="s">
        <v>14</v>
      </c>
      <c r="S39" s="705">
        <f t="shared" si="10"/>
        <v>100</v>
      </c>
      <c r="T39" s="704" t="s">
        <v>14</v>
      </c>
      <c r="U39" s="705">
        <f t="shared" si="11"/>
        <v>100</v>
      </c>
      <c r="V39" s="704" t="s">
        <v>14</v>
      </c>
      <c r="W39" s="705">
        <f t="shared" si="12"/>
        <v>100</v>
      </c>
      <c r="X39" s="1354"/>
      <c r="Y39" s="3722"/>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2"/>
      <c r="Q40" s="1351" t="str">
        <f t="shared" si="14"/>
        <v>临街宽度及深度</v>
      </c>
      <c r="R40" s="704" t="s">
        <v>14</v>
      </c>
      <c r="S40" s="705">
        <f t="shared" si="10"/>
        <v>100</v>
      </c>
      <c r="T40" s="704" t="s">
        <v>14</v>
      </c>
      <c r="U40" s="705">
        <f t="shared" si="11"/>
        <v>100</v>
      </c>
      <c r="V40" s="704" t="s">
        <v>14</v>
      </c>
      <c r="W40" s="705">
        <f t="shared" si="12"/>
        <v>100</v>
      </c>
      <c r="X40" s="1354"/>
      <c r="Y40" s="3722"/>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2"/>
      <c r="Q41" s="1351"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2" t="s">
        <v>1694</v>
      </c>
      <c r="Q42" s="1351" t="str">
        <f t="shared" si="14"/>
        <v>工程地质条件</v>
      </c>
      <c r="R42" s="704" t="s">
        <v>14</v>
      </c>
      <c r="S42" s="705">
        <f t="shared" si="10"/>
        <v>100</v>
      </c>
      <c r="T42" s="704" t="s">
        <v>14</v>
      </c>
      <c r="U42" s="705">
        <f t="shared" si="11"/>
        <v>100</v>
      </c>
      <c r="V42" s="704" t="s">
        <v>14</v>
      </c>
      <c r="W42" s="705">
        <f t="shared" si="12"/>
        <v>100</v>
      </c>
      <c r="X42" s="1354"/>
      <c r="Y42" s="3722"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22"/>
      <c r="Q43" s="1351">
        <f t="shared" si="14"/>
        <v>111</v>
      </c>
      <c r="R43" s="704" t="s">
        <v>14</v>
      </c>
      <c r="S43" s="705">
        <f t="shared" si="10"/>
        <v>100</v>
      </c>
      <c r="T43" s="704" t="s">
        <v>14</v>
      </c>
      <c r="U43" s="705">
        <f t="shared" si="11"/>
        <v>100</v>
      </c>
      <c r="V43" s="704" t="s">
        <v>14</v>
      </c>
      <c r="W43" s="705">
        <f t="shared" si="12"/>
        <v>100</v>
      </c>
      <c r="X43" s="1354"/>
      <c r="Y43" s="372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22"/>
      <c r="Q44" s="1351">
        <f t="shared" si="14"/>
        <v>111</v>
      </c>
      <c r="R44" s="704" t="s">
        <v>14</v>
      </c>
      <c r="S44" s="705">
        <f t="shared" si="10"/>
        <v>100</v>
      </c>
      <c r="T44" s="704" t="s">
        <v>14</v>
      </c>
      <c r="U44" s="705">
        <f t="shared" si="11"/>
        <v>100</v>
      </c>
      <c r="V44" s="704" t="s">
        <v>14</v>
      </c>
      <c r="W44" s="705">
        <f t="shared" si="12"/>
        <v>100</v>
      </c>
      <c r="X44" s="1354"/>
      <c r="Y44" s="372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22"/>
      <c r="Q45" s="1351">
        <f t="shared" si="14"/>
        <v>111</v>
      </c>
      <c r="R45" s="707" t="s">
        <v>14</v>
      </c>
      <c r="S45" s="708">
        <f t="shared" si="10"/>
        <v>100</v>
      </c>
      <c r="T45" s="707" t="s">
        <v>14</v>
      </c>
      <c r="U45" s="708">
        <f t="shared" si="11"/>
        <v>100</v>
      </c>
      <c r="V45" s="707" t="s">
        <v>14</v>
      </c>
      <c r="W45" s="708">
        <f t="shared" si="12"/>
        <v>100</v>
      </c>
      <c r="X45" s="709"/>
      <c r="Y45" s="3722"/>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724" t="str">
        <f>A46</f>
        <v>成交单价</v>
      </c>
      <c r="Q46" s="3724"/>
      <c r="R46" s="3686">
        <f>E46</f>
        <v>0</v>
      </c>
      <c r="S46" s="3686"/>
      <c r="T46" s="3686">
        <f>G46</f>
        <v>0</v>
      </c>
      <c r="U46" s="3686"/>
      <c r="V46" s="3686">
        <f>I46</f>
        <v>0</v>
      </c>
      <c r="W46" s="3686"/>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67" t="e">
        <f>ROUND(PRODUCT(R46,AA7:AA45),0)</f>
        <v>#DIV/0!</v>
      </c>
      <c r="S47" s="3767"/>
      <c r="T47" s="3767" t="e">
        <f>ROUND(PRODUCT(T46,AB7:AB45),0)</f>
        <v>#DIV/0!</v>
      </c>
      <c r="U47" s="3767"/>
      <c r="V47" s="3767" t="e">
        <f>ROUND(PRODUCT(V46,AC7:AC45),0)</f>
        <v>#DIV/0!</v>
      </c>
      <c r="W47" s="3767"/>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726" t="str">
        <f>A48</f>
        <v>估价对象XX用房的比较价值（楼面单价，元/平方米）</v>
      </c>
      <c r="Q48" s="3727"/>
      <c r="R48" s="3768" t="e">
        <f>ROUND(IF(D47="简单平均",AVERAGE(R47:W47),R47*F47+T47*H47+V47*J47),0)</f>
        <v>#DIV/0!</v>
      </c>
      <c r="S48" s="3768"/>
      <c r="T48" s="3768"/>
      <c r="U48" s="3768"/>
      <c r="V48" s="3768"/>
      <c r="W48" s="376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2" t="s">
        <v>1885</v>
      </c>
      <c r="H55" s="3769"/>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1911.3919999999998</v>
      </c>
      <c r="F56" s="885" t="e">
        <f t="shared" ref="F56:F64" si="15">ROUND(B56*E56/10000,0)</f>
        <v>#DIV/0!</v>
      </c>
      <c r="G56" s="3701"/>
      <c r="H56" s="372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0.6</v>
      </c>
      <c r="D57" s="944">
        <v>0.25</v>
      </c>
      <c r="E57" s="641"/>
      <c r="F57" s="885" t="e">
        <f t="shared" si="15"/>
        <v>#DIV/0!</v>
      </c>
      <c r="G57" s="3005" t="s">
        <v>1890</v>
      </c>
      <c r="H57" s="886" t="str">
        <f>项目基本情况!B37</f>
        <v>四级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0.3</v>
      </c>
      <c r="D58" s="944">
        <v>0.25</v>
      </c>
      <c r="E58" s="641"/>
      <c r="F58" s="885" t="e">
        <f t="shared" si="15"/>
        <v>#DIV/0!</v>
      </c>
      <c r="G58" s="3006"/>
      <c r="H58" s="886" t="str">
        <f>项目基本情况!B37</f>
        <v>四级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0.25</v>
      </c>
      <c r="D59" s="944">
        <v>0.25</v>
      </c>
      <c r="E59" s="641"/>
      <c r="F59" s="885" t="e">
        <f t="shared" si="15"/>
        <v>#DIV/0!</v>
      </c>
      <c r="G59" s="3006"/>
      <c r="H59" s="886" t="str">
        <f>项目基本情况!B37</f>
        <v>四级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0.15</v>
      </c>
      <c r="D63" s="944">
        <v>0.25</v>
      </c>
      <c r="E63" s="217">
        <f>'数据-汇总表'!E14</f>
        <v>0</v>
      </c>
      <c r="F63" s="885" t="e">
        <f t="shared" si="15"/>
        <v>#DIV/0!</v>
      </c>
      <c r="G63" s="1986" t="s">
        <v>1890</v>
      </c>
      <c r="H63" s="886" t="str">
        <f>项目基本情况!B37</f>
        <v>四级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1911.3919999999998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zoomScaleSheetLayoutView="100" workbookViewId="0">
      <selection activeCell="O52" sqref="O5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1" t="s">
        <v>673</v>
      </c>
      <c r="F2" s="1999" t="s">
        <v>1934</v>
      </c>
      <c r="G2" s="2000" t="str">
        <f>IF(E2="商业",项目基本情况!B37,IF(E2="办公",项目基本情况!C37,IF(E2="住宅",项目基本情况!D37,IF(E2="工业",项目基本情况!E37,项目基本情况!F37))))</f>
        <v>四级</v>
      </c>
      <c r="H2" s="1999" t="s">
        <v>1935</v>
      </c>
      <c r="I2" s="2000" t="str">
        <f>IF(E2="商业",项目基本情况!B38,IF(E2="办公",项目基本情况!C38,IF(E2="住宅",项目基本情况!D38,IF(E2="工业",项目基本情况!E38,项目基本情况!F38))))</f>
        <v>Ⅳ-20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f>'数据-基础表'!I13</f>
        <v>1911.3919999999998</v>
      </c>
      <c r="V2" s="3360"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3457</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f>'数据-基础表'!I14</f>
        <v>0</v>
      </c>
      <c r="V3" s="3360" t="e">
        <f t="shared" ref="V3:V16" si="1">ROUND(T3*U3/10000,0)</f>
        <v>#DIV/0!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2" t="s">
        <v>1943</v>
      </c>
      <c r="M4" s="863">
        <f>SUMPRODUCT((区片价!B55:B86=I2)*(区片价!C3:G3=E2)*(区片价!C55:G86))</f>
        <v>18600</v>
      </c>
      <c r="N4" s="865">
        <f>SUMPRODUCT((因素修正幅度!B55:B86=I2)*(因素修正幅度!C3:G3=E2)*(因素修正幅度!C55:G86))</f>
        <v>0.1</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18600</v>
      </c>
      <c r="D5" s="1338">
        <f>ROUND(C6*C17+C20,0)</f>
        <v>18600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18600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1952</v>
      </c>
      <c r="X7" s="1213" t="str">
        <f>G2</f>
        <v>四级</v>
      </c>
      <c r="Y7" s="1213" t="s">
        <v>1953</v>
      </c>
      <c r="Z7" s="1214">
        <f>G3</f>
        <v>2.5</v>
      </c>
      <c r="AA7" s="1215"/>
      <c r="AB7" s="1215"/>
      <c r="AC7" s="1216"/>
      <c r="AD7" s="1217"/>
      <c r="AE7" s="1217"/>
      <c r="AF7" s="1217"/>
      <c r="AG7" s="1217"/>
      <c r="AH7" s="1217"/>
      <c r="AI7" s="1217"/>
      <c r="AJ7" s="1218"/>
    </row>
    <row r="8" spans="1:36" ht="25.5">
      <c r="A8" s="3298"/>
      <c r="B8" s="170" t="s">
        <v>1954</v>
      </c>
      <c r="C8" s="2025" t="s">
        <v>3439</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4" t="s">
        <v>1957</v>
      </c>
      <c r="X8" s="3775"/>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1" t="s">
        <v>3255</v>
      </c>
      <c r="B20" s="167" t="s">
        <v>1991</v>
      </c>
      <c r="C20" s="3324">
        <f>ROUND(IF(F21="与级别开发程度一致",0,(G21-E21)/C21),0)</f>
        <v>0</v>
      </c>
      <c r="D20" s="3340" t="s">
        <v>1995</v>
      </c>
      <c r="E20" s="3341"/>
      <c r="F20" s="3787" t="s">
        <v>1992</v>
      </c>
      <c r="G20" s="3788"/>
      <c r="H20" s="3325" t="s">
        <v>3384</v>
      </c>
      <c r="I20" s="3325" t="s">
        <v>3385</v>
      </c>
      <c r="J20" s="3326" t="s">
        <v>3386</v>
      </c>
      <c r="K20" s="2046" t="s">
        <v>3387</v>
      </c>
      <c r="L20" s="2046" t="s">
        <v>3388</v>
      </c>
      <c r="M20" s="2046" t="s">
        <v>3441</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2"/>
      <c r="B21" s="2163" t="s">
        <v>1994</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3458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1999</v>
      </c>
      <c r="E23" s="760">
        <v>44197</v>
      </c>
      <c r="F23" s="2053" t="s">
        <v>2000</v>
      </c>
      <c r="G23" s="761">
        <f>'数据-取费表'!B2</f>
        <v>45449</v>
      </c>
      <c r="H23" s="3342" t="s">
        <v>3256</v>
      </c>
      <c r="I23" s="3343" t="str">
        <f>IF(H23="季度增幅（自定义）",SUMIF(N25:N28,E2,O25:O28),"")</f>
        <v/>
      </c>
      <c r="J23" s="3445" t="s">
        <v>3465</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存贷款利率!E24/100</f>
        <v>4.3499999999999997E-2</v>
      </c>
      <c r="F24" s="2059" t="s">
        <v>1996</v>
      </c>
      <c r="G24" s="767">
        <f>SUMIF(M30:Q30,E2,M33:Q33)</f>
        <v>5.5E-2</v>
      </c>
      <c r="H24" s="2059" t="s">
        <v>2005</v>
      </c>
      <c r="I24" s="768" t="e">
        <f>SUMIF('数据-取费表'!C6:C15,E2,'数据-取费表'!F6:F15)/COUNTIF('数据-取费表'!C6:C15,E2)</f>
        <v>#DIV/0!</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3464</v>
      </c>
      <c r="C25" s="770">
        <f>IF(B25="容积率修正",IF(G3&lt;10,D26,J26),C27)</f>
        <v>1.5019</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1.5019</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1.054</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5"/>
      <c r="B37" s="2112" t="s">
        <v>2033</v>
      </c>
      <c r="C37" s="175" t="e">
        <f>ROUND(D5*C22*C23*C24*C28*F37,0)</f>
        <v>#DIV/0!</v>
      </c>
      <c r="D37" s="2097"/>
      <c r="E37" s="171" t="e">
        <f>ROUND(C37*D37/10000,0)</f>
        <v>#DIV/0!</v>
      </c>
      <c r="F37" s="171">
        <f>SUMIF(修正!A57:A68,G2,修正!B57:B68)</f>
        <v>0.6</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6"/>
      <c r="B38" s="2040" t="s">
        <v>2034</v>
      </c>
      <c r="C38" s="175" t="e">
        <f>ROUND(D5*C22*C23*C24*C28*F38,0)</f>
        <v>#DIV/0!</v>
      </c>
      <c r="D38" s="2097"/>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6"/>
      <c r="B39" s="2040" t="s">
        <v>3259</v>
      </c>
      <c r="C39" s="175" t="e">
        <f>ROUND(D5*C22*C23*C24*C28*F39,0)</f>
        <v>#DIV/0!</v>
      </c>
      <c r="D39" s="2097"/>
      <c r="E39" s="171" t="e">
        <f t="shared" si="4"/>
        <v>#DIV/0!</v>
      </c>
      <c r="F39" s="171">
        <f>SUMIF(修正!A57:A68,G2,修正!D57:D68)</f>
        <v>0.25</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SUMIF(修正!A57:A68,G2,修正!E57:E68)</f>
        <v>0.25</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1.054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1.4999999999999999E-2</v>
      </c>
      <c r="E50" s="743">
        <f>ROUND(SUM(D50:D58),4)</f>
        <v>5.3999999999999999E-2</v>
      </c>
      <c r="F50" s="1813">
        <f>IF(E2="商业",SUMIF(L1:L12,G2,N1:N12),"——")</f>
        <v>0.1</v>
      </c>
      <c r="G50" s="1062">
        <f t="shared" ref="G50:G58" si="8">H50</f>
        <v>1.4999999999999999E-2</v>
      </c>
      <c r="H50" s="1065">
        <f t="shared" ref="H50:H58" si="9">IFERROR(ROUNDDOWN($F$50*I50/2,4),"——")</f>
        <v>1.4999999999999999E-2</v>
      </c>
      <c r="I50" s="3366">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1.0999999999999999E-2</v>
      </c>
      <c r="E51" s="744"/>
      <c r="F51" s="1813"/>
      <c r="G51" s="1062">
        <f t="shared" si="8"/>
        <v>1.0999999999999999E-2</v>
      </c>
      <c r="H51" s="1065">
        <f t="shared" si="9"/>
        <v>1.0999999999999999E-2</v>
      </c>
      <c r="I51" s="3366">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6.0000000000000001E-3</v>
      </c>
      <c r="E52" s="744"/>
      <c r="F52" s="1813"/>
      <c r="G52" s="1062">
        <f t="shared" si="8"/>
        <v>6.0000000000000001E-3</v>
      </c>
      <c r="H52" s="1065">
        <f t="shared" si="9"/>
        <v>6.0000000000000001E-3</v>
      </c>
      <c r="I52" s="3366">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2.5000000000000001E-3</v>
      </c>
      <c r="E53" s="744"/>
      <c r="F53" s="1813"/>
      <c r="G53" s="1062">
        <f t="shared" si="8"/>
        <v>2.5000000000000001E-3</v>
      </c>
      <c r="H53" s="1065">
        <f t="shared" si="9"/>
        <v>2.5000000000000001E-3</v>
      </c>
      <c r="I53" s="3366">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4.0000000000000001E-3</v>
      </c>
      <c r="E54" s="744"/>
      <c r="F54" s="1813"/>
      <c r="G54" s="1062">
        <f t="shared" si="8"/>
        <v>4.0000000000000001E-3</v>
      </c>
      <c r="H54" s="1065">
        <f t="shared" si="9"/>
        <v>4.0000000000000001E-3</v>
      </c>
      <c r="I54" s="3366">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2.5000000000000001E-3</v>
      </c>
      <c r="E55" s="744"/>
      <c r="F55" s="1813"/>
      <c r="G55" s="1062">
        <f t="shared" si="8"/>
        <v>2.5000000000000001E-3</v>
      </c>
      <c r="H55" s="1065">
        <f t="shared" si="9"/>
        <v>2.5000000000000001E-3</v>
      </c>
      <c r="I55" s="3366">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2.5000000000000001E-3</v>
      </c>
      <c r="E56" s="744"/>
      <c r="F56" s="1813"/>
      <c r="G56" s="1062">
        <f t="shared" si="8"/>
        <v>2.5000000000000001E-3</v>
      </c>
      <c r="H56" s="1065">
        <f t="shared" si="9"/>
        <v>2.5000000000000001E-3</v>
      </c>
      <c r="I56" s="3366">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8.0000000000000002E-3</v>
      </c>
      <c r="E57" s="744"/>
      <c r="F57" s="1813"/>
      <c r="G57" s="1062">
        <f t="shared" si="8"/>
        <v>4.0000000000000001E-3</v>
      </c>
      <c r="H57" s="1065">
        <f t="shared" si="9"/>
        <v>4.0000000000000001E-3</v>
      </c>
      <c r="I57" s="3366">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2.5000000000000001E-3</v>
      </c>
      <c r="E58" s="745"/>
      <c r="F58" s="1813"/>
      <c r="G58" s="1062">
        <f t="shared" si="8"/>
        <v>2.5000000000000001E-3</v>
      </c>
      <c r="H58" s="1065">
        <f t="shared" si="9"/>
        <v>2.5000000000000001E-3</v>
      </c>
      <c r="I58" s="3367">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3270</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3" t="s">
        <v>3294</v>
      </c>
      <c r="B103" s="3783"/>
      <c r="C103" s="3783"/>
      <c r="D103" s="3783"/>
      <c r="E103" s="3783"/>
      <c r="F103" s="3783"/>
      <c r="G103" s="3783"/>
      <c r="H103" s="3783"/>
      <c r="I103" s="3783"/>
      <c r="J103" s="3783"/>
      <c r="K103" s="3389"/>
      <c r="L103" s="3389"/>
      <c r="M103" s="3389"/>
      <c r="N103" s="3389"/>
    </row>
    <row r="104" spans="1:14">
      <c r="A104" s="3784" t="s">
        <v>3295</v>
      </c>
      <c r="B104" s="3784" t="s">
        <v>3296</v>
      </c>
      <c r="C104" s="3390" t="s">
        <v>3297</v>
      </c>
      <c r="D104" s="3391"/>
      <c r="E104" s="3391"/>
      <c r="F104" s="3391"/>
      <c r="G104" s="3391"/>
      <c r="H104" s="3391"/>
      <c r="I104" s="3391"/>
      <c r="J104" s="3392"/>
      <c r="K104" s="3393"/>
      <c r="L104" s="3393"/>
      <c r="M104" s="3393"/>
      <c r="N104" s="3393"/>
    </row>
    <row r="105" spans="1:14">
      <c r="A105" s="3784"/>
      <c r="B105" s="3784"/>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0"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2"/>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3" t="s">
        <v>3311</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0.91400000000000003</v>
      </c>
      <c r="E116" s="1999" t="s">
        <v>3314</v>
      </c>
      <c r="F116" s="3401" t="str">
        <f>E2</f>
        <v>商业</v>
      </c>
      <c r="G116" s="1999" t="s">
        <v>3315</v>
      </c>
      <c r="H116" s="3401" t="str">
        <f>G2</f>
        <v>四级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3329</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3330</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3331</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2389.2399999999998</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89" t="s">
        <v>1769</v>
      </c>
      <c r="S4" s="3690"/>
      <c r="T4" s="3689" t="s">
        <v>1770</v>
      </c>
      <c r="U4" s="3690"/>
      <c r="V4" s="3686" t="s">
        <v>1771</v>
      </c>
      <c r="W4" s="3686"/>
      <c r="X4" s="1354"/>
      <c r="Y4" s="3689" t="s">
        <v>1773</v>
      </c>
      <c r="Z4" s="3690"/>
      <c r="AA4" s="3683" t="s">
        <v>1769</v>
      </c>
      <c r="AB4" s="3684" t="s">
        <v>1770</v>
      </c>
      <c r="AC4" s="3683" t="s">
        <v>1771</v>
      </c>
    </row>
    <row r="5" spans="1:29" ht="15">
      <c r="A5" s="358"/>
      <c r="B5" s="359"/>
      <c r="C5" s="3695" t="s">
        <v>1671</v>
      </c>
      <c r="D5" s="3696"/>
      <c r="E5" s="3693">
        <f>案例信息!A3</f>
        <v>0</v>
      </c>
      <c r="F5" s="3694"/>
      <c r="G5" s="3695">
        <f>案例信息!A4</f>
        <v>0</v>
      </c>
      <c r="H5" s="3696"/>
      <c r="I5" s="3695">
        <f>案例信息!A5</f>
        <v>0</v>
      </c>
      <c r="J5" s="3696"/>
      <c r="K5" s="559"/>
      <c r="L5" s="2714"/>
      <c r="M5" s="2715"/>
      <c r="N5" s="2715"/>
      <c r="O5" s="2715"/>
      <c r="P5" s="3708"/>
      <c r="Q5" s="3709"/>
      <c r="R5" s="3691"/>
      <c r="S5" s="3692"/>
      <c r="T5" s="3691"/>
      <c r="U5" s="3692"/>
      <c r="V5" s="3686"/>
      <c r="W5" s="3686"/>
      <c r="X5" s="1354"/>
      <c r="Y5" s="3691"/>
      <c r="Z5" s="3692"/>
      <c r="AA5" s="3684"/>
      <c r="AB5" s="3684"/>
      <c r="AC5" s="3684"/>
    </row>
    <row r="6" spans="1:29" ht="15.75" thickBot="1">
      <c r="A6" s="360"/>
      <c r="B6" s="361"/>
      <c r="C6" s="3789" t="s">
        <v>1917</v>
      </c>
      <c r="D6" s="3790"/>
      <c r="E6" s="3791" t="s">
        <v>1917</v>
      </c>
      <c r="F6" s="3792"/>
      <c r="G6" s="3789" t="s">
        <v>1917</v>
      </c>
      <c r="H6" s="3790"/>
      <c r="I6" s="3789" t="s">
        <v>1917</v>
      </c>
      <c r="J6" s="3790"/>
      <c r="K6" s="559" t="s">
        <v>1676</v>
      </c>
      <c r="L6" s="2714"/>
      <c r="M6" s="2715"/>
      <c r="N6" s="2715"/>
      <c r="O6" s="2715"/>
      <c r="P6" s="3710"/>
      <c r="Q6" s="3711"/>
      <c r="R6" s="3691"/>
      <c r="S6" s="3692"/>
      <c r="T6" s="3712"/>
      <c r="U6" s="3713"/>
      <c r="V6" s="3686"/>
      <c r="W6" s="3686"/>
      <c r="X6" s="1354"/>
      <c r="Y6" s="3712"/>
      <c r="Z6" s="3713"/>
      <c r="AA6" s="3685"/>
      <c r="AB6" s="3685"/>
      <c r="AC6" s="3685"/>
    </row>
    <row r="7" spans="1:29" s="108" customFormat="1" ht="15.75" thickBot="1">
      <c r="A7" s="362" t="s">
        <v>1677</v>
      </c>
      <c r="B7" s="363"/>
      <c r="C7" s="364">
        <f>'数据-取费表'!B2</f>
        <v>45449</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687" t="s">
        <v>1678</v>
      </c>
      <c r="Q7" s="3714"/>
      <c r="R7" s="700" t="s">
        <v>14</v>
      </c>
      <c r="S7" s="701">
        <f t="shared" ref="S7:S15" si="0">F7</f>
        <v>0</v>
      </c>
      <c r="T7" s="700" t="s">
        <v>14</v>
      </c>
      <c r="U7" s="701">
        <f t="shared" ref="U7:U15" si="1">H7</f>
        <v>0</v>
      </c>
      <c r="V7" s="700" t="s">
        <v>14</v>
      </c>
      <c r="W7" s="701">
        <f t="shared" ref="W7:W15" si="2">J7</f>
        <v>0</v>
      </c>
      <c r="X7" s="702"/>
      <c r="Y7" s="3687" t="s">
        <v>1678</v>
      </c>
      <c r="Z7" s="3688"/>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687" t="s">
        <v>1681</v>
      </c>
      <c r="Q8" s="3688"/>
      <c r="R8" s="700" t="s">
        <v>14</v>
      </c>
      <c r="S8" s="701">
        <f t="shared" si="0"/>
        <v>100</v>
      </c>
      <c r="T8" s="700" t="s">
        <v>14</v>
      </c>
      <c r="U8" s="701">
        <f t="shared" si="1"/>
        <v>100</v>
      </c>
      <c r="V8" s="700" t="s">
        <v>14</v>
      </c>
      <c r="W8" s="701">
        <f t="shared" si="2"/>
        <v>100</v>
      </c>
      <c r="X8" s="702"/>
      <c r="Y8" s="3687" t="s">
        <v>1681</v>
      </c>
      <c r="Z8" s="3688"/>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110</v>
      </c>
      <c r="G10" s="383"/>
      <c r="H10" s="127">
        <f>ROUND(100/'数据-取费表'!G16,0)</f>
        <v>110</v>
      </c>
      <c r="I10" s="383"/>
      <c r="J10" s="127">
        <f>ROUND(100/'数据-取费表'!G16,0)</f>
        <v>110</v>
      </c>
      <c r="K10" s="619"/>
      <c r="L10" s="2718"/>
      <c r="M10" s="2719"/>
      <c r="N10" s="2719"/>
      <c r="O10" s="2772"/>
      <c r="P10" s="3724"/>
      <c r="Q10" s="1342" t="str">
        <f t="shared" si="6"/>
        <v>土地使用年限（年）</v>
      </c>
      <c r="R10" s="700" t="s">
        <v>14</v>
      </c>
      <c r="S10" s="701">
        <f t="shared" si="0"/>
        <v>110</v>
      </c>
      <c r="T10" s="700" t="s">
        <v>14</v>
      </c>
      <c r="U10" s="701">
        <f t="shared" si="1"/>
        <v>110</v>
      </c>
      <c r="V10" s="700" t="s">
        <v>14</v>
      </c>
      <c r="W10" s="701">
        <f t="shared" si="2"/>
        <v>110</v>
      </c>
      <c r="X10" s="702"/>
      <c r="Y10" s="3651"/>
      <c r="Z10" s="52" t="str">
        <f t="shared" si="7"/>
        <v>土地使用年限（年）</v>
      </c>
      <c r="AA10" s="703">
        <f t="shared" si="3"/>
        <v>0.90909090909090906</v>
      </c>
      <c r="AB10" s="703">
        <f t="shared" si="4"/>
        <v>0.90909090909090906</v>
      </c>
      <c r="AC10" s="703">
        <f t="shared" si="5"/>
        <v>0.90909090909090906</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724"/>
      <c r="Q11" s="1342" t="str">
        <f t="shared" si="6"/>
        <v>容积率</v>
      </c>
      <c r="R11" s="700" t="s">
        <v>14</v>
      </c>
      <c r="S11" s="701" t="e">
        <f t="shared" si="0"/>
        <v>#DIV/0!</v>
      </c>
      <c r="T11" s="700" t="s">
        <v>14</v>
      </c>
      <c r="U11" s="701" t="e">
        <f t="shared" si="1"/>
        <v>#DIV/0!</v>
      </c>
      <c r="V11" s="700" t="s">
        <v>14</v>
      </c>
      <c r="W11" s="701" t="e">
        <f t="shared" si="2"/>
        <v>#DIV/0!</v>
      </c>
      <c r="X11" s="702"/>
      <c r="Y11" s="3651"/>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1"/>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718"/>
      <c r="Q19" s="1351" t="str">
        <f t="shared" ref="Q19:Q33" si="8">B19</f>
        <v>区域土地利用方向</v>
      </c>
      <c r="R19" s="704" t="s">
        <v>14</v>
      </c>
      <c r="S19" s="705">
        <f>F19</f>
        <v>100</v>
      </c>
      <c r="T19" s="704" t="s">
        <v>14</v>
      </c>
      <c r="U19" s="705">
        <f>H19</f>
        <v>100</v>
      </c>
      <c r="V19" s="704" t="s">
        <v>14</v>
      </c>
      <c r="W19" s="705">
        <f>J19</f>
        <v>100</v>
      </c>
      <c r="X19" s="1354"/>
      <c r="Y19" s="3718"/>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718"/>
      <c r="Q20" s="1351"/>
      <c r="R20" s="704"/>
      <c r="S20" s="705"/>
      <c r="T20" s="704"/>
      <c r="U20" s="705"/>
      <c r="V20" s="704"/>
      <c r="W20" s="705"/>
      <c r="X20" s="1354"/>
      <c r="Y20" s="3718"/>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718"/>
      <c r="Q21" s="1351" t="str">
        <f t="shared" si="8"/>
        <v>环境状况</v>
      </c>
      <c r="R21" s="704" t="s">
        <v>14</v>
      </c>
      <c r="S21" s="705">
        <f>F21</f>
        <v>100</v>
      </c>
      <c r="T21" s="704" t="s">
        <v>14</v>
      </c>
      <c r="U21" s="705">
        <f>H21</f>
        <v>100</v>
      </c>
      <c r="V21" s="704" t="s">
        <v>14</v>
      </c>
      <c r="W21" s="705">
        <f>J21</f>
        <v>100</v>
      </c>
      <c r="X21" s="1354"/>
      <c r="Y21" s="3718"/>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718"/>
      <c r="Q23" s="1342" t="str">
        <f t="shared" si="8"/>
        <v>公共配套设施</v>
      </c>
      <c r="R23" s="700" t="s">
        <v>14</v>
      </c>
      <c r="S23" s="701">
        <f>F23</f>
        <v>100</v>
      </c>
      <c r="T23" s="700" t="s">
        <v>14</v>
      </c>
      <c r="U23" s="701">
        <f>H23</f>
        <v>100</v>
      </c>
      <c r="V23" s="700" t="s">
        <v>14</v>
      </c>
      <c r="W23" s="701">
        <f>J23</f>
        <v>100</v>
      </c>
      <c r="X23" s="702"/>
      <c r="Y23" s="3718"/>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718"/>
      <c r="Q24" s="1342"/>
      <c r="R24" s="700"/>
      <c r="S24" s="701"/>
      <c r="T24" s="700"/>
      <c r="U24" s="701"/>
      <c r="V24" s="700"/>
      <c r="W24" s="701"/>
      <c r="X24" s="702"/>
      <c r="Y24" s="3718"/>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718"/>
      <c r="Q25" s="1342"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718"/>
      <c r="Q26" s="1342"/>
      <c r="R26" s="700"/>
      <c r="S26" s="701"/>
      <c r="T26" s="700"/>
      <c r="U26" s="701"/>
      <c r="V26" s="700"/>
      <c r="W26" s="701"/>
      <c r="X26" s="702"/>
      <c r="Y26" s="3718"/>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71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8"/>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718"/>
      <c r="Q28" s="1351" t="str">
        <f t="shared" si="8"/>
        <v>毗邻道路的类型与等级</v>
      </c>
      <c r="R28" s="704" t="s">
        <v>14</v>
      </c>
      <c r="S28" s="705">
        <f t="shared" si="10"/>
        <v>100</v>
      </c>
      <c r="T28" s="704" t="s">
        <v>14</v>
      </c>
      <c r="U28" s="705">
        <f t="shared" si="11"/>
        <v>100</v>
      </c>
      <c r="V28" s="704" t="s">
        <v>14</v>
      </c>
      <c r="W28" s="705">
        <f t="shared" si="12"/>
        <v>100</v>
      </c>
      <c r="X28" s="1354"/>
      <c r="Y28" s="3718"/>
      <c r="Z28" s="1355" t="str">
        <f t="shared" si="13"/>
        <v>毗邻道路的类型与等级</v>
      </c>
      <c r="AA28" s="1352">
        <f t="shared" si="3"/>
        <v>1</v>
      </c>
      <c r="AB28" s="1352">
        <f t="shared" si="4"/>
        <v>1</v>
      </c>
      <c r="AC28" s="1352">
        <f t="shared" si="5"/>
        <v>1</v>
      </c>
    </row>
    <row r="29" spans="1:29" ht="15">
      <c r="A29" s="379"/>
      <c r="B29" s="579"/>
      <c r="C29" s="398" t="s">
        <v>3448</v>
      </c>
      <c r="D29" s="399"/>
      <c r="E29" s="398" t="s">
        <v>3448</v>
      </c>
      <c r="F29" s="399"/>
      <c r="G29" s="398" t="s">
        <v>3448</v>
      </c>
      <c r="H29" s="399"/>
      <c r="I29" s="398" t="s">
        <v>3448</v>
      </c>
      <c r="J29" s="399"/>
      <c r="K29" s="562"/>
      <c r="L29" s="2721"/>
      <c r="M29" s="2715"/>
      <c r="N29" s="2715"/>
      <c r="O29" s="2773"/>
      <c r="P29" s="3718"/>
      <c r="Q29" s="1351"/>
      <c r="R29" s="704"/>
      <c r="S29" s="705"/>
      <c r="T29" s="704"/>
      <c r="U29" s="705"/>
      <c r="V29" s="704"/>
      <c r="W29" s="705"/>
      <c r="X29" s="1354"/>
      <c r="Y29" s="3718"/>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18"/>
      <c r="Q30" s="1351" t="str">
        <f t="shared" si="8"/>
        <v>土地级别</v>
      </c>
      <c r="R30" s="704" t="s">
        <v>14</v>
      </c>
      <c r="S30" s="705">
        <f t="shared" si="10"/>
        <v>100</v>
      </c>
      <c r="T30" s="704" t="s">
        <v>14</v>
      </c>
      <c r="U30" s="705">
        <f t="shared" si="11"/>
        <v>100</v>
      </c>
      <c r="V30" s="704" t="s">
        <v>14</v>
      </c>
      <c r="W30" s="705">
        <f t="shared" si="12"/>
        <v>100</v>
      </c>
      <c r="X30" s="1354"/>
      <c r="Y30" s="371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8"/>
      <c r="Q31" s="1351">
        <f t="shared" si="8"/>
        <v>111</v>
      </c>
      <c r="R31" s="704" t="s">
        <v>14</v>
      </c>
      <c r="S31" s="705">
        <f t="shared" si="10"/>
        <v>100</v>
      </c>
      <c r="T31" s="704" t="s">
        <v>14</v>
      </c>
      <c r="U31" s="705">
        <f t="shared" si="11"/>
        <v>100</v>
      </c>
      <c r="V31" s="704" t="s">
        <v>14</v>
      </c>
      <c r="W31" s="705">
        <f t="shared" si="12"/>
        <v>100</v>
      </c>
      <c r="X31" s="1354"/>
      <c r="Y31" s="371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5" t="s">
        <v>1694</v>
      </c>
      <c r="Q32" s="1351">
        <f t="shared" si="8"/>
        <v>111</v>
      </c>
      <c r="R32" s="704" t="s">
        <v>14</v>
      </c>
      <c r="S32" s="705">
        <f t="shared" si="10"/>
        <v>100</v>
      </c>
      <c r="T32" s="704" t="s">
        <v>14</v>
      </c>
      <c r="U32" s="705">
        <f t="shared" si="11"/>
        <v>100</v>
      </c>
      <c r="V32" s="704" t="s">
        <v>14</v>
      </c>
      <c r="W32" s="705">
        <f t="shared" si="12"/>
        <v>100</v>
      </c>
      <c r="X32" s="1354"/>
      <c r="Y32" s="3722"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22"/>
      <c r="Q33" s="1351">
        <f t="shared" si="8"/>
        <v>111</v>
      </c>
      <c r="R33" s="707" t="s">
        <v>14</v>
      </c>
      <c r="S33" s="708">
        <f t="shared" si="10"/>
        <v>100</v>
      </c>
      <c r="T33" s="707" t="s">
        <v>14</v>
      </c>
      <c r="U33" s="708">
        <f t="shared" si="11"/>
        <v>100</v>
      </c>
      <c r="V33" s="707" t="s">
        <v>14</v>
      </c>
      <c r="W33" s="708">
        <f t="shared" si="12"/>
        <v>100</v>
      </c>
      <c r="X33" s="709"/>
      <c r="Y33" s="3722"/>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722"/>
      <c r="Q34" s="1351" t="str">
        <f>B34</f>
        <v>宗地面积</v>
      </c>
      <c r="R34" s="704" t="s">
        <v>14</v>
      </c>
      <c r="S34" s="705">
        <f t="shared" si="10"/>
        <v>100</v>
      </c>
      <c r="T34" s="704" t="s">
        <v>14</v>
      </c>
      <c r="U34" s="705">
        <f t="shared" si="11"/>
        <v>100</v>
      </c>
      <c r="V34" s="704" t="s">
        <v>14</v>
      </c>
      <c r="W34" s="705">
        <f t="shared" si="12"/>
        <v>100</v>
      </c>
      <c r="X34" s="1354"/>
      <c r="Y34" s="3722"/>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2"/>
      <c r="Q35" s="1351" t="str">
        <f t="shared" ref="Q35:Q40" si="14">B35</f>
        <v>宗地形状</v>
      </c>
      <c r="R35" s="704" t="s">
        <v>14</v>
      </c>
      <c r="S35" s="705">
        <f t="shared" si="10"/>
        <v>100</v>
      </c>
      <c r="T35" s="704" t="s">
        <v>14</v>
      </c>
      <c r="U35" s="705">
        <f t="shared" si="11"/>
        <v>100</v>
      </c>
      <c r="V35" s="704" t="s">
        <v>14</v>
      </c>
      <c r="W35" s="705">
        <f t="shared" si="12"/>
        <v>100</v>
      </c>
      <c r="X35" s="1354"/>
      <c r="Y35" s="3722"/>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2"/>
      <c r="Q36" s="1351"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2" t="s">
        <v>1694</v>
      </c>
      <c r="Q37" s="1351" t="str">
        <f t="shared" si="14"/>
        <v>工程地质条件</v>
      </c>
      <c r="R37" s="704" t="s">
        <v>14</v>
      </c>
      <c r="S37" s="705">
        <f t="shared" si="10"/>
        <v>100</v>
      </c>
      <c r="T37" s="704" t="s">
        <v>14</v>
      </c>
      <c r="U37" s="705">
        <f t="shared" si="11"/>
        <v>100</v>
      </c>
      <c r="V37" s="704" t="s">
        <v>14</v>
      </c>
      <c r="W37" s="705">
        <f t="shared" si="12"/>
        <v>100</v>
      </c>
      <c r="X37" s="1354"/>
      <c r="Y37" s="3722"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22"/>
      <c r="Q38" s="1351">
        <f t="shared" si="14"/>
        <v>111</v>
      </c>
      <c r="R38" s="704" t="s">
        <v>14</v>
      </c>
      <c r="S38" s="705">
        <f t="shared" si="10"/>
        <v>100</v>
      </c>
      <c r="T38" s="704" t="s">
        <v>14</v>
      </c>
      <c r="U38" s="705">
        <f t="shared" si="11"/>
        <v>100</v>
      </c>
      <c r="V38" s="704" t="s">
        <v>14</v>
      </c>
      <c r="W38" s="705">
        <f t="shared" si="12"/>
        <v>100</v>
      </c>
      <c r="X38" s="1354"/>
      <c r="Y38" s="372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22"/>
      <c r="Q39" s="1351">
        <f t="shared" si="14"/>
        <v>111</v>
      </c>
      <c r="R39" s="704" t="s">
        <v>14</v>
      </c>
      <c r="S39" s="705">
        <f t="shared" si="10"/>
        <v>100</v>
      </c>
      <c r="T39" s="704" t="s">
        <v>14</v>
      </c>
      <c r="U39" s="705">
        <f t="shared" si="11"/>
        <v>100</v>
      </c>
      <c r="V39" s="704" t="s">
        <v>14</v>
      </c>
      <c r="W39" s="705">
        <f t="shared" si="12"/>
        <v>100</v>
      </c>
      <c r="X39" s="1354"/>
      <c r="Y39" s="372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22"/>
      <c r="Q40" s="1351">
        <f t="shared" si="14"/>
        <v>111</v>
      </c>
      <c r="R40" s="707" t="s">
        <v>14</v>
      </c>
      <c r="S40" s="708">
        <f t="shared" si="10"/>
        <v>100</v>
      </c>
      <c r="T40" s="707" t="s">
        <v>14</v>
      </c>
      <c r="U40" s="708">
        <f t="shared" si="11"/>
        <v>100</v>
      </c>
      <c r="V40" s="707" t="s">
        <v>14</v>
      </c>
      <c r="W40" s="708">
        <f t="shared" si="12"/>
        <v>100</v>
      </c>
      <c r="X40" s="709"/>
      <c r="Y40" s="3722"/>
      <c r="Z40" s="710">
        <f t="shared" si="13"/>
        <v>111</v>
      </c>
      <c r="AA40" s="1352">
        <f t="shared" si="3"/>
        <v>1</v>
      </c>
      <c r="AB40" s="1352">
        <f t="shared" si="4"/>
        <v>1</v>
      </c>
      <c r="AC40" s="1352">
        <f t="shared" si="5"/>
        <v>1</v>
      </c>
    </row>
    <row r="41" spans="1:31" ht="15">
      <c r="A41" s="430" t="s">
        <v>1842</v>
      </c>
      <c r="B41" s="3457" t="s">
        <v>3450</v>
      </c>
      <c r="C41" s="629" t="s">
        <v>0</v>
      </c>
      <c r="D41" s="432"/>
      <c r="E41" s="433">
        <f>案例信息!O3</f>
        <v>0</v>
      </c>
      <c r="F41" s="434"/>
      <c r="G41" s="435">
        <f>案例信息!O4</f>
        <v>0</v>
      </c>
      <c r="H41" s="436"/>
      <c r="I41" s="433">
        <f>案例信息!O5</f>
        <v>0</v>
      </c>
      <c r="J41" s="436"/>
      <c r="K41" s="713"/>
      <c r="L41" s="2723"/>
      <c r="M41" s="2715"/>
      <c r="N41" s="2715"/>
      <c r="O41" s="2724"/>
      <c r="P41" s="3724" t="str">
        <f>A41</f>
        <v>成交单价</v>
      </c>
      <c r="Q41" s="3724"/>
      <c r="R41" s="3686">
        <f>E41</f>
        <v>0</v>
      </c>
      <c r="S41" s="3686"/>
      <c r="T41" s="3686">
        <f>G41</f>
        <v>0</v>
      </c>
      <c r="U41" s="3686"/>
      <c r="V41" s="3686">
        <f>I41</f>
        <v>0</v>
      </c>
      <c r="W41" s="3686"/>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724" t="str">
        <f>A42</f>
        <v>比较价值（元/平方米）</v>
      </c>
      <c r="Q42" s="3724"/>
      <c r="R42" s="3767" t="e">
        <f>ROUND(PRODUCT(R41,AA7:AA40),0)</f>
        <v>#DIV/0!</v>
      </c>
      <c r="S42" s="3767"/>
      <c r="T42" s="3767" t="e">
        <f>ROUND(PRODUCT(T41,AB7:AB40),0)</f>
        <v>#DIV/0!</v>
      </c>
      <c r="U42" s="3767"/>
      <c r="V42" s="3767" t="e">
        <f>ROUND(PRODUCT(V41,AC7:AC40),0)</f>
        <v>#DIV/0!</v>
      </c>
      <c r="W42" s="3767"/>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726" t="str">
        <f>A43</f>
        <v>估价对象XX用房的比较价值（楼面单价，元/平方米）</v>
      </c>
      <c r="Q43" s="3727"/>
      <c r="R43" s="3768" t="e">
        <f>ROUND(IF(D42="简单平均",AVERAGE(R42:W42),R42*F42+T42*H42+V42*J42),0)</f>
        <v>#DIV/0!</v>
      </c>
      <c r="S43" s="3768"/>
      <c r="T43" s="3768"/>
      <c r="U43" s="3768"/>
      <c r="V43" s="3768"/>
      <c r="W43" s="376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2" t="s">
        <v>1885</v>
      </c>
      <c r="H50" s="3769"/>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1911.3919999999998</v>
      </c>
      <c r="F51" s="638" t="e">
        <f t="shared" ref="F51:F60" si="15">ROUND(B51*E51/10000,0)</f>
        <v>#DIV/0!</v>
      </c>
      <c r="G51" s="3701"/>
      <c r="H51" s="372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0.6</v>
      </c>
      <c r="D52" s="944">
        <v>0.25</v>
      </c>
      <c r="E52" s="641"/>
      <c r="F52" s="638" t="e">
        <f t="shared" si="15"/>
        <v>#DIV/0!</v>
      </c>
      <c r="G52" s="3005" t="s">
        <v>1890</v>
      </c>
      <c r="H52" s="886" t="str">
        <f>项目基本情况!B37</f>
        <v>四级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0.3</v>
      </c>
      <c r="D53" s="944">
        <v>0.25</v>
      </c>
      <c r="E53" s="641"/>
      <c r="F53" s="638" t="e">
        <f t="shared" si="15"/>
        <v>#DIV/0!</v>
      </c>
      <c r="G53" s="3006"/>
      <c r="H53" s="886" t="str">
        <f>项目基本情况!B37</f>
        <v>四级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0.25</v>
      </c>
      <c r="D54" s="944">
        <v>0.25</v>
      </c>
      <c r="E54" s="641"/>
      <c r="F54" s="638" t="e">
        <f t="shared" si="15"/>
        <v>#DIV/0!</v>
      </c>
      <c r="G54" s="3006"/>
      <c r="H54" s="886" t="str">
        <f>项目基本情况!B37</f>
        <v>四级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0.15</v>
      </c>
      <c r="D59" s="944">
        <v>0.25</v>
      </c>
      <c r="E59" s="217">
        <f>'数据-汇总表'!E14</f>
        <v>0</v>
      </c>
      <c r="F59" s="638" t="e">
        <f t="shared" si="15"/>
        <v>#DIV/0!</v>
      </c>
      <c r="G59" s="1986" t="s">
        <v>1890</v>
      </c>
      <c r="H59" s="886" t="str">
        <f>项目基本情况!B37</f>
        <v>四级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3443</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3444</v>
      </c>
      <c r="D97" s="3449" t="s">
        <v>3445</v>
      </c>
      <c r="E97" s="3449" t="s">
        <v>3446</v>
      </c>
      <c r="F97" s="3449" t="s">
        <v>3447</v>
      </c>
      <c r="G97" s="3449" t="s">
        <v>3449</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6" t="s">
        <v>2081</v>
      </c>
      <c r="D1" s="3797"/>
      <c r="E1" s="3797"/>
      <c r="F1" s="3797"/>
      <c r="G1" s="3797"/>
      <c r="H1" s="3797"/>
      <c r="I1" s="3797"/>
      <c r="J1" s="3797"/>
      <c r="K1" s="3797"/>
      <c r="L1" s="3797"/>
      <c r="M1" s="3797"/>
      <c r="N1" s="3797"/>
      <c r="O1" s="3797"/>
      <c r="P1" s="3797"/>
      <c r="Q1" s="3797"/>
      <c r="R1" s="3797"/>
      <c r="S1" s="3798"/>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3" t="s">
        <v>27</v>
      </c>
      <c r="D22" s="3794"/>
      <c r="E22" s="3794"/>
      <c r="F22" s="3794"/>
      <c r="G22" s="3794"/>
      <c r="H22" s="3794"/>
      <c r="I22" s="3794"/>
      <c r="J22" s="3794"/>
      <c r="K22" s="3794"/>
      <c r="L22" s="3794"/>
      <c r="M22" s="3794"/>
      <c r="N22" s="3794"/>
      <c r="O22" s="3794"/>
      <c r="P22" s="3794"/>
      <c r="Q22" s="3795"/>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t="e">
        <f ca="1">SUMIF(B6:B13,"&lt;&gt;#ref!",B6:B13)</f>
        <v>#DIV/0!</v>
      </c>
      <c r="C2" s="2144" t="s">
        <v>2071</v>
      </c>
      <c r="D2" s="2144" t="s">
        <v>2072</v>
      </c>
      <c r="E2" s="2611">
        <f ca="1">SUMIF(E6:E13,"&lt;&gt;#ref!",E6:E13)</f>
        <v>0</v>
      </c>
      <c r="F2" s="2792"/>
      <c r="G2" s="2792"/>
      <c r="H2" s="2792"/>
      <c r="I2" s="2792"/>
      <c r="J2" s="2792"/>
      <c r="K2" s="2792"/>
      <c r="L2" s="2792"/>
      <c r="M2" s="2792"/>
      <c r="N2" s="2792"/>
      <c r="O2" s="2792"/>
      <c r="P2" s="2792"/>
    </row>
    <row r="3" spans="1:16" ht="15.75">
      <c r="A3" s="2144" t="s">
        <v>2073</v>
      </c>
      <c r="B3" s="2601" t="e">
        <f ca="1">ROUND(B2*10000/E2,0)</f>
        <v>#DIV/0!</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t="e">
        <f ca="1">SUMIF(INDIRECT("'"&amp;A6&amp;"'"&amp;"!A:A"),"总价",INDIRECT("'"&amp;A6&amp;"'"&amp;"!B:B"))</f>
        <v>#DIV/0!</v>
      </c>
      <c r="C6" s="2144" t="s">
        <v>2071</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06" t="s">
        <v>2608</v>
      </c>
      <c r="B20" s="3799" t="s">
        <v>2629</v>
      </c>
      <c r="C20" s="3102" t="s">
        <v>2440</v>
      </c>
      <c r="D20" s="3103"/>
      <c r="E20" s="3104">
        <v>1</v>
      </c>
      <c r="F20" s="3105" t="s">
        <v>2441</v>
      </c>
      <c r="G20" s="3105"/>
    </row>
    <row r="21" spans="1:13" ht="19.5" customHeight="1">
      <c r="A21" s="3807"/>
      <c r="B21" s="3800"/>
      <c r="C21" s="3106" t="s">
        <v>2442</v>
      </c>
      <c r="D21" s="3107"/>
      <c r="E21" s="3108">
        <v>1</v>
      </c>
      <c r="F21" s="3105" t="s">
        <v>2443</v>
      </c>
      <c r="G21" s="3105"/>
    </row>
    <row r="22" spans="1:13" ht="19.5" customHeight="1">
      <c r="A22" s="3807"/>
      <c r="B22" s="3800"/>
      <c r="C22" s="3106" t="s">
        <v>2444</v>
      </c>
      <c r="D22" s="3107"/>
      <c r="E22" s="3108">
        <v>0.9</v>
      </c>
      <c r="F22" s="3105" t="s">
        <v>2445</v>
      </c>
      <c r="G22" s="3105"/>
    </row>
    <row r="23" spans="1:13" ht="19.5" customHeight="1">
      <c r="A23" s="3807"/>
      <c r="B23" s="3800"/>
      <c r="C23" s="3106" t="s">
        <v>2446</v>
      </c>
      <c r="D23" s="3107"/>
      <c r="E23" s="3108">
        <v>0.9</v>
      </c>
      <c r="F23" s="3105" t="s">
        <v>2447</v>
      </c>
      <c r="G23" s="3105"/>
    </row>
    <row r="24" spans="1:13" ht="19.5" customHeight="1">
      <c r="A24" s="3807"/>
      <c r="B24" s="3800"/>
      <c r="C24" s="3106" t="s">
        <v>2448</v>
      </c>
      <c r="D24" s="3107"/>
      <c r="E24" s="3108">
        <v>0.8</v>
      </c>
      <c r="F24" s="3105" t="s">
        <v>2449</v>
      </c>
      <c r="G24" s="3105"/>
    </row>
    <row r="25" spans="1:13" ht="19.5" customHeight="1" thickBot="1">
      <c r="A25" s="3808"/>
      <c r="B25" s="3801"/>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2" t="s">
        <v>2632</v>
      </c>
      <c r="B27" s="3799" t="s">
        <v>2613</v>
      </c>
      <c r="C27" s="3102" t="s">
        <v>2453</v>
      </c>
      <c r="D27" s="3103"/>
      <c r="E27" s="3104">
        <v>1</v>
      </c>
      <c r="F27" s="3105" t="s">
        <v>2454</v>
      </c>
      <c r="G27" s="3105"/>
    </row>
    <row r="28" spans="1:13" ht="19.5" customHeight="1">
      <c r="A28" s="3803"/>
      <c r="B28" s="3800"/>
      <c r="C28" s="3106" t="s">
        <v>2455</v>
      </c>
      <c r="D28" s="3107"/>
      <c r="E28" s="3108">
        <v>1</v>
      </c>
      <c r="F28" s="3105" t="s">
        <v>2456</v>
      </c>
      <c r="G28" s="3105"/>
    </row>
    <row r="29" spans="1:13" ht="19.5" customHeight="1">
      <c r="A29" s="3803"/>
      <c r="B29" s="3800"/>
      <c r="C29" s="3106" t="s">
        <v>2457</v>
      </c>
      <c r="D29" s="3107"/>
      <c r="E29" s="3108">
        <v>0.8</v>
      </c>
      <c r="F29" s="3105" t="s">
        <v>2458</v>
      </c>
      <c r="G29" s="3105"/>
    </row>
    <row r="30" spans="1:13" ht="19.5" customHeight="1">
      <c r="A30" s="3803"/>
      <c r="B30" s="3800"/>
      <c r="C30" s="3106" t="s">
        <v>2459</v>
      </c>
      <c r="D30" s="3107"/>
      <c r="E30" s="3108">
        <v>0.8</v>
      </c>
      <c r="F30" s="3105" t="s">
        <v>2460</v>
      </c>
      <c r="G30" s="3105"/>
    </row>
    <row r="31" spans="1:13" ht="19.5" customHeight="1">
      <c r="A31" s="3803"/>
      <c r="B31" s="3800"/>
      <c r="C31" s="3106" t="s">
        <v>2461</v>
      </c>
      <c r="D31" s="3107"/>
      <c r="E31" s="3108">
        <v>0.8</v>
      </c>
      <c r="F31" s="3105" t="s">
        <v>2462</v>
      </c>
      <c r="G31" s="3105"/>
    </row>
    <row r="32" spans="1:13" ht="19.5" customHeight="1">
      <c r="A32" s="3803"/>
      <c r="B32" s="3800"/>
      <c r="C32" s="3106" t="s">
        <v>2463</v>
      </c>
      <c r="D32" s="3107"/>
      <c r="E32" s="3108">
        <v>0.7</v>
      </c>
      <c r="F32" s="3105" t="s">
        <v>2464</v>
      </c>
      <c r="G32" s="3105"/>
    </row>
    <row r="33" spans="1:7" ht="19.5" customHeight="1">
      <c r="A33" s="3803"/>
      <c r="B33" s="3800"/>
      <c r="C33" s="3106" t="s">
        <v>2465</v>
      </c>
      <c r="D33" s="3107"/>
      <c r="E33" s="3108">
        <v>0.8</v>
      </c>
      <c r="F33" s="3105" t="s">
        <v>2466</v>
      </c>
      <c r="G33" s="3105"/>
    </row>
    <row r="34" spans="1:7" ht="19.5" customHeight="1">
      <c r="A34" s="3803"/>
      <c r="B34" s="3800"/>
      <c r="C34" s="3106" t="s">
        <v>2467</v>
      </c>
      <c r="D34" s="3107"/>
      <c r="E34" s="3108">
        <v>0.6</v>
      </c>
      <c r="F34" s="3105" t="s">
        <v>2468</v>
      </c>
      <c r="G34" s="3105"/>
    </row>
    <row r="35" spans="1:7" ht="19.5" customHeight="1">
      <c r="A35" s="3803"/>
      <c r="B35" s="3800"/>
      <c r="C35" s="3106" t="s">
        <v>2469</v>
      </c>
      <c r="D35" s="3107"/>
      <c r="E35" s="3108">
        <v>0.2</v>
      </c>
      <c r="F35" s="3105" t="s">
        <v>2470</v>
      </c>
      <c r="G35" s="3105"/>
    </row>
    <row r="36" spans="1:7" ht="19.5" customHeight="1">
      <c r="A36" s="3803"/>
      <c r="B36" s="3800"/>
      <c r="C36" s="3106" t="s">
        <v>2471</v>
      </c>
      <c r="D36" s="3107"/>
      <c r="E36" s="3108">
        <v>0.2</v>
      </c>
      <c r="F36" s="3105" t="s">
        <v>2472</v>
      </c>
      <c r="G36" s="3105"/>
    </row>
    <row r="37" spans="1:7" ht="19.5" customHeight="1">
      <c r="A37" s="3803"/>
      <c r="B37" s="3805" t="s">
        <v>2633</v>
      </c>
      <c r="C37" s="3106" t="s">
        <v>2473</v>
      </c>
      <c r="D37" s="3107"/>
      <c r="E37" s="3108">
        <v>0.6</v>
      </c>
      <c r="F37" s="3105" t="s">
        <v>2474</v>
      </c>
      <c r="G37" s="3105"/>
    </row>
    <row r="38" spans="1:7" ht="19.5" customHeight="1">
      <c r="A38" s="3803"/>
      <c r="B38" s="3800"/>
      <c r="C38" s="3106" t="s">
        <v>2475</v>
      </c>
      <c r="D38" s="3107"/>
      <c r="E38" s="3108">
        <v>0.6</v>
      </c>
      <c r="F38" s="3105" t="s">
        <v>2476</v>
      </c>
      <c r="G38" s="3105"/>
    </row>
    <row r="39" spans="1:7" ht="19.5" customHeight="1" thickBot="1">
      <c r="A39" s="3804"/>
      <c r="B39" s="3801"/>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06" t="s">
        <v>2611</v>
      </c>
      <c r="B41" s="3799" t="s">
        <v>2635</v>
      </c>
      <c r="C41" s="3102" t="s">
        <v>2480</v>
      </c>
      <c r="D41" s="3103"/>
      <c r="E41" s="3104">
        <v>1</v>
      </c>
      <c r="F41" s="3105" t="s">
        <v>2481</v>
      </c>
      <c r="G41" s="3105"/>
    </row>
    <row r="42" spans="1:7" ht="19.5" customHeight="1">
      <c r="A42" s="3807"/>
      <c r="B42" s="3800"/>
      <c r="C42" s="3106" t="s">
        <v>2482</v>
      </c>
      <c r="D42" s="3107"/>
      <c r="E42" s="3108">
        <v>1</v>
      </c>
      <c r="F42" s="3105" t="s">
        <v>2483</v>
      </c>
      <c r="G42" s="3105"/>
    </row>
    <row r="43" spans="1:7" ht="19.5" customHeight="1">
      <c r="A43" s="3807"/>
      <c r="B43" s="3809"/>
      <c r="C43" s="3106" t="s">
        <v>2484</v>
      </c>
      <c r="D43" s="3107"/>
      <c r="E43" s="3108">
        <v>1.5</v>
      </c>
      <c r="F43" s="3105" t="s">
        <v>2485</v>
      </c>
      <c r="G43" s="3105"/>
    </row>
    <row r="44" spans="1:7" ht="19.5" customHeight="1">
      <c r="A44" s="3807"/>
      <c r="B44" s="3117" t="s">
        <v>2636</v>
      </c>
      <c r="C44" s="3106" t="s">
        <v>2637</v>
      </c>
      <c r="D44" s="3107"/>
      <c r="E44" s="3108">
        <v>2</v>
      </c>
      <c r="F44" s="3105" t="s">
        <v>2486</v>
      </c>
      <c r="G44" s="3105"/>
    </row>
    <row r="45" spans="1:7" ht="19.5" customHeight="1">
      <c r="A45" s="3807"/>
      <c r="B45" s="3805" t="s">
        <v>2638</v>
      </c>
      <c r="C45" s="3106" t="s">
        <v>2487</v>
      </c>
      <c r="D45" s="3107"/>
      <c r="E45" s="3108">
        <v>1</v>
      </c>
      <c r="F45" s="3105" t="s">
        <v>2488</v>
      </c>
      <c r="G45" s="3105"/>
    </row>
    <row r="46" spans="1:7" ht="19.5" customHeight="1">
      <c r="A46" s="3807"/>
      <c r="B46" s="3800"/>
      <c r="C46" s="3106" t="s">
        <v>2489</v>
      </c>
      <c r="D46" s="3107"/>
      <c r="E46" s="3108">
        <v>1</v>
      </c>
      <c r="F46" s="3105" t="s">
        <v>2490</v>
      </c>
      <c r="G46" s="3105"/>
    </row>
    <row r="47" spans="1:7" ht="19.5" customHeight="1">
      <c r="A47" s="3807"/>
      <c r="B47" s="3800"/>
      <c r="C47" s="3106" t="s">
        <v>2491</v>
      </c>
      <c r="D47" s="3107"/>
      <c r="E47" s="3108">
        <v>1</v>
      </c>
      <c r="F47" s="3105" t="s">
        <v>2492</v>
      </c>
      <c r="G47" s="3105"/>
    </row>
    <row r="48" spans="1:7" ht="19.5" customHeight="1">
      <c r="A48" s="3807"/>
      <c r="B48" s="3800"/>
      <c r="C48" s="3106" t="s">
        <v>2493</v>
      </c>
      <c r="D48" s="3107"/>
      <c r="E48" s="3108">
        <v>1</v>
      </c>
      <c r="F48" s="3105" t="s">
        <v>2494</v>
      </c>
      <c r="G48" s="3105"/>
    </row>
    <row r="49" spans="1:7" ht="19.5" customHeight="1">
      <c r="A49" s="3807"/>
      <c r="B49" s="3800"/>
      <c r="C49" s="3106" t="s">
        <v>2495</v>
      </c>
      <c r="D49" s="3107"/>
      <c r="E49" s="3108">
        <v>1</v>
      </c>
      <c r="F49" s="3105" t="s">
        <v>2496</v>
      </c>
      <c r="G49" s="3105"/>
    </row>
    <row r="50" spans="1:7" ht="19.5" customHeight="1">
      <c r="A50" s="3807"/>
      <c r="B50" s="3800"/>
      <c r="C50" s="3106" t="s">
        <v>2497</v>
      </c>
      <c r="D50" s="3107"/>
      <c r="E50" s="3108">
        <v>1</v>
      </c>
      <c r="F50" s="3105" t="s">
        <v>2498</v>
      </c>
      <c r="G50" s="3105"/>
    </row>
    <row r="51" spans="1:7" ht="19.5" customHeight="1" thickBot="1">
      <c r="A51" s="3808"/>
      <c r="B51" s="3801"/>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05" t="s">
        <v>2652</v>
      </c>
      <c r="C73" s="3091" t="s">
        <v>2653</v>
      </c>
      <c r="D73" s="3091" t="s">
        <v>2654</v>
      </c>
      <c r="E73" s="3117">
        <v>0.2</v>
      </c>
      <c r="F73" s="3117">
        <v>25</v>
      </c>
    </row>
    <row r="74" spans="1:7" ht="24">
      <c r="A74" s="3117">
        <v>2</v>
      </c>
      <c r="B74" s="3800"/>
      <c r="C74" s="3091" t="s">
        <v>2655</v>
      </c>
      <c r="D74" s="3091" t="s">
        <v>2656</v>
      </c>
      <c r="E74" s="3117">
        <v>0.2</v>
      </c>
      <c r="F74" s="3117">
        <v>25</v>
      </c>
    </row>
    <row r="75" spans="1:7" ht="24">
      <c r="A75" s="3117">
        <v>3</v>
      </c>
      <c r="B75" s="3800"/>
      <c r="C75" s="3091" t="s">
        <v>2657</v>
      </c>
      <c r="D75" s="3091" t="s">
        <v>2658</v>
      </c>
      <c r="E75" s="3117">
        <v>0.2</v>
      </c>
      <c r="F75" s="3117">
        <v>25</v>
      </c>
    </row>
    <row r="76" spans="1:7" ht="13.5">
      <c r="A76" s="3117">
        <v>4</v>
      </c>
      <c r="B76" s="3800"/>
      <c r="C76" s="3091" t="s">
        <v>2659</v>
      </c>
      <c r="D76" s="3091" t="s">
        <v>2660</v>
      </c>
      <c r="E76" s="3117">
        <v>0.15</v>
      </c>
      <c r="F76" s="3117">
        <v>20</v>
      </c>
    </row>
    <row r="77" spans="1:7" ht="24">
      <c r="A77" s="3117">
        <v>5</v>
      </c>
      <c r="B77" s="3800"/>
      <c r="C77" s="3091" t="s">
        <v>2661</v>
      </c>
      <c r="D77" s="3091" t="s">
        <v>2662</v>
      </c>
      <c r="E77" s="3117">
        <v>0.15</v>
      </c>
      <c r="F77" s="3117">
        <v>20</v>
      </c>
    </row>
    <row r="78" spans="1:7" ht="24">
      <c r="A78" s="3117">
        <v>6</v>
      </c>
      <c r="B78" s="3800"/>
      <c r="C78" s="3091" t="s">
        <v>2663</v>
      </c>
      <c r="D78" s="3091" t="s">
        <v>2664</v>
      </c>
      <c r="E78" s="3117">
        <v>0.15</v>
      </c>
      <c r="F78" s="3117">
        <v>20</v>
      </c>
    </row>
    <row r="79" spans="1:7" ht="24">
      <c r="A79" s="3117">
        <v>7</v>
      </c>
      <c r="B79" s="3800"/>
      <c r="C79" s="3091" t="s">
        <v>2665</v>
      </c>
      <c r="D79" s="3091" t="s">
        <v>2666</v>
      </c>
      <c r="E79" s="3117">
        <v>0.15</v>
      </c>
      <c r="F79" s="3117">
        <v>20</v>
      </c>
    </row>
    <row r="80" spans="1:7" ht="24">
      <c r="A80" s="3117">
        <v>8</v>
      </c>
      <c r="B80" s="3800"/>
      <c r="C80" s="3091" t="s">
        <v>2667</v>
      </c>
      <c r="D80" s="3091" t="s">
        <v>2668</v>
      </c>
      <c r="E80" s="3117">
        <v>0.1</v>
      </c>
      <c r="F80" s="3117">
        <v>15</v>
      </c>
    </row>
    <row r="81" spans="1:6" ht="24">
      <c r="A81" s="3117">
        <v>9</v>
      </c>
      <c r="B81" s="3800"/>
      <c r="C81" s="3091" t="s">
        <v>2669</v>
      </c>
      <c r="D81" s="3091" t="s">
        <v>2670</v>
      </c>
      <c r="E81" s="3117">
        <v>0.1</v>
      </c>
      <c r="F81" s="3117">
        <v>15</v>
      </c>
    </row>
    <row r="82" spans="1:6" ht="24">
      <c r="A82" s="3117">
        <v>10</v>
      </c>
      <c r="B82" s="3800"/>
      <c r="C82" s="3091" t="s">
        <v>2671</v>
      </c>
      <c r="D82" s="3091" t="s">
        <v>2672</v>
      </c>
      <c r="E82" s="3117">
        <v>0.1</v>
      </c>
      <c r="F82" s="3117">
        <v>15</v>
      </c>
    </row>
    <row r="83" spans="1:6" ht="24">
      <c r="A83" s="3117">
        <v>11</v>
      </c>
      <c r="B83" s="3800"/>
      <c r="C83" s="3091" t="s">
        <v>2673</v>
      </c>
      <c r="D83" s="3091" t="s">
        <v>2674</v>
      </c>
      <c r="E83" s="3117">
        <v>0.1</v>
      </c>
      <c r="F83" s="3117">
        <v>15</v>
      </c>
    </row>
    <row r="84" spans="1:6" ht="24">
      <c r="A84" s="3117">
        <v>12</v>
      </c>
      <c r="B84" s="3800"/>
      <c r="C84" s="3091" t="s">
        <v>2675</v>
      </c>
      <c r="D84" s="3091" t="s">
        <v>2676</v>
      </c>
      <c r="E84" s="3117">
        <v>0.1</v>
      </c>
      <c r="F84" s="3117">
        <v>15</v>
      </c>
    </row>
    <row r="85" spans="1:6" ht="13.5">
      <c r="A85" s="3117">
        <v>13</v>
      </c>
      <c r="B85" s="3800"/>
      <c r="C85" s="3091" t="s">
        <v>2677</v>
      </c>
      <c r="D85" s="3091" t="s">
        <v>2678</v>
      </c>
      <c r="E85" s="3117">
        <v>0.1</v>
      </c>
      <c r="F85" s="3117">
        <v>15</v>
      </c>
    </row>
    <row r="86" spans="1:6" ht="13.5">
      <c r="A86" s="3117">
        <v>14</v>
      </c>
      <c r="B86" s="3800"/>
      <c r="C86" s="3091" t="s">
        <v>2679</v>
      </c>
      <c r="D86" s="3091" t="s">
        <v>2680</v>
      </c>
      <c r="E86" s="3117">
        <v>0.1</v>
      </c>
      <c r="F86" s="3117">
        <v>15</v>
      </c>
    </row>
    <row r="87" spans="1:6" ht="13.5">
      <c r="A87" s="3117">
        <v>15</v>
      </c>
      <c r="B87" s="3800"/>
      <c r="C87" s="3091" t="s">
        <v>2681</v>
      </c>
      <c r="D87" s="3091" t="s">
        <v>2682</v>
      </c>
      <c r="E87" s="3117">
        <v>0.1</v>
      </c>
      <c r="F87" s="3117">
        <v>15</v>
      </c>
    </row>
    <row r="88" spans="1:6" ht="24">
      <c r="A88" s="3117">
        <v>16</v>
      </c>
      <c r="B88" s="3800"/>
      <c r="C88" s="3091" t="s">
        <v>2683</v>
      </c>
      <c r="D88" s="3091" t="s">
        <v>2684</v>
      </c>
      <c r="E88" s="3117">
        <v>0.1</v>
      </c>
      <c r="F88" s="3117">
        <v>15</v>
      </c>
    </row>
    <row r="89" spans="1:6" ht="24">
      <c r="A89" s="3117">
        <v>17</v>
      </c>
      <c r="B89" s="3809"/>
      <c r="C89" s="3091" t="s">
        <v>2685</v>
      </c>
      <c r="D89" s="3091" t="s">
        <v>2686</v>
      </c>
      <c r="E89" s="3117">
        <v>0.1</v>
      </c>
      <c r="F89" s="3117">
        <v>15</v>
      </c>
    </row>
    <row r="90" spans="1:6" ht="13.5">
      <c r="A90" s="3117">
        <v>18</v>
      </c>
      <c r="B90" s="3805" t="s">
        <v>2687</v>
      </c>
      <c r="C90" s="3091" t="s">
        <v>2688</v>
      </c>
      <c r="D90" s="3091" t="s">
        <v>2689</v>
      </c>
      <c r="E90" s="3117">
        <v>0.2</v>
      </c>
      <c r="F90" s="3117">
        <v>25</v>
      </c>
    </row>
    <row r="91" spans="1:6" ht="24">
      <c r="A91" s="3117">
        <v>19</v>
      </c>
      <c r="B91" s="3800"/>
      <c r="C91" s="3091" t="s">
        <v>2690</v>
      </c>
      <c r="D91" s="3091" t="s">
        <v>2691</v>
      </c>
      <c r="E91" s="3117">
        <v>0.2</v>
      </c>
      <c r="F91" s="3117">
        <v>25</v>
      </c>
    </row>
    <row r="92" spans="1:6" ht="13.5">
      <c r="A92" s="3117">
        <v>20</v>
      </c>
      <c r="B92" s="3800"/>
      <c r="C92" s="3091" t="s">
        <v>2692</v>
      </c>
      <c r="D92" s="3091" t="s">
        <v>2693</v>
      </c>
      <c r="E92" s="3117">
        <v>0.15</v>
      </c>
      <c r="F92" s="3117">
        <v>20</v>
      </c>
    </row>
    <row r="93" spans="1:6" ht="13.5">
      <c r="A93" s="3117">
        <v>21</v>
      </c>
      <c r="B93" s="3800"/>
      <c r="C93" s="3091" t="s">
        <v>2694</v>
      </c>
      <c r="D93" s="3091" t="s">
        <v>2695</v>
      </c>
      <c r="E93" s="3117">
        <v>0.15</v>
      </c>
      <c r="F93" s="3117">
        <v>20</v>
      </c>
    </row>
    <row r="94" spans="1:6" ht="13.5">
      <c r="A94" s="3117">
        <v>22</v>
      </c>
      <c r="B94" s="3800"/>
      <c r="C94" s="3091" t="s">
        <v>2696</v>
      </c>
      <c r="D94" s="3091" t="s">
        <v>2697</v>
      </c>
      <c r="E94" s="3117">
        <v>0.15</v>
      </c>
      <c r="F94" s="3117">
        <v>20</v>
      </c>
    </row>
    <row r="95" spans="1:6" ht="36">
      <c r="A95" s="3117">
        <v>23</v>
      </c>
      <c r="B95" s="3800"/>
      <c r="C95" s="3091" t="s">
        <v>2698</v>
      </c>
      <c r="D95" s="3091" t="s">
        <v>2699</v>
      </c>
      <c r="E95" s="3117">
        <v>0.15</v>
      </c>
      <c r="F95" s="3117">
        <v>20</v>
      </c>
    </row>
    <row r="96" spans="1:6" ht="13.5">
      <c r="A96" s="3117">
        <v>24</v>
      </c>
      <c r="B96" s="3800"/>
      <c r="C96" s="3091" t="s">
        <v>2700</v>
      </c>
      <c r="D96" s="3091" t="s">
        <v>2701</v>
      </c>
      <c r="E96" s="3117">
        <v>0.1</v>
      </c>
      <c r="F96" s="3117">
        <v>15</v>
      </c>
    </row>
    <row r="97" spans="1:6" ht="13.5">
      <c r="A97" s="3117">
        <v>25</v>
      </c>
      <c r="B97" s="3800"/>
      <c r="C97" s="3091" t="s">
        <v>2702</v>
      </c>
      <c r="D97" s="3091" t="s">
        <v>2703</v>
      </c>
      <c r="E97" s="3117">
        <v>0.1</v>
      </c>
      <c r="F97" s="3117">
        <v>15</v>
      </c>
    </row>
    <row r="98" spans="1:6" ht="24">
      <c r="A98" s="3117">
        <v>26</v>
      </c>
      <c r="B98" s="3800"/>
      <c r="C98" s="3091" t="s">
        <v>2704</v>
      </c>
      <c r="D98" s="3091" t="s">
        <v>2705</v>
      </c>
      <c r="E98" s="3117">
        <v>0.1</v>
      </c>
      <c r="F98" s="3117">
        <v>15</v>
      </c>
    </row>
    <row r="99" spans="1:6" ht="24">
      <c r="A99" s="3117">
        <v>27</v>
      </c>
      <c r="B99" s="3800"/>
      <c r="C99" s="3091" t="s">
        <v>2706</v>
      </c>
      <c r="D99" s="3091" t="s">
        <v>2707</v>
      </c>
      <c r="E99" s="3117">
        <v>0.1</v>
      </c>
      <c r="F99" s="3117">
        <v>15</v>
      </c>
    </row>
    <row r="100" spans="1:6" ht="13.5">
      <c r="A100" s="3117">
        <v>28</v>
      </c>
      <c r="B100" s="3800"/>
      <c r="C100" s="3091" t="s">
        <v>2708</v>
      </c>
      <c r="D100" s="3091" t="s">
        <v>2709</v>
      </c>
      <c r="E100" s="3117">
        <v>0.1</v>
      </c>
      <c r="F100" s="3117">
        <v>15</v>
      </c>
    </row>
    <row r="101" spans="1:6" ht="13.5">
      <c r="A101" s="3117">
        <v>29</v>
      </c>
      <c r="B101" s="3800"/>
      <c r="C101" s="3091" t="s">
        <v>2710</v>
      </c>
      <c r="D101" s="3091" t="s">
        <v>2711</v>
      </c>
      <c r="E101" s="3117">
        <v>0.1</v>
      </c>
      <c r="F101" s="3117">
        <v>15</v>
      </c>
    </row>
    <row r="102" spans="1:6" ht="13.5">
      <c r="A102" s="3117">
        <v>30</v>
      </c>
      <c r="B102" s="3800"/>
      <c r="C102" s="3091" t="s">
        <v>2712</v>
      </c>
      <c r="D102" s="3091" t="s">
        <v>2713</v>
      </c>
      <c r="E102" s="3117">
        <v>0.1</v>
      </c>
      <c r="F102" s="3117">
        <v>15</v>
      </c>
    </row>
    <row r="103" spans="1:6" ht="24">
      <c r="A103" s="3117">
        <v>31</v>
      </c>
      <c r="B103" s="3800"/>
      <c r="C103" s="3091" t="s">
        <v>2714</v>
      </c>
      <c r="D103" s="3091" t="s">
        <v>2715</v>
      </c>
      <c r="E103" s="3117">
        <v>0.1</v>
      </c>
      <c r="F103" s="3117">
        <v>15</v>
      </c>
    </row>
    <row r="104" spans="1:6" ht="24">
      <c r="A104" s="3117">
        <v>32</v>
      </c>
      <c r="B104" s="3800"/>
      <c r="C104" s="3091" t="s">
        <v>2716</v>
      </c>
      <c r="D104" s="3091" t="s">
        <v>2717</v>
      </c>
      <c r="E104" s="3117">
        <v>0.1</v>
      </c>
      <c r="F104" s="3117">
        <v>15</v>
      </c>
    </row>
    <row r="105" spans="1:6" ht="24">
      <c r="A105" s="3117">
        <v>33</v>
      </c>
      <c r="B105" s="3800"/>
      <c r="C105" s="3091" t="s">
        <v>2718</v>
      </c>
      <c r="D105" s="3091" t="s">
        <v>2719</v>
      </c>
      <c r="E105" s="3117">
        <v>0.1</v>
      </c>
      <c r="F105" s="3117">
        <v>15</v>
      </c>
    </row>
    <row r="106" spans="1:6" ht="24">
      <c r="A106" s="3117">
        <v>34</v>
      </c>
      <c r="B106" s="3809"/>
      <c r="C106" s="3091" t="s">
        <v>2720</v>
      </c>
      <c r="D106" s="3091" t="s">
        <v>2721</v>
      </c>
      <c r="E106" s="3117">
        <v>0.1</v>
      </c>
      <c r="F106" s="3117">
        <v>15</v>
      </c>
    </row>
    <row r="107" spans="1:6" ht="24">
      <c r="A107" s="3117">
        <v>35</v>
      </c>
      <c r="B107" s="3805" t="s">
        <v>2722</v>
      </c>
      <c r="C107" s="3117" t="s">
        <v>2723</v>
      </c>
      <c r="D107" s="3091" t="s">
        <v>2724</v>
      </c>
      <c r="E107" s="3117">
        <v>0.15</v>
      </c>
      <c r="F107" s="3117">
        <v>20</v>
      </c>
    </row>
    <row r="108" spans="1:6" ht="13.5">
      <c r="A108" s="3117">
        <v>36</v>
      </c>
      <c r="B108" s="3800"/>
      <c r="C108" s="3117" t="s">
        <v>2725</v>
      </c>
      <c r="D108" s="3091" t="s">
        <v>2726</v>
      </c>
      <c r="E108" s="3117">
        <v>0.15</v>
      </c>
      <c r="F108" s="3117">
        <v>20</v>
      </c>
    </row>
    <row r="109" spans="1:6" ht="13.5">
      <c r="A109" s="3117">
        <v>37</v>
      </c>
      <c r="B109" s="3800"/>
      <c r="C109" s="3117" t="s">
        <v>2727</v>
      </c>
      <c r="D109" s="3091" t="s">
        <v>2728</v>
      </c>
      <c r="E109" s="3117">
        <v>0.15</v>
      </c>
      <c r="F109" s="3117">
        <v>20</v>
      </c>
    </row>
    <row r="110" spans="1:6" ht="13.5">
      <c r="A110" s="3117">
        <v>38</v>
      </c>
      <c r="B110" s="3800"/>
      <c r="C110" s="3117" t="s">
        <v>2729</v>
      </c>
      <c r="D110" s="3091" t="s">
        <v>2730</v>
      </c>
      <c r="E110" s="3117">
        <v>0.1</v>
      </c>
      <c r="F110" s="3117">
        <v>15</v>
      </c>
    </row>
    <row r="111" spans="1:6" ht="24">
      <c r="A111" s="3117">
        <v>39</v>
      </c>
      <c r="B111" s="3800"/>
      <c r="C111" s="3117" t="s">
        <v>2731</v>
      </c>
      <c r="D111" s="3091" t="s">
        <v>2732</v>
      </c>
      <c r="E111" s="3117">
        <v>0.1</v>
      </c>
      <c r="F111" s="3117">
        <v>15</v>
      </c>
    </row>
    <row r="112" spans="1:6" ht="24">
      <c r="A112" s="3117">
        <v>40</v>
      </c>
      <c r="B112" s="3809"/>
      <c r="C112" s="3117" t="s">
        <v>2733</v>
      </c>
      <c r="D112" s="3091" t="s">
        <v>2734</v>
      </c>
      <c r="E112" s="3117">
        <v>0.1</v>
      </c>
      <c r="F112" s="3117">
        <v>15</v>
      </c>
    </row>
    <row r="113" spans="1:6" ht="13.5">
      <c r="A113" s="3117">
        <v>41</v>
      </c>
      <c r="B113" s="3810" t="s">
        <v>2735</v>
      </c>
      <c r="C113" s="3117" t="s">
        <v>2736</v>
      </c>
      <c r="D113" s="3091" t="s">
        <v>2737</v>
      </c>
      <c r="E113" s="3117">
        <v>0.1</v>
      </c>
      <c r="F113" s="3117">
        <v>15</v>
      </c>
    </row>
    <row r="114" spans="1:6" ht="13.5">
      <c r="A114" s="3117">
        <v>42</v>
      </c>
      <c r="B114" s="3810"/>
      <c r="C114" s="3117" t="s">
        <v>2738</v>
      </c>
      <c r="D114" s="3091" t="s">
        <v>2739</v>
      </c>
      <c r="E114" s="3117">
        <v>0.1</v>
      </c>
      <c r="F114" s="3117">
        <v>15</v>
      </c>
    </row>
    <row r="115" spans="1:6" ht="24">
      <c r="A115" s="3117">
        <v>43</v>
      </c>
      <c r="B115" s="3810"/>
      <c r="C115" s="3117" t="s">
        <v>2740</v>
      </c>
      <c r="D115" s="3091" t="s">
        <v>2741</v>
      </c>
      <c r="E115" s="3117">
        <v>0.1</v>
      </c>
      <c r="F115" s="3117">
        <v>15</v>
      </c>
    </row>
    <row r="116" spans="1:6" ht="13.5">
      <c r="A116" s="3117">
        <v>44</v>
      </c>
      <c r="B116" s="3805" t="s">
        <v>2742</v>
      </c>
      <c r="C116" s="3117" t="s">
        <v>2743</v>
      </c>
      <c r="D116" s="3091" t="s">
        <v>2744</v>
      </c>
      <c r="E116" s="3117">
        <v>0.1</v>
      </c>
      <c r="F116" s="3117">
        <v>15</v>
      </c>
    </row>
    <row r="117" spans="1:6" ht="24">
      <c r="A117" s="3117">
        <v>45</v>
      </c>
      <c r="B117" s="3809"/>
      <c r="C117" s="3091" t="s">
        <v>2745</v>
      </c>
      <c r="D117" s="3091" t="s">
        <v>2746</v>
      </c>
      <c r="E117" s="3117">
        <v>0.1</v>
      </c>
      <c r="F117" s="3117">
        <v>15</v>
      </c>
    </row>
    <row r="118" spans="1:6" ht="24">
      <c r="A118" s="3117">
        <v>46</v>
      </c>
      <c r="B118" s="3805" t="s">
        <v>2747</v>
      </c>
      <c r="C118" s="3117" t="s">
        <v>2748</v>
      </c>
      <c r="D118" s="3091" t="s">
        <v>2749</v>
      </c>
      <c r="E118" s="3117">
        <v>0.1</v>
      </c>
      <c r="F118" s="3117">
        <v>15</v>
      </c>
    </row>
    <row r="119" spans="1:6" ht="24">
      <c r="A119" s="3117">
        <v>47</v>
      </c>
      <c r="B119" s="3809"/>
      <c r="C119" s="3117" t="s">
        <v>2750</v>
      </c>
      <c r="D119" s="3091" t="s">
        <v>2751</v>
      </c>
      <c r="E119" s="3117">
        <v>0.1</v>
      </c>
      <c r="F119" s="3117">
        <v>15</v>
      </c>
    </row>
    <row r="120" spans="1:6" ht="13.5">
      <c r="A120" s="3117">
        <v>48</v>
      </c>
      <c r="B120" s="3805" t="s">
        <v>2752</v>
      </c>
      <c r="C120" s="3117" t="s">
        <v>2753</v>
      </c>
      <c r="D120" s="3091" t="s">
        <v>2754</v>
      </c>
      <c r="E120" s="3117">
        <v>0.1</v>
      </c>
      <c r="F120" s="3117">
        <v>15</v>
      </c>
    </row>
    <row r="121" spans="1:6" ht="13.5">
      <c r="A121" s="3117">
        <v>49</v>
      </c>
      <c r="B121" s="3809"/>
      <c r="C121" s="3117" t="s">
        <v>2755</v>
      </c>
      <c r="D121" s="3091" t="s">
        <v>2756</v>
      </c>
      <c r="E121" s="3117">
        <v>0.1</v>
      </c>
      <c r="F121" s="3117">
        <v>15</v>
      </c>
    </row>
    <row r="122" spans="1:6" ht="24">
      <c r="A122" s="3117">
        <v>50</v>
      </c>
      <c r="B122" s="3810" t="s">
        <v>2757</v>
      </c>
      <c r="C122" s="3117" t="s">
        <v>2758</v>
      </c>
      <c r="D122" s="3091" t="s">
        <v>2759</v>
      </c>
      <c r="E122" s="3117">
        <v>0.1</v>
      </c>
      <c r="F122" s="3117">
        <v>15</v>
      </c>
    </row>
    <row r="123" spans="1:6" ht="24">
      <c r="A123" s="3117">
        <v>51</v>
      </c>
      <c r="B123" s="3810"/>
      <c r="C123" s="3117" t="s">
        <v>2760</v>
      </c>
      <c r="D123" s="3091" t="s">
        <v>2761</v>
      </c>
      <c r="E123" s="3117">
        <v>0.1</v>
      </c>
      <c r="F123" s="3117">
        <v>15</v>
      </c>
    </row>
    <row r="124" spans="1:6" ht="24">
      <c r="A124" s="3117">
        <v>52</v>
      </c>
      <c r="B124" s="3810" t="s">
        <v>2762</v>
      </c>
      <c r="C124" s="3117" t="s">
        <v>2763</v>
      </c>
      <c r="D124" s="3091" t="s">
        <v>2764</v>
      </c>
      <c r="E124" s="3117">
        <v>0.1</v>
      </c>
      <c r="F124" s="3117">
        <v>15</v>
      </c>
    </row>
    <row r="125" spans="1:6" ht="24">
      <c r="A125" s="3117">
        <v>53</v>
      </c>
      <c r="B125" s="3810"/>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10" t="s">
        <v>2770</v>
      </c>
      <c r="C127" s="3117" t="s">
        <v>2771</v>
      </c>
      <c r="D127" s="3091" t="s">
        <v>2772</v>
      </c>
      <c r="E127" s="3117">
        <v>0.1</v>
      </c>
      <c r="F127" s="3117">
        <v>15</v>
      </c>
    </row>
    <row r="128" spans="1:6" ht="13.5">
      <c r="A128" s="3117">
        <v>56</v>
      </c>
      <c r="B128" s="3810"/>
      <c r="C128" s="3117" t="s">
        <v>2773</v>
      </c>
      <c r="D128" s="3091" t="s">
        <v>2774</v>
      </c>
      <c r="E128" s="3117">
        <v>0.1</v>
      </c>
      <c r="F128" s="3117">
        <v>15</v>
      </c>
    </row>
    <row r="129" spans="1:6" ht="24">
      <c r="A129" s="3117">
        <v>57</v>
      </c>
      <c r="B129" s="3810"/>
      <c r="C129" s="3117" t="s">
        <v>2775</v>
      </c>
      <c r="D129" s="3091" t="s">
        <v>2776</v>
      </c>
      <c r="E129" s="3117">
        <v>0.1</v>
      </c>
      <c r="F129" s="3117">
        <v>15</v>
      </c>
    </row>
    <row r="130" spans="1:6" ht="24">
      <c r="A130" s="3117">
        <v>58</v>
      </c>
      <c r="B130" s="3810" t="s">
        <v>2777</v>
      </c>
      <c r="C130" s="3117" t="s">
        <v>2778</v>
      </c>
      <c r="D130" s="3091" t="s">
        <v>2779</v>
      </c>
      <c r="E130" s="3117">
        <v>0.1</v>
      </c>
      <c r="F130" s="3117">
        <v>15</v>
      </c>
    </row>
    <row r="131" spans="1:6" ht="13.5">
      <c r="A131" s="3117">
        <v>59</v>
      </c>
      <c r="B131" s="3810"/>
      <c r="C131" s="3117" t="s">
        <v>2780</v>
      </c>
      <c r="D131" s="3091" t="s">
        <v>2781</v>
      </c>
      <c r="E131" s="3117">
        <v>0.1</v>
      </c>
      <c r="F131" s="3117">
        <v>15</v>
      </c>
    </row>
    <row r="132" spans="1:6" ht="13.5">
      <c r="A132" s="3117">
        <v>60</v>
      </c>
      <c r="B132" s="3805" t="s">
        <v>2782</v>
      </c>
      <c r="C132" s="3117" t="s">
        <v>2783</v>
      </c>
      <c r="D132" s="3091" t="s">
        <v>2784</v>
      </c>
      <c r="E132" s="3117">
        <v>0.1</v>
      </c>
      <c r="F132" s="3117">
        <v>15</v>
      </c>
    </row>
    <row r="133" spans="1:6" ht="13.5">
      <c r="A133" s="3117">
        <v>61</v>
      </c>
      <c r="B133" s="380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10" t="s">
        <v>2790</v>
      </c>
      <c r="C135" s="3117" t="s">
        <v>2791</v>
      </c>
      <c r="D135" s="3091" t="s">
        <v>2792</v>
      </c>
      <c r="E135" s="3117">
        <v>0.1</v>
      </c>
      <c r="F135" s="3117">
        <v>15</v>
      </c>
    </row>
    <row r="136" spans="1:6" ht="13.5">
      <c r="A136" s="3117">
        <v>64</v>
      </c>
      <c r="B136" s="3810"/>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27880</v>
      </c>
      <c r="C2" s="2" t="s">
        <v>106</v>
      </c>
      <c r="D2" s="199"/>
      <c r="E2" s="199"/>
      <c r="F2" s="199"/>
      <c r="G2" s="199"/>
    </row>
    <row r="3" spans="1:7" s="200" customFormat="1" ht="18" customHeight="1" thickBot="1">
      <c r="A3" s="203" t="s">
        <v>58</v>
      </c>
      <c r="B3" s="204">
        <f ca="1">ROUND(B2*10000/'数据-汇总表'!E3,0)</f>
        <v>116690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48</v>
      </c>
      <c r="D10" s="844">
        <f>'数据-汇总表'!E6</f>
        <v>2389.2399999999998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48</v>
      </c>
      <c r="D19" s="848">
        <f>'数据-汇总表'!E3</f>
        <v>2389.2399999999998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2107</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2107</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1075</v>
      </c>
      <c r="D34" s="217"/>
      <c r="E34" s="220"/>
      <c r="F34" s="257">
        <f>IF('数据-取费表'!B24=0,1,'数据-取费表'!N16)</f>
        <v>1</v>
      </c>
      <c r="G34" s="219" t="s">
        <v>89</v>
      </c>
    </row>
    <row r="35" spans="1:7" ht="13.5" customHeight="1">
      <c r="A35" s="779" t="s">
        <v>351</v>
      </c>
      <c r="B35" s="215" t="s">
        <v>33</v>
      </c>
      <c r="C35" s="220">
        <f>ROUND(C34*F35,0)</f>
        <v>32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48</v>
      </c>
      <c r="D37" s="217">
        <f>'数据-汇总表'!E3</f>
        <v>2389.2399999999998</v>
      </c>
      <c r="E37" s="249">
        <f>'数据-取费表'!B35</f>
        <v>200</v>
      </c>
      <c r="F37" s="259"/>
      <c r="G37" s="261" t="s">
        <v>92</v>
      </c>
    </row>
    <row r="38" spans="1:7" ht="13.5" customHeight="1">
      <c r="A38" s="779" t="s">
        <v>354</v>
      </c>
      <c r="B38" s="215" t="s">
        <v>36</v>
      </c>
      <c r="C38" s="220">
        <f>ROUND(C34*F38,0)</f>
        <v>22</v>
      </c>
      <c r="D38" s="220"/>
      <c r="E38" s="220"/>
      <c r="F38" s="259">
        <f>'数据-取费表'!B36</f>
        <v>0.02</v>
      </c>
      <c r="G38" s="219" t="s">
        <v>90</v>
      </c>
    </row>
    <row r="39" spans="1:7" s="214" customFormat="1" ht="13.5" customHeight="1">
      <c r="A39" s="776" t="s">
        <v>338</v>
      </c>
      <c r="B39" s="210" t="s">
        <v>77</v>
      </c>
      <c r="C39" s="232">
        <f>ROUND(C33*F20,0)</f>
        <v>24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41</v>
      </c>
      <c r="D42" s="238"/>
      <c r="E42" s="238"/>
      <c r="F42" s="239"/>
      <c r="G42" s="3675" t="s">
        <v>94</v>
      </c>
    </row>
    <row r="43" spans="1:7" ht="13.5" customHeight="1">
      <c r="A43" s="779" t="s">
        <v>347</v>
      </c>
      <c r="B43" s="215" t="s">
        <v>426</v>
      </c>
      <c r="C43" s="238">
        <f ca="1">ROUND(IF('数据-取费表'!B22&lt;=1,C39*F22*'数据-取费表'!B21/2,C39*(POWER((1+F22),'数据-取费表'!B21/2)-1)),0)</f>
        <v>1</v>
      </c>
      <c r="D43" s="238"/>
      <c r="E43" s="238"/>
      <c r="F43" s="239"/>
      <c r="G43" s="3676"/>
    </row>
    <row r="44" spans="1:7" ht="13.5" customHeight="1">
      <c r="A44" s="779" t="s">
        <v>348</v>
      </c>
      <c r="B44" s="215" t="s">
        <v>428</v>
      </c>
      <c r="C44" s="238">
        <f ca="1">ROUND(IF('数据-取费表'!B22&lt;=1,C40*F22*'数据-取费表'!B21/2,C40*(POWER((1+F22),'数据-取费表'!B21/2)-1)),4)</f>
        <v>6.9999999999999999E-4</v>
      </c>
      <c r="D44" s="238"/>
      <c r="E44" s="238"/>
      <c r="F44" s="239"/>
      <c r="G44" s="3677"/>
    </row>
    <row r="45" spans="1:7" s="214" customFormat="1" ht="13.5" customHeight="1">
      <c r="A45" s="776" t="s">
        <v>341</v>
      </c>
      <c r="B45" s="244" t="s">
        <v>85</v>
      </c>
      <c r="C45" s="245">
        <f>C46</f>
        <v>120</v>
      </c>
      <c r="D45" s="235">
        <f>C47</f>
        <v>2E-3</v>
      </c>
      <c r="E45" s="236" t="s">
        <v>102</v>
      </c>
      <c r="F45" s="246"/>
      <c r="G45" s="247" t="s">
        <v>434</v>
      </c>
    </row>
    <row r="46" spans="1:7" s="214" customFormat="1" ht="13.5" customHeight="1">
      <c r="A46" s="779" t="s">
        <v>349</v>
      </c>
      <c r="B46" s="248" t="s">
        <v>427</v>
      </c>
      <c r="C46" s="249">
        <f>ROUND((C33+C39)*F27,0)</f>
        <v>120</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1475</v>
      </c>
      <c r="D49" s="232"/>
      <c r="E49" s="232"/>
      <c r="F49" s="264"/>
      <c r="G49" s="234" t="s">
        <v>435</v>
      </c>
    </row>
    <row r="50" spans="1:7" s="258" customFormat="1" ht="24">
      <c r="A50" s="776" t="s">
        <v>344</v>
      </c>
      <c r="B50" s="210" t="s">
        <v>97</v>
      </c>
      <c r="C50" s="232"/>
      <c r="D50" s="232"/>
      <c r="E50" s="232"/>
      <c r="F50" s="264">
        <f>IF('数据-取费表'!B24=0,'数据-取费表'!N16,1)</f>
        <v>0.82</v>
      </c>
      <c r="G50" s="247" t="s">
        <v>98</v>
      </c>
    </row>
    <row r="51" spans="1:7" ht="16.5" customHeight="1">
      <c r="A51" s="776" t="s">
        <v>345</v>
      </c>
      <c r="B51" s="210" t="s">
        <v>105</v>
      </c>
      <c r="C51" s="232">
        <f ca="1">ROUND(C49*F50,0)</f>
        <v>1210</v>
      </c>
      <c r="D51" s="232"/>
      <c r="E51" s="232"/>
      <c r="F51" s="264"/>
      <c r="G51" s="234" t="s">
        <v>37</v>
      </c>
    </row>
    <row r="52" spans="1:7" s="208" customFormat="1" ht="16.5" thickBot="1">
      <c r="A52" s="265" t="s">
        <v>38</v>
      </c>
      <c r="B52" s="266"/>
      <c r="C52" s="267">
        <f ca="1">C31+C51</f>
        <v>27880</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2"/>
      <c r="B4" s="3496" t="s">
        <v>917</v>
      </c>
      <c r="C4" s="3496"/>
      <c r="D4" s="3496"/>
      <c r="E4" s="1492"/>
    </row>
    <row r="5" spans="1:5" ht="16.5" thickTop="1">
      <c r="A5" s="1490"/>
      <c r="B5" s="3494" t="s">
        <v>909</v>
      </c>
      <c r="C5" s="1493" t="s">
        <v>910</v>
      </c>
      <c r="D5" s="849">
        <f ca="1">结果表!H101</f>
        <v>2676</v>
      </c>
      <c r="E5" s="1490"/>
    </row>
    <row r="6" spans="1:5" ht="15.75">
      <c r="A6" s="1490"/>
      <c r="B6" s="3494"/>
      <c r="C6" s="1493" t="s">
        <v>911</v>
      </c>
      <c r="D6" s="849" t="str">
        <f ca="1">NUMBERSTRING(INT(D5*10000),2)&amp;"元整"</f>
        <v>贰仟陆佰柒拾陆万元整</v>
      </c>
      <c r="E6" s="1490"/>
    </row>
    <row r="7" spans="1:5" ht="15.75">
      <c r="A7" s="1490"/>
      <c r="B7" s="3499"/>
      <c r="C7" s="1494" t="s">
        <v>912</v>
      </c>
      <c r="D7" s="850">
        <f ca="1">结果表!H102</f>
        <v>11200</v>
      </c>
      <c r="E7" s="1490"/>
    </row>
    <row r="8" spans="1:5" ht="15.75">
      <c r="A8" s="1490"/>
      <c r="B8" s="3500" t="str">
        <f>结果表!E103</f>
        <v>2.估价师知悉的法定优先受偿款</v>
      </c>
      <c r="C8" s="1495" t="s">
        <v>913</v>
      </c>
      <c r="D8" s="850">
        <f>结果表!H103</f>
        <v>0</v>
      </c>
      <c r="E8" s="1490"/>
    </row>
    <row r="9" spans="1:5" ht="15.75">
      <c r="A9" s="1490"/>
      <c r="B9" s="350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3" t="str">
        <f>结果表!E107</f>
        <v>3.房地产抵押价值</v>
      </c>
      <c r="C13" s="1498" t="s">
        <v>910</v>
      </c>
      <c r="D13" s="852">
        <f ca="1">结果表!H107</f>
        <v>2676</v>
      </c>
      <c r="E13" s="1490"/>
    </row>
    <row r="14" spans="1:5" ht="15.75">
      <c r="A14" s="1490"/>
      <c r="B14" s="3494"/>
      <c r="C14" s="1493" t="s">
        <v>911</v>
      </c>
      <c r="D14" s="849" t="str">
        <f ca="1">NUMBERSTRING(INT(D13*10000),2)&amp;"元整"</f>
        <v>贰仟陆佰柒拾陆万元整</v>
      </c>
      <c r="E14" s="1490"/>
    </row>
    <row r="15" spans="1:5" ht="15">
      <c r="A15" s="1490"/>
      <c r="B15" s="3499"/>
      <c r="C15" s="1494" t="s">
        <v>921</v>
      </c>
      <c r="D15" s="858">
        <f ca="1">结果表!H108</f>
        <v>11200</v>
      </c>
      <c r="E15" s="1490"/>
    </row>
    <row r="16" spans="1:5" ht="15">
      <c r="A16" s="1490"/>
      <c r="B16" s="3500" t="str">
        <f>结果表!E109</f>
        <v>——</v>
      </c>
      <c r="C16" s="1498" t="s">
        <v>922</v>
      </c>
      <c r="D16" s="1499" t="str">
        <f>结果表!H109</f>
        <v>——</v>
      </c>
      <c r="E16" s="1490"/>
    </row>
    <row r="17" spans="1:5" ht="15.75">
      <c r="A17" s="1490"/>
      <c r="B17" s="3501"/>
      <c r="C17" s="1493" t="s">
        <v>923</v>
      </c>
      <c r="D17" s="849" t="e">
        <f>NUMBERSTRING(INT(D16*10000),2)&amp;"元整"</f>
        <v>#VALUE!</v>
      </c>
      <c r="E17" s="1490"/>
    </row>
    <row r="18" spans="1:5" ht="15">
      <c r="A18" s="1490"/>
      <c r="B18" s="3502"/>
      <c r="C18" s="1494" t="s">
        <v>912</v>
      </c>
      <c r="D18" s="858" t="str">
        <f>结果表!H110</f>
        <v>——</v>
      </c>
      <c r="E18" s="1490"/>
    </row>
    <row r="19" spans="1:5" ht="15.75">
      <c r="A19" s="1490"/>
      <c r="B19" s="3493" t="str">
        <f>结果表!E111</f>
        <v>——</v>
      </c>
      <c r="C19" s="1498" t="s">
        <v>910</v>
      </c>
      <c r="D19" s="850" t="str">
        <f>结果表!H111</f>
        <v>——</v>
      </c>
      <c r="E19" s="1490"/>
    </row>
    <row r="20" spans="1:5" ht="15.75">
      <c r="A20" s="1490"/>
      <c r="B20" s="3494"/>
      <c r="C20" s="1493" t="s">
        <v>923</v>
      </c>
      <c r="D20" s="849" t="e">
        <f>NUMBERSTRING(INT(D19*10000),2)&amp;"元整"</f>
        <v>#VALUE!</v>
      </c>
      <c r="E20" s="1490"/>
    </row>
    <row r="21" spans="1:5" ht="15.75" thickBot="1">
      <c r="A21" s="1490"/>
      <c r="B21" s="349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D38" sqref="D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3453</v>
      </c>
      <c r="D1" s="1746"/>
      <c r="E1" s="1746"/>
      <c r="F1" s="1748" t="s">
        <v>1261</v>
      </c>
      <c r="G1" s="1560"/>
      <c r="H1" s="1749" t="str">
        <f>IF(G1="现房","——","估价对象范围")</f>
        <v>估价对象范围</v>
      </c>
      <c r="I1" s="1750"/>
    </row>
    <row r="2" spans="1:12" ht="21.75" customHeight="1" thickBot="1">
      <c r="A2" s="3648" t="str">
        <f>项目基本情况!S2</f>
        <v>北京市房地产</v>
      </c>
      <c r="B2" s="3649"/>
      <c r="C2" s="3649"/>
      <c r="D2" s="3649"/>
      <c r="E2" s="3649"/>
      <c r="F2" s="3649"/>
      <c r="G2" s="3649"/>
      <c r="H2" s="3649"/>
      <c r="I2" s="3650"/>
    </row>
    <row r="3" spans="1:12" ht="12.75">
      <c r="A3" s="3652" t="s">
        <v>1262</v>
      </c>
      <c r="B3" s="3653"/>
      <c r="C3" s="3653"/>
      <c r="D3" s="3653"/>
      <c r="E3" s="3653"/>
      <c r="F3" s="3653"/>
      <c r="G3" s="3653"/>
      <c r="H3" s="3653"/>
      <c r="I3" s="3653"/>
    </row>
    <row r="4" spans="1:12" ht="14.25">
      <c r="A4" s="1753" t="s">
        <v>1263</v>
      </c>
      <c r="B4" s="1754" t="s">
        <v>1264</v>
      </c>
      <c r="C4" s="1755" t="s">
        <v>3461</v>
      </c>
      <c r="D4" s="1755" t="s">
        <v>3455</v>
      </c>
      <c r="E4" s="3657" t="s">
        <v>1265</v>
      </c>
      <c r="F4" s="3658"/>
      <c r="G4" s="3658"/>
      <c r="H4" s="3658"/>
      <c r="I4" s="3659"/>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6" t="s">
        <v>1266</v>
      </c>
      <c r="B5" s="3651">
        <v>25</v>
      </c>
      <c r="C5" s="3654"/>
      <c r="D5" s="3642"/>
      <c r="E5" s="131" t="s">
        <v>1267</v>
      </c>
      <c r="F5" s="1756"/>
      <c r="G5" s="1756"/>
      <c r="H5" s="1756"/>
      <c r="I5" s="1372"/>
    </row>
    <row r="6" spans="1:12" ht="12.75">
      <c r="A6" s="3596"/>
      <c r="B6" s="3651"/>
      <c r="C6" s="3656"/>
      <c r="D6" s="3642"/>
      <c r="E6" s="131" t="s">
        <v>1268</v>
      </c>
      <c r="F6" s="1756"/>
      <c r="G6" s="1756"/>
      <c r="H6" s="1756"/>
      <c r="I6" s="1372"/>
    </row>
    <row r="7" spans="1:12" ht="12.75">
      <c r="A7" s="3596"/>
      <c r="B7" s="3651"/>
      <c r="C7" s="3655"/>
      <c r="D7" s="3642"/>
      <c r="E7" s="131" t="s">
        <v>1269</v>
      </c>
      <c r="F7" s="1756"/>
      <c r="G7" s="1756"/>
      <c r="H7" s="1756"/>
      <c r="I7" s="1372"/>
    </row>
    <row r="8" spans="1:12" ht="12.75">
      <c r="A8" s="3596" t="s">
        <v>1270</v>
      </c>
      <c r="B8" s="3651">
        <v>15</v>
      </c>
      <c r="C8" s="3654"/>
      <c r="D8" s="3642"/>
      <c r="E8" s="131" t="s">
        <v>1271</v>
      </c>
      <c r="F8" s="1756"/>
      <c r="G8" s="1756"/>
      <c r="H8" s="1756"/>
      <c r="I8" s="1372"/>
    </row>
    <row r="9" spans="1:12" ht="12.75">
      <c r="A9" s="3596"/>
      <c r="B9" s="3651"/>
      <c r="C9" s="3655"/>
      <c r="D9" s="3642"/>
      <c r="E9" s="131" t="s">
        <v>1272</v>
      </c>
      <c r="F9" s="1756"/>
      <c r="G9" s="1756"/>
      <c r="H9" s="1756"/>
      <c r="I9" s="1372"/>
    </row>
    <row r="10" spans="1:12" ht="12.75">
      <c r="A10" s="3596" t="s">
        <v>1273</v>
      </c>
      <c r="B10" s="3651">
        <v>15</v>
      </c>
      <c r="C10" s="3654"/>
      <c r="D10" s="3642"/>
      <c r="E10" s="131" t="s">
        <v>1274</v>
      </c>
      <c r="F10" s="1756"/>
      <c r="G10" s="1756"/>
      <c r="H10" s="1756"/>
      <c r="I10" s="1372"/>
    </row>
    <row r="11" spans="1:12" ht="12.75">
      <c r="A11" s="3596"/>
      <c r="B11" s="3651"/>
      <c r="C11" s="3655"/>
      <c r="D11" s="3642"/>
      <c r="E11" s="131" t="s">
        <v>1275</v>
      </c>
      <c r="F11" s="1756"/>
      <c r="G11" s="1756"/>
      <c r="H11" s="1756"/>
      <c r="I11" s="1372"/>
    </row>
    <row r="12" spans="1:12" ht="12.75">
      <c r="A12" s="3596" t="s">
        <v>1276</v>
      </c>
      <c r="B12" s="3651">
        <v>15</v>
      </c>
      <c r="C12" s="3654"/>
      <c r="D12" s="3642"/>
      <c r="E12" s="131" t="s">
        <v>1277</v>
      </c>
      <c r="F12" s="1756"/>
      <c r="G12" s="1756"/>
      <c r="H12" s="1756"/>
      <c r="I12" s="1372"/>
    </row>
    <row r="13" spans="1:12" ht="12.75">
      <c r="A13" s="3596"/>
      <c r="B13" s="3651"/>
      <c r="C13" s="3655"/>
      <c r="D13" s="3642"/>
      <c r="E13" s="131" t="s">
        <v>1278</v>
      </c>
      <c r="F13" s="1756"/>
      <c r="G13" s="1756"/>
      <c r="H13" s="1756"/>
      <c r="I13" s="1372"/>
    </row>
    <row r="14" spans="1:12" ht="12.75">
      <c r="A14" s="3596" t="s">
        <v>1279</v>
      </c>
      <c r="B14" s="3651">
        <v>30</v>
      </c>
      <c r="C14" s="3811">
        <v>55</v>
      </c>
      <c r="D14" s="3814">
        <v>45</v>
      </c>
      <c r="E14" s="131" t="s">
        <v>1280</v>
      </c>
      <c r="F14" s="1756"/>
      <c r="G14" s="1756"/>
      <c r="H14" s="1756"/>
      <c r="I14" s="1372"/>
    </row>
    <row r="15" spans="1:12" ht="12.75">
      <c r="A15" s="3596"/>
      <c r="B15" s="3651"/>
      <c r="C15" s="3812"/>
      <c r="D15" s="3814"/>
      <c r="E15" s="131" t="s">
        <v>1281</v>
      </c>
      <c r="F15" s="1756"/>
      <c r="G15" s="1756"/>
      <c r="H15" s="1756"/>
      <c r="I15" s="1372"/>
    </row>
    <row r="16" spans="1:12" ht="12.75">
      <c r="A16" s="3596"/>
      <c r="B16" s="3651"/>
      <c r="C16" s="3813"/>
      <c r="D16" s="3814"/>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73" t="s">
        <v>2128</v>
      </c>
      <c r="F18" s="3674"/>
      <c r="G18" s="3674"/>
      <c r="H18" s="3674"/>
      <c r="I18" s="3674"/>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t="e">
        <f ca="1">SUMIF(INDIRECT("'"&amp;C4&amp;"'"&amp;"!A:A"),'结果表-6号楼'!B19,INDIRECT("'"&amp;C4&amp;"'"&amp;"!B:B"))</f>
        <v>#N/A</v>
      </c>
      <c r="D19" s="135" t="e">
        <f ca="1">SUMIF(INDIRECT("'"&amp;D4&amp;"'"&amp;"!A:A"),'结果表-6号楼'!B19,INDIRECT("'"&amp;D4&amp;"'"&amp;"!B:B"))</f>
        <v>#N/A</v>
      </c>
      <c r="E19" s="1760" t="s">
        <v>1290</v>
      </c>
      <c r="F19" s="1761" t="s">
        <v>1289</v>
      </c>
      <c r="G19" s="136" t="e">
        <f ca="1">ROUND(C19*$C$18+D19*$D$18,0)</f>
        <v>#N/A</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t="e">
        <f ca="1">SUMIF(INDIRECT("'"&amp;C4&amp;"'"&amp;"!A:A"),'结果表-6号楼'!B20,INDIRECT("'"&amp;C4&amp;"'"&amp;"!B:B"))</f>
        <v>#N/A</v>
      </c>
      <c r="D20" s="138">
        <f ca="1">SUMIF(INDIRECT("'"&amp;D4&amp;"'"&amp;"!A:A"),'结果表-6号楼'!B20,INDIRECT("'"&amp;D4&amp;"'"&amp;"!B:B"))</f>
        <v>0</v>
      </c>
      <c r="E20" s="1763"/>
      <c r="F20" s="1025" t="s">
        <v>1293</v>
      </c>
      <c r="G20" s="139" t="e">
        <f ca="1">ROUND(C20*$C$18+D20*$D$18,0)</f>
        <v>#N/A</v>
      </c>
      <c r="H20" s="807" t="s">
        <v>1294</v>
      </c>
      <c r="I20" s="129"/>
    </row>
    <row r="21" spans="1:36" ht="15" customHeight="1" thickBot="1">
      <c r="A21" s="827"/>
      <c r="B21" s="1764" t="s">
        <v>1295</v>
      </c>
      <c r="C21" s="718" t="e">
        <f ca="1">ROUND(C19*10000/L19,0)</f>
        <v>#N/A</v>
      </c>
      <c r="D21" s="719" t="e">
        <f ca="1">ROUND(D19*10000/L19,0)</f>
        <v>#N/A</v>
      </c>
      <c r="E21" s="827"/>
      <c r="F21" s="1764" t="s">
        <v>1295</v>
      </c>
      <c r="G21" s="140" t="e">
        <f ca="1">ROUND(G19*10000/L19,0)</f>
        <v>#N/A</v>
      </c>
      <c r="H21" s="1765" t="s">
        <v>1294</v>
      </c>
      <c r="I21" s="129"/>
    </row>
    <row r="22" spans="1:36" ht="15" thickBot="1">
      <c r="A22" s="1687" t="s">
        <v>1296</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666" t="s">
        <v>1297</v>
      </c>
      <c r="B24" s="1761" t="s">
        <v>1289</v>
      </c>
      <c r="C24" s="136">
        <f>IF(B30=0,0,D30)</f>
        <v>0</v>
      </c>
      <c r="D24" s="1768"/>
      <c r="E24" s="129"/>
      <c r="F24" s="129"/>
      <c r="G24" s="129"/>
      <c r="H24" s="129"/>
      <c r="I24" s="129"/>
    </row>
    <row r="25" spans="1:36" ht="14.25">
      <c r="A25" s="3667"/>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t="e">
        <f ca="1">G20/0.66</f>
        <v>#N/A</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t="e">
        <f ca="1">IF(D32="总价",G19-C24,G20-C25)</f>
        <v>#N/A</v>
      </c>
      <c r="D32" s="1774" t="s">
        <v>3435</v>
      </c>
      <c r="E32" s="129"/>
      <c r="F32" s="129"/>
      <c r="G32" s="129"/>
      <c r="H32" s="129"/>
      <c r="I32" s="129"/>
    </row>
    <row r="33" spans="1:15" ht="15">
      <c r="A33" s="785" t="s">
        <v>1304</v>
      </c>
      <c r="B33" s="1775"/>
      <c r="C33" s="1776" t="s">
        <v>3451</v>
      </c>
      <c r="D33" s="1777" t="s">
        <v>3461</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43" t="s">
        <v>1310</v>
      </c>
      <c r="B36" s="1786" t="s">
        <v>1311</v>
      </c>
      <c r="C36" s="145"/>
      <c r="D36" s="1787"/>
      <c r="E36" s="1788"/>
      <c r="F36" s="1789"/>
      <c r="G36" s="129"/>
      <c r="H36" s="129"/>
      <c r="I36" s="129"/>
    </row>
    <row r="37" spans="1:15" ht="15.75" thickBot="1">
      <c r="A37" s="3644"/>
      <c r="B37" s="1673" t="s">
        <v>1312</v>
      </c>
      <c r="C37" s="147"/>
      <c r="D37" s="1138"/>
      <c r="E37" s="1138"/>
      <c r="F37" s="1789"/>
      <c r="G37" s="129"/>
      <c r="H37" s="129"/>
      <c r="I37" s="129"/>
    </row>
    <row r="38" spans="1:15" ht="15.75" thickBot="1">
      <c r="A38" s="3645"/>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3" t="s">
        <v>1324</v>
      </c>
      <c r="B45" s="3664"/>
      <c r="C45" s="3665"/>
      <c r="D45" s="155" t="e">
        <f ca="1">ROUND(H101*F45,0)</f>
        <v>#N/A</v>
      </c>
      <c r="E45" s="156" t="s">
        <v>1325</v>
      </c>
      <c r="F45" s="157">
        <v>1</v>
      </c>
      <c r="G45" s="158" t="s">
        <v>1326</v>
      </c>
      <c r="H45" s="129"/>
      <c r="I45" s="129"/>
      <c r="J45" s="3583" t="s">
        <v>1327</v>
      </c>
      <c r="K45" s="3583"/>
      <c r="L45" s="3583"/>
      <c r="M45" s="3583"/>
      <c r="N45" s="3583"/>
      <c r="O45" s="3583"/>
    </row>
    <row r="46" spans="1:15" ht="14.25" customHeight="1">
      <c r="A46" s="3660" t="s">
        <v>1328</v>
      </c>
      <c r="B46" s="3661"/>
      <c r="C46" s="3661"/>
      <c r="D46" s="3661"/>
      <c r="E46" s="3661"/>
      <c r="F46" s="3661"/>
      <c r="G46" s="3662"/>
      <c r="H46" s="1805"/>
      <c r="I46" s="159"/>
      <c r="J46" s="3468">
        <v>1</v>
      </c>
      <c r="K46" s="3584" t="s">
        <v>1329</v>
      </c>
      <c r="L46" s="3584"/>
      <c r="M46" s="3585"/>
      <c r="N46" s="3585"/>
      <c r="O46" s="3585"/>
    </row>
    <row r="47" spans="1:15" ht="12" customHeight="1">
      <c r="A47" s="160" t="s">
        <v>1330</v>
      </c>
      <c r="B47" s="161"/>
      <c r="C47" s="162"/>
      <c r="D47" s="1086" t="s">
        <v>1331</v>
      </c>
      <c r="E47" s="302" t="s">
        <v>1332</v>
      </c>
      <c r="F47" s="163" t="s">
        <v>1333</v>
      </c>
      <c r="G47" s="2545" t="s">
        <v>1334</v>
      </c>
      <c r="H47" s="2546"/>
      <c r="I47" s="159"/>
      <c r="J47" s="3468">
        <v>2</v>
      </c>
      <c r="K47" s="3584" t="s">
        <v>1335</v>
      </c>
      <c r="L47" s="3584"/>
      <c r="M47" s="3586">
        <f>'数据-取费表'!B2</f>
        <v>45449</v>
      </c>
      <c r="N47" s="3586"/>
      <c r="O47" s="3586"/>
    </row>
    <row r="48" spans="1:15" ht="25.5">
      <c r="A48" s="3646" t="s">
        <v>1336</v>
      </c>
      <c r="B48" s="3647"/>
      <c r="C48" s="3647"/>
      <c r="D48" s="3463" t="b">
        <f>IF(H48="情况1",0,IF(H48="情况2",D52,IF(H48="情况3",D53,IF(H48="情况4",D54))))</f>
        <v>0</v>
      </c>
      <c r="E48" s="3479" t="str">
        <f>IF(H48="情况4","(销售额-原购置价)×税（费）率","销售额×税（费）率")</f>
        <v>销售额×税（费）率</v>
      </c>
      <c r="F48" s="2547">
        <f>IF(H48="情况1","免征",'数据-取费表'!B41)</f>
        <v>5.6000000000000001E-2</v>
      </c>
      <c r="G48" s="2548" t="s">
        <v>1337</v>
      </c>
      <c r="H48" s="2549"/>
      <c r="I48" s="1805"/>
      <c r="J48" s="3468">
        <v>3</v>
      </c>
      <c r="K48" s="3584" t="s">
        <v>1338</v>
      </c>
      <c r="L48" s="3584"/>
      <c r="M48" s="3587" t="e">
        <f ca="1">H101</f>
        <v>#N/A</v>
      </c>
      <c r="N48" s="3587"/>
      <c r="O48" s="3587"/>
    </row>
    <row r="49" spans="1:35" ht="25.5" customHeight="1">
      <c r="A49" s="3478" t="s">
        <v>1339</v>
      </c>
      <c r="B49" s="3632" t="s">
        <v>1340</v>
      </c>
      <c r="C49" s="3632"/>
      <c r="D49" s="1589">
        <v>0</v>
      </c>
      <c r="E49" s="324" t="s">
        <v>1341</v>
      </c>
      <c r="F49" s="3461" t="s">
        <v>28</v>
      </c>
      <c r="G49" s="3615"/>
      <c r="H49" s="2309" t="s">
        <v>2131</v>
      </c>
      <c r="I49" s="2310"/>
      <c r="J49" s="3468">
        <v>4</v>
      </c>
      <c r="K49" s="3584" t="str">
        <f>IF(项目基本情况!E8="房地产抵押价值","房地产抵押价值","抵押担保权已注销时的房地产抵押价值")</f>
        <v>房地产抵押价值</v>
      </c>
      <c r="L49" s="3584"/>
      <c r="M49" s="3587" t="e">
        <f ca="1">IF(项目基本情况!E8="房地产抵押价值",H107,H109)</f>
        <v>#N/A</v>
      </c>
      <c r="N49" s="3587"/>
      <c r="O49" s="3587"/>
    </row>
    <row r="50" spans="1:35" ht="25.5" customHeight="1">
      <c r="A50" s="2550"/>
      <c r="B50" s="3632" t="s">
        <v>1342</v>
      </c>
      <c r="C50" s="3632"/>
      <c r="D50" s="2551"/>
      <c r="E50" s="332"/>
      <c r="F50" s="3461"/>
      <c r="G50" s="3616"/>
      <c r="H50" s="2311" t="s">
        <v>2132</v>
      </c>
      <c r="I50" s="2310"/>
      <c r="J50" s="3583" t="s">
        <v>1343</v>
      </c>
      <c r="K50" s="3583"/>
      <c r="L50" s="3583"/>
      <c r="M50" s="3583"/>
      <c r="N50" s="3583"/>
      <c r="O50" s="3583"/>
    </row>
    <row r="51" spans="1:35" ht="20.45" customHeight="1">
      <c r="A51" s="2552"/>
      <c r="B51" s="3632" t="s">
        <v>1344</v>
      </c>
      <c r="C51" s="3632"/>
      <c r="D51" s="1086"/>
      <c r="E51" s="327"/>
      <c r="F51" s="3461"/>
      <c r="G51" s="3617"/>
      <c r="H51" s="2311" t="s">
        <v>2133</v>
      </c>
      <c r="I51" s="2310"/>
      <c r="J51" s="3462" t="s">
        <v>1345</v>
      </c>
      <c r="K51" s="3584" t="s">
        <v>1346</v>
      </c>
      <c r="L51" s="3584"/>
      <c r="M51" s="3462" t="s">
        <v>1347</v>
      </c>
      <c r="N51" s="3462" t="s">
        <v>1348</v>
      </c>
      <c r="O51" s="3462" t="s">
        <v>1349</v>
      </c>
    </row>
    <row r="52" spans="1:35" ht="24" customHeight="1">
      <c r="A52" s="3481" t="s">
        <v>1350</v>
      </c>
      <c r="B52" s="3632" t="s">
        <v>1351</v>
      </c>
      <c r="C52" s="3632"/>
      <c r="D52" s="1086" t="e">
        <f ca="1">ROUND(D45*'数据-取费表'!B41/(1+'数据-取费表'!C42),0)</f>
        <v>#N/A</v>
      </c>
      <c r="E52" s="3479" t="s">
        <v>1352</v>
      </c>
      <c r="F52" s="2553">
        <f>'数据-取费表'!B41</f>
        <v>5.6000000000000001E-2</v>
      </c>
      <c r="G52" s="2554"/>
      <c r="H52" s="2543"/>
      <c r="I52" s="1806"/>
      <c r="J52" s="3468">
        <v>1</v>
      </c>
      <c r="K52" s="3609" t="s">
        <v>1353</v>
      </c>
      <c r="L52" s="3609"/>
      <c r="M52" s="2524" t="b">
        <f>D48</f>
        <v>0</v>
      </c>
      <c r="N52" s="3468" t="str">
        <f>E48</f>
        <v>销售额×税（费）率</v>
      </c>
      <c r="O52" s="2525">
        <f>F48</f>
        <v>5.6000000000000001E-2</v>
      </c>
    </row>
    <row r="53" spans="1:35" ht="12" customHeight="1">
      <c r="A53" s="3481" t="s">
        <v>1354</v>
      </c>
      <c r="B53" s="3633" t="s">
        <v>2288</v>
      </c>
      <c r="C53" s="3634"/>
      <c r="D53" s="1086" t="e">
        <f ca="1">ROUND(D45*'数据-取费表'!B41/(1+'数据-取费表'!C42),0)</f>
        <v>#N/A</v>
      </c>
      <c r="E53" s="3479" t="s">
        <v>1352</v>
      </c>
      <c r="F53" s="2553">
        <f>'数据-取费表'!B41</f>
        <v>5.6000000000000001E-2</v>
      </c>
      <c r="G53" s="2554"/>
      <c r="H53" s="2543"/>
      <c r="I53" s="1806"/>
      <c r="J53" s="3468">
        <v>2</v>
      </c>
      <c r="K53" s="3609" t="s">
        <v>1355</v>
      </c>
      <c r="L53" s="3609"/>
      <c r="M53" s="2524" t="e">
        <f t="shared" ref="M53:O54" ca="1" si="0">D55</f>
        <v>#N/A</v>
      </c>
      <c r="N53" s="3468" t="str">
        <f t="shared" si="0"/>
        <v>销售额×税（费）率</v>
      </c>
      <c r="O53" s="2525" t="str">
        <f t="shared" si="0"/>
        <v>免征</v>
      </c>
    </row>
    <row r="54" spans="1:35" ht="12" customHeight="1">
      <c r="A54" s="3481" t="s">
        <v>1356</v>
      </c>
      <c r="B54" s="3633" t="s">
        <v>2289</v>
      </c>
      <c r="C54" s="3634"/>
      <c r="D54" s="1086" t="e">
        <f ca="1">C68</f>
        <v>#N/A</v>
      </c>
      <c r="E54" s="327" t="s">
        <v>1357</v>
      </c>
      <c r="F54" s="2553">
        <f>'数据-取费表'!B41</f>
        <v>5.6000000000000001E-2</v>
      </c>
      <c r="G54" s="2554"/>
      <c r="H54" s="2555"/>
      <c r="I54" s="1806"/>
      <c r="J54" s="3468">
        <v>3</v>
      </c>
      <c r="K54" s="3609" t="s">
        <v>1358</v>
      </c>
      <c r="L54" s="3609"/>
      <c r="M54" s="2524" t="e">
        <f t="shared" ca="1" si="0"/>
        <v>#N/A</v>
      </c>
      <c r="N54" s="3468" t="str">
        <f t="shared" si="0"/>
        <v>增值额×税（费）率</v>
      </c>
      <c r="O54" s="2526" t="str">
        <f t="shared" si="0"/>
        <v>免征</v>
      </c>
    </row>
    <row r="55" spans="1:35" ht="24" customHeight="1">
      <c r="A55" s="3669" t="s">
        <v>1359</v>
      </c>
      <c r="B55" s="3647"/>
      <c r="C55" s="3647"/>
      <c r="D55" s="3463" t="e">
        <f ca="1">IF(H55="个人住宅",0,ROUND(D45*I55,0))</f>
        <v>#N/A</v>
      </c>
      <c r="E55" s="3479" t="s">
        <v>1360</v>
      </c>
      <c r="F55" s="2553" t="str">
        <f>IF(H55="正常",I55,"免征")</f>
        <v>免征</v>
      </c>
      <c r="G55" s="2554"/>
      <c r="H55" s="2549"/>
      <c r="I55" s="165">
        <f>'数据-取费表'!B49</f>
        <v>5.0000000000000001E-4</v>
      </c>
      <c r="J55" s="3468">
        <f>IF(H59="非个人房产","",4)</f>
        <v>4</v>
      </c>
      <c r="K55" s="3609" t="str">
        <f>IF(H59="非个人房产","——","个人所得税")</f>
        <v>个人所得税</v>
      </c>
      <c r="L55" s="3609"/>
      <c r="M55" s="2527" t="e">
        <f ca="1">D59</f>
        <v>#N/A</v>
      </c>
      <c r="N55" s="3469" t="str">
        <f>E59</f>
        <v>差额计税</v>
      </c>
      <c r="O55" s="2528">
        <f>F59</f>
        <v>0.01</v>
      </c>
    </row>
    <row r="56" spans="1:35" ht="24.75">
      <c r="A56" s="3669" t="s">
        <v>1361</v>
      </c>
      <c r="B56" s="3647"/>
      <c r="C56" s="3647"/>
      <c r="D56" s="3463" t="e">
        <f ca="1">IF(H56="个人住宅",D57,D58)</f>
        <v>#N/A</v>
      </c>
      <c r="E56" s="3479" t="s">
        <v>1362</v>
      </c>
      <c r="F56" s="2553" t="str">
        <f>IF(H56="正常",F58,"免征")</f>
        <v>免征</v>
      </c>
      <c r="G56" s="2556" t="s">
        <v>1363</v>
      </c>
      <c r="H56" s="2557"/>
      <c r="I56" s="1807"/>
      <c r="J56" s="3468" t="str">
        <f>IF(项目基本情况!K6="上海银行",IF(J55="",4,J55+1),"")</f>
        <v/>
      </c>
      <c r="K56" s="3590" t="str">
        <f>IF(项目基本情况!K6="上海银行","其他处置费用","")</f>
        <v/>
      </c>
      <c r="L56" s="3591"/>
      <c r="M56" s="2524" t="str">
        <f>IF(项目基本情况!K6="上海银行",M69,"")</f>
        <v/>
      </c>
      <c r="N56" s="3590" t="str">
        <f>IF(项目基本情况!K6="上海银行","包含处置中涉及的律师、诉讼、拍卖、评估等费用","")</f>
        <v/>
      </c>
      <c r="O56" s="3593"/>
    </row>
    <row r="57" spans="1:35" ht="12.75">
      <c r="A57" s="3481" t="s">
        <v>1339</v>
      </c>
      <c r="B57" s="3633" t="s">
        <v>1364</v>
      </c>
      <c r="C57" s="3634"/>
      <c r="D57" s="1589">
        <v>0</v>
      </c>
      <c r="E57" s="324" t="s">
        <v>1341</v>
      </c>
      <c r="F57" s="302"/>
      <c r="G57" s="2554"/>
      <c r="H57" s="2558"/>
      <c r="I57" s="1807"/>
      <c r="J57" s="3609">
        <f>IF(AND(J55="",J56=""),4,IF(项目基本情况!K6="上海银行",'结果表-6号楼'!J56+1,'结果表-6号楼'!J55+1))</f>
        <v>5</v>
      </c>
      <c r="K57" s="3609" t="s">
        <v>1365</v>
      </c>
      <c r="L57" s="2529" t="s">
        <v>1366</v>
      </c>
      <c r="M57" s="2530"/>
      <c r="N57" s="2531">
        <f ca="1">SUMIF(M52:M56,"&lt;9e307")</f>
        <v>0</v>
      </c>
      <c r="O57" s="2532"/>
      <c r="P57" s="2689" t="e">
        <f ca="1">N57/M49</f>
        <v>#N/A</v>
      </c>
    </row>
    <row r="58" spans="1:35" ht="24.75">
      <c r="A58" s="3481" t="s">
        <v>1350</v>
      </c>
      <c r="B58" s="3633" t="s">
        <v>1367</v>
      </c>
      <c r="C58" s="3632"/>
      <c r="D58" s="3463" t="e">
        <f ca="1">IF(H58="转让取得",C81,C97)</f>
        <v>#N/A</v>
      </c>
      <c r="E58" s="3479" t="s">
        <v>1362</v>
      </c>
      <c r="F58" s="302" t="s">
        <v>28</v>
      </c>
      <c r="G58" s="2554"/>
      <c r="H58" s="2557"/>
      <c r="I58" s="1807"/>
      <c r="J58" s="3609"/>
      <c r="K58" s="3609"/>
      <c r="L58" s="2529" t="s">
        <v>1368</v>
      </c>
      <c r="M58" s="2533"/>
      <c r="N58" s="2534" t="str">
        <f ca="1">NUMBERSTRING(INT(N57*10000),2)&amp;"元整"</f>
        <v>零元整</v>
      </c>
      <c r="O58" s="2535"/>
    </row>
    <row r="59" spans="1:35" ht="24.75" thickBot="1">
      <c r="A59" s="3613" t="s">
        <v>1369</v>
      </c>
      <c r="B59" s="3614"/>
      <c r="C59" s="3614"/>
      <c r="D59" s="2559" t="e">
        <f ca="1">IF(H59="非个人房产","——",IF(H59="个人住宅（满五唯一有凭证）",0,IF(H59="个人其他（无凭证）",ROUND(D45*F59,0),ROUND(C67*F59,0))))</f>
        <v>#N/A</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1">
        <f>J57+1</f>
        <v>6</v>
      </c>
      <c r="K59" s="3609" t="s">
        <v>1370</v>
      </c>
      <c r="L59" s="3468" t="s">
        <v>1366</v>
      </c>
      <c r="M59" s="2536"/>
      <c r="N59" s="2537" t="e">
        <f ca="1">M49-N57</f>
        <v>#N/A</v>
      </c>
      <c r="O59" s="2538"/>
    </row>
    <row r="60" spans="1:35" ht="12" customHeight="1">
      <c r="A60" s="1808"/>
      <c r="B60" s="1746"/>
      <c r="C60" s="1746"/>
      <c r="D60" s="1746"/>
      <c r="E60" s="1577"/>
      <c r="F60" s="1807"/>
      <c r="G60" s="1807"/>
      <c r="H60" s="1809"/>
      <c r="I60" s="129"/>
      <c r="J60" s="3612"/>
      <c r="K60" s="3609"/>
      <c r="L60" s="2529" t="s">
        <v>1368</v>
      </c>
      <c r="M60" s="2533"/>
      <c r="N60" s="2534" t="e">
        <f ca="1">NUMBERSTRING(INT(N59*10000),2)&amp;"元整"</f>
        <v>#N/A</v>
      </c>
      <c r="O60" s="2535"/>
    </row>
    <row r="61" spans="1:35" ht="13.5" thickBot="1">
      <c r="A61" s="3668" t="s">
        <v>1371</v>
      </c>
      <c r="B61" s="3668"/>
      <c r="C61" s="3668"/>
      <c r="D61" s="3668"/>
      <c r="E61" s="3668"/>
      <c r="F61" s="1807"/>
      <c r="G61" s="1807"/>
      <c r="H61" s="1809"/>
      <c r="I61" s="129"/>
      <c r="J61" s="3468">
        <f>J59+1</f>
        <v>7</v>
      </c>
      <c r="K61" s="3609" t="s">
        <v>1372</v>
      </c>
      <c r="L61" s="3609"/>
      <c r="M61" s="2539"/>
      <c r="N61" s="2540" t="e">
        <f ca="1">ROUND(N59*10000/'数据-汇总表'!E3,0)</f>
        <v>#N/A</v>
      </c>
      <c r="O61" s="2541"/>
    </row>
    <row r="62" spans="1:35" ht="12.75">
      <c r="A62" s="3628" t="s">
        <v>1373</v>
      </c>
      <c r="B62" s="3629"/>
      <c r="C62" s="3474"/>
      <c r="D62" s="3474" t="s">
        <v>1374</v>
      </c>
      <c r="E62" s="166" t="s">
        <v>1375</v>
      </c>
      <c r="F62" s="1807"/>
      <c r="G62" s="1807"/>
      <c r="H62" s="1809"/>
      <c r="I62" s="129"/>
    </row>
    <row r="63" spans="1:35" ht="12.75">
      <c r="A63" s="173" t="s">
        <v>330</v>
      </c>
      <c r="B63" s="167" t="s">
        <v>1376</v>
      </c>
      <c r="C63" s="2563" t="e">
        <f ca="1">ROUND((C64+C65)/(1+'数据-取费表'!C42),0)</f>
        <v>#N/A</v>
      </c>
      <c r="D63" s="167"/>
      <c r="E63" s="168"/>
      <c r="F63" s="1807"/>
      <c r="G63" s="1807"/>
      <c r="H63" s="1809"/>
      <c r="I63" s="129"/>
      <c r="J63" s="3592" t="s">
        <v>1377</v>
      </c>
      <c r="K63" s="3464" t="s">
        <v>1378</v>
      </c>
      <c r="L63" s="3464" t="e">
        <f ca="1">IF(M49&gt;10000,M49*0.5%,IF(AND(M49&gt;1000,M49&lt;=10000),M49*1%,IF(AND(M49&gt;100,M49&lt;=1000),M49*3%,IF(AND(M49&gt;10,M49&lt;=100),M49*5%,M49*8%))))</f>
        <v>#N/A</v>
      </c>
      <c r="M63" s="302" t="e">
        <f ca="1">ROUND(L63,1)</f>
        <v>#N/A</v>
      </c>
      <c r="N63" s="2542"/>
      <c r="Z63" s="1751"/>
      <c r="AI63" s="1752"/>
    </row>
    <row r="64" spans="1:35" ht="14.25" customHeight="1">
      <c r="A64" s="169" t="s">
        <v>325</v>
      </c>
      <c r="B64" s="170" t="s">
        <v>1379</v>
      </c>
      <c r="C64" s="2564" t="e">
        <f ca="1">D45</f>
        <v>#N/A</v>
      </c>
      <c r="D64" s="170" t="s">
        <v>26</v>
      </c>
      <c r="E64" s="172"/>
      <c r="F64" s="1807"/>
      <c r="G64" s="1807"/>
      <c r="H64" s="1809"/>
      <c r="I64" s="129"/>
      <c r="J64" s="3592"/>
      <c r="K64" s="3464" t="s">
        <v>1380</v>
      </c>
      <c r="L64" s="3464"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3" t="s">
        <v>1381</v>
      </c>
      <c r="Z64" s="1751"/>
      <c r="AI64" s="1752"/>
    </row>
    <row r="65" spans="1:35" ht="14.25" customHeight="1">
      <c r="A65" s="169" t="s">
        <v>326</v>
      </c>
      <c r="B65" s="170" t="s">
        <v>1382</v>
      </c>
      <c r="C65" s="2565"/>
      <c r="D65" s="170"/>
      <c r="E65" s="172"/>
      <c r="F65" s="1807"/>
      <c r="G65" s="1807"/>
      <c r="H65" s="1809"/>
      <c r="I65" s="129"/>
      <c r="J65" s="3592"/>
      <c r="K65" s="3464" t="s">
        <v>1383</v>
      </c>
      <c r="L65" s="3464" t="e">
        <f ca="1">IF(M49&gt;1000,M49*0.1%,IF(AND(M49&gt;500,M49&lt;=1000),M49*0.5%,IF(AND(M49&gt;50,M49&lt;=500),M49*1%,IF(AND(M49&gt;1,M49&lt;=50),M49*1.5%))))</f>
        <v>#N/A</v>
      </c>
      <c r="M65" s="302" t="e">
        <f t="shared" ca="1" si="1"/>
        <v>#N/A</v>
      </c>
      <c r="N65" s="2543" t="s">
        <v>1381</v>
      </c>
      <c r="Z65" s="1751"/>
      <c r="AI65" s="1752"/>
    </row>
    <row r="66" spans="1:35" ht="14.25" customHeight="1">
      <c r="A66" s="173" t="s">
        <v>327</v>
      </c>
      <c r="B66" s="174" t="s">
        <v>1384</v>
      </c>
      <c r="C66" s="2566"/>
      <c r="D66" s="174" t="s">
        <v>26</v>
      </c>
      <c r="E66" s="1337" t="s">
        <v>671</v>
      </c>
      <c r="F66" s="1807"/>
      <c r="G66" s="1807"/>
      <c r="H66" s="1809"/>
      <c r="I66" s="129"/>
      <c r="J66" s="3592"/>
      <c r="K66" s="3464" t="s">
        <v>1385</v>
      </c>
      <c r="L66" s="3464" t="e">
        <f ca="1">M49*0.5%</f>
        <v>#N/A</v>
      </c>
      <c r="M66" s="302" t="e">
        <f ca="1">IF(L66&gt;0.5,0.5,ROUND(L66,0))</f>
        <v>#N/A</v>
      </c>
      <c r="N66" s="2543" t="s">
        <v>1386</v>
      </c>
      <c r="Z66" s="1751"/>
      <c r="AI66" s="1752"/>
    </row>
    <row r="67" spans="1:35" ht="14.25" customHeight="1">
      <c r="A67" s="173" t="s">
        <v>328</v>
      </c>
      <c r="B67" s="174" t="s">
        <v>1387</v>
      </c>
      <c r="C67" s="2567" t="e">
        <f ca="1">C63-C66</f>
        <v>#N/A</v>
      </c>
      <c r="D67" s="170" t="s">
        <v>26</v>
      </c>
      <c r="E67" s="172"/>
      <c r="F67" s="1807"/>
      <c r="G67" s="1807"/>
      <c r="H67" s="1809"/>
      <c r="I67" s="129"/>
      <c r="J67" s="3592"/>
      <c r="K67" s="3464" t="s">
        <v>1388</v>
      </c>
      <c r="L67" s="3464"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2"/>
      <c r="Z67" s="1751"/>
      <c r="AI67" s="1752"/>
    </row>
    <row r="68" spans="1:35" ht="14.25" customHeight="1" thickBot="1">
      <c r="A68" s="176" t="s">
        <v>329</v>
      </c>
      <c r="B68" s="177" t="s">
        <v>1389</v>
      </c>
      <c r="C68" s="2568" t="e">
        <f ca="1">IF(C67&lt;=0,0,ROUND(C67*D68,0))</f>
        <v>#N/A</v>
      </c>
      <c r="D68" s="2569">
        <f>'数据-取费表'!B41</f>
        <v>5.6000000000000001E-2</v>
      </c>
      <c r="E68" s="178"/>
      <c r="F68" s="1807"/>
      <c r="G68" s="1807"/>
      <c r="H68" s="1809"/>
      <c r="I68" s="129"/>
      <c r="J68" s="3592"/>
      <c r="K68" s="3464" t="s">
        <v>1390</v>
      </c>
      <c r="L68" s="3464" t="e">
        <f ca="1">IF(M49&gt;10000,M49*0.5%,IF(AND(M49&gt;5000,M49&lt;=10000),M49*1%,IF(AND(M49&gt;1000,M49&lt;=5000),M49*2%,IF(AND(M49&gt;200,M49&lt;=1000),M49*3%,M49*5%))))</f>
        <v>#N/A</v>
      </c>
      <c r="M68" s="302" t="e">
        <f ca="1">ROUND(L68,1)</f>
        <v>#N/A</v>
      </c>
      <c r="N68" s="2542"/>
      <c r="Z68" s="1751"/>
      <c r="AI68" s="1752"/>
    </row>
    <row r="69" spans="1:35" s="1771" customFormat="1" ht="16.5" customHeight="1">
      <c r="A69" s="1810"/>
      <c r="B69" s="1811"/>
      <c r="C69" s="1812"/>
      <c r="D69" s="1813"/>
      <c r="E69" s="1814"/>
      <c r="F69" s="1577"/>
      <c r="G69" s="1577"/>
      <c r="H69" s="1576"/>
      <c r="I69" s="1746"/>
      <c r="J69" s="3592"/>
      <c r="K69" s="3464" t="s">
        <v>1391</v>
      </c>
      <c r="L69" s="3464"/>
      <c r="M69" s="302" t="e">
        <f ca="1">ROUND(SUM(M63:M68),0)</f>
        <v>#N/A</v>
      </c>
      <c r="N69" s="2544"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6" t="s">
        <v>1392</v>
      </c>
      <c r="B70" s="3637"/>
      <c r="C70" s="3637"/>
      <c r="D70" s="3637"/>
      <c r="E70" s="3637"/>
      <c r="F70" s="3637"/>
      <c r="G70" s="3637"/>
      <c r="H70" s="363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8" t="s">
        <v>1373</v>
      </c>
      <c r="B71" s="3629"/>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t="e">
        <f ca="1">ROUND(D45/(1+'数据-取费表'!C42),0)</f>
        <v>#N/A</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t="e">
        <f ca="1">C74+C78</f>
        <v>#N/A</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3" t="s">
        <v>1400</v>
      </c>
      <c r="F76" s="3632"/>
      <c r="G76" s="3632"/>
      <c r="H76" s="363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t="e">
        <f ca="1">ROUND(D45*D78/(1+'数据-取费表'!C42),0)</f>
        <v>#N/A</v>
      </c>
      <c r="D78" s="2576">
        <f>'数据-取费表'!B43</f>
        <v>6.000000000000001E-3</v>
      </c>
      <c r="E78" s="3625" t="s">
        <v>1404</v>
      </c>
      <c r="F78" s="3626"/>
      <c r="G78" s="3626"/>
      <c r="H78" s="36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t="e">
        <f ca="1">C72-C73</f>
        <v>#N/A</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t="e">
        <f ca="1">IF(C79&lt;=0,0,C79/C73)</f>
        <v>#N/A</v>
      </c>
      <c r="D80" s="170" t="s">
        <v>26</v>
      </c>
      <c r="E80" s="3463" t="e">
        <f ca="1">IF(C80&gt;=200%,"增值额超过扣除项目金额200%",IF(C80&gt;=100%,"增值额超过扣除项目金额100%，未超过200%",IF(C80&gt;=50%,"增值额超过扣除项目金额50%，未超过100%",IF(C80&lt;50%,"增值额未超过扣除项目金额50%"))))</f>
        <v>#N/A</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t="e">
        <f ca="1">ROUND(IF(C79&lt;=0,0,IF(C80&gt;=200%,C79*60%-C73*35%,IF(C80&gt;=100%,C79*50%-C73*15%,IF(C80&gt;=50%,C79*40%-C73*5%,IF(C80&lt;50%,C79*30%,0))))),0)</f>
        <v>#N/A</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6" t="s">
        <v>1408</v>
      </c>
      <c r="B83" s="3637"/>
      <c r="C83" s="3637"/>
      <c r="D83" s="3637"/>
      <c r="E83" s="3637"/>
      <c r="F83" s="3637"/>
      <c r="G83" s="3637"/>
      <c r="H83" s="363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8" t="s">
        <v>1373</v>
      </c>
      <c r="B84" s="3629"/>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t="e">
        <f ca="1">ROUND(D45/(1+'数据-取费表'!C42),0)</f>
        <v>#N/A</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t="e">
        <f ca="1">IF(H88="仅含出让金",C87+C90+C91+C92+C93+C94,C87+C91+C92+C93+C94)</f>
        <v>#N/A</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594" t="s">
        <v>2126</v>
      </c>
      <c r="H90" s="359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25" t="s">
        <v>1417</v>
      </c>
      <c r="F91" s="3626"/>
      <c r="G91" s="362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5" t="s">
        <v>1420</v>
      </c>
      <c r="F92" s="3626"/>
      <c r="G92" s="3626"/>
      <c r="H92" s="3627"/>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t="e">
        <f ca="1">ROUND(D45*D93/(1+'数据-取费表'!C42),0)</f>
        <v>#N/A</v>
      </c>
      <c r="D93" s="2576">
        <f>'数据-取费表'!B43</f>
        <v>6.000000000000001E-3</v>
      </c>
      <c r="E93" s="3625" t="s">
        <v>1404</v>
      </c>
      <c r="F93" s="3626"/>
      <c r="G93" s="3626"/>
      <c r="H93" s="36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0" t="s">
        <v>1424</v>
      </c>
      <c r="F94" s="3671"/>
      <c r="G94" s="3671"/>
      <c r="H94" s="36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t="e">
        <f ca="1">ROUND(C85-C86,0)</f>
        <v>#N/A</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t="e">
        <f ca="1">IF(C95&lt;=0,0,C95/C86)</f>
        <v>#N/A</v>
      </c>
      <c r="D96" s="170" t="s">
        <v>26</v>
      </c>
      <c r="E96" s="3463" t="e">
        <f ca="1">IF(C96&gt;=200%,"增值额超过扣除项目金额200%",IF(C96&gt;=100%,"增值额超过扣除项目金额100%，未超过200%",IF(C96&gt;=50%,"增值额超过扣除项目金额50%，未超过100%",IF(C96&lt;50%,"增值额未超过扣除项目金额50%"))))</f>
        <v>#N/A</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t="e">
        <f ca="1">ROUND(IF(C95&lt;=0,0,IF(C96&gt;=200%,C95*60%-C86*35%,IF(C96&gt;=100%,C95*50%-C86*15%,IF(C96&gt;=50%,C95*40%-C86*5%,IF(C96&lt;50%,C95*30%,0))))),0)</f>
        <v>#N/A</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5" t="s">
        <v>1426</v>
      </c>
      <c r="B100" s="3576"/>
      <c r="C100" s="3576"/>
      <c r="D100" s="3610"/>
      <c r="E100" s="3576" t="s">
        <v>1427</v>
      </c>
      <c r="F100" s="3576"/>
      <c r="G100" s="3576"/>
      <c r="H100" s="3610"/>
      <c r="I100" s="129"/>
    </row>
    <row r="101" spans="1:35" ht="18.75" customHeight="1">
      <c r="A101" s="3618" t="s">
        <v>1428</v>
      </c>
      <c r="B101" s="3619"/>
      <c r="C101" s="2584" t="str">
        <f>C4</f>
        <v>成本法-6号楼</v>
      </c>
      <c r="D101" s="2585" t="str">
        <f>D4</f>
        <v>收益法-6号楼</v>
      </c>
      <c r="E101" s="3588" t="s">
        <v>1429</v>
      </c>
      <c r="F101" s="3589"/>
      <c r="G101" s="1826" t="s">
        <v>1430</v>
      </c>
      <c r="H101" s="2594" t="e">
        <f ca="1">H118</f>
        <v>#N/A</v>
      </c>
      <c r="I101" s="129"/>
    </row>
    <row r="102" spans="1:35" ht="18.75" customHeight="1">
      <c r="A102" s="3620" t="s">
        <v>1431</v>
      </c>
      <c r="B102" s="2583" t="s">
        <v>1430</v>
      </c>
      <c r="C102" s="2584" t="e">
        <f ca="1">IF(D32="楼面单价",ROUND(C19,0),C19)</f>
        <v>#N/A</v>
      </c>
      <c r="D102" s="2585" t="e">
        <f ca="1">IF(D32="楼面单价",ROUND(D19,0),D19)</f>
        <v>#N/A</v>
      </c>
      <c r="E102" s="3588"/>
      <c r="F102" s="3589"/>
      <c r="G102" s="1826" t="s">
        <v>1432</v>
      </c>
      <c r="H102" s="2554" t="e">
        <f ca="1">I118</f>
        <v>#N/A</v>
      </c>
      <c r="I102" s="129"/>
    </row>
    <row r="103" spans="1:35" ht="42.75" customHeight="1">
      <c r="A103" s="3620"/>
      <c r="B103" s="2583" t="s">
        <v>1432</v>
      </c>
      <c r="C103" s="2586" t="e">
        <f ca="1">C20</f>
        <v>#N/A</v>
      </c>
      <c r="D103" s="2587">
        <f ca="1">D20</f>
        <v>0</v>
      </c>
      <c r="E103" s="3581" t="s">
        <v>1433</v>
      </c>
      <c r="F103" s="3582"/>
      <c r="G103" s="1827" t="s">
        <v>1434</v>
      </c>
      <c r="H103" s="2594">
        <f>IF(D36="正常操作",H104+H105+H106,H105+H106)</f>
        <v>0</v>
      </c>
      <c r="I103" s="129"/>
    </row>
    <row r="104" spans="1:35" ht="18.75" customHeight="1">
      <c r="A104" s="3620" t="s">
        <v>1435</v>
      </c>
      <c r="B104" s="2588" t="s">
        <v>1430</v>
      </c>
      <c r="C104" s="2589" t="e">
        <f ca="1">H118</f>
        <v>#N/A</v>
      </c>
      <c r="D104" s="2590"/>
      <c r="E104" s="1673" t="s">
        <v>1436</v>
      </c>
      <c r="F104" s="1665"/>
      <c r="G104" s="1827" t="s">
        <v>1434</v>
      </c>
      <c r="H104" s="2595">
        <f>IF(D36="同一抵押权人同一抵押物续贷",C36&amp;"（续贷，未扣减，详见特别提示）",C36)</f>
        <v>0</v>
      </c>
      <c r="I104" s="129"/>
    </row>
    <row r="105" spans="1:35" ht="18.75" customHeight="1" thickBot="1">
      <c r="A105" s="3630"/>
      <c r="B105" s="2591" t="s">
        <v>1432</v>
      </c>
      <c r="C105" s="2592" t="e">
        <f ca="1">I118</f>
        <v>#N/A</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1" t="str">
        <f>IF(项目基本情况!E8="已注销","——","3.房地产抵押价值")</f>
        <v>3.房地产抵押价值</v>
      </c>
      <c r="F107" s="3589"/>
      <c r="G107" s="1826" t="s">
        <v>1430</v>
      </c>
      <c r="H107" s="2594" t="e">
        <f ca="1">IF(E107="——","——",H101-H103)</f>
        <v>#N/A</v>
      </c>
      <c r="I107" s="129"/>
    </row>
    <row r="108" spans="1:35" ht="18.75" customHeight="1">
      <c r="A108" s="129"/>
      <c r="B108" s="129"/>
      <c r="C108" s="129"/>
      <c r="D108" s="129"/>
      <c r="E108" s="3621"/>
      <c r="F108" s="3589"/>
      <c r="G108" s="1826" t="s">
        <v>1432</v>
      </c>
      <c r="H108" s="2554" t="e">
        <f ca="1">IF(H107=H101,H102,ROUND(H107*10000/'数据-汇总表'!E3,0))</f>
        <v>#N/A</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6" t="s">
        <v>1430</v>
      </c>
      <c r="H109" s="2597" t="str">
        <f>IF(E109="——","——",H101-H105-H106)</f>
        <v>——</v>
      </c>
      <c r="I109" s="129"/>
    </row>
    <row r="110" spans="1:35" ht="18.75" customHeight="1">
      <c r="A110" s="129"/>
      <c r="B110" s="129"/>
      <c r="C110" s="129"/>
      <c r="D110" s="129"/>
      <c r="E110" s="3621"/>
      <c r="F110" s="3589"/>
      <c r="G110" s="1826" t="s">
        <v>1432</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6" t="s">
        <v>1430</v>
      </c>
      <c r="H111" s="2594" t="str">
        <f>IF(E111="——","——",N59)</f>
        <v>——</v>
      </c>
      <c r="I111" s="129"/>
    </row>
    <row r="112" spans="1:35" ht="18.75" customHeight="1" thickBot="1">
      <c r="A112" s="129"/>
      <c r="B112" s="129"/>
      <c r="C112" s="129"/>
      <c r="D112" s="129"/>
      <c r="E112" s="3623"/>
      <c r="F112" s="3624"/>
      <c r="G112" s="1829" t="s">
        <v>1432</v>
      </c>
      <c r="H112" s="2598" t="str">
        <f>IF(E111="——","——",N61)</f>
        <v>——</v>
      </c>
      <c r="I112" s="129"/>
    </row>
    <row r="113" spans="1:27" ht="18.75" customHeight="1">
      <c r="A113" s="129"/>
      <c r="B113" s="129"/>
      <c r="C113" s="129"/>
      <c r="D113" s="129"/>
      <c r="E113" s="3631" t="s">
        <v>1438</v>
      </c>
      <c r="F113" s="3631"/>
      <c r="G113" s="3631"/>
      <c r="H113" s="3631"/>
      <c r="I113" s="129"/>
    </row>
    <row r="114" spans="1:27" ht="3.75" customHeight="1">
      <c r="A114" s="1746"/>
      <c r="B114" s="1746"/>
      <c r="C114" s="1746"/>
      <c r="D114" s="1746"/>
      <c r="E114" s="1808"/>
      <c r="F114" s="1808"/>
      <c r="G114" s="1808"/>
      <c r="H114" s="1808"/>
      <c r="I114" s="1746"/>
    </row>
    <row r="115" spans="1:27" ht="18.75" customHeight="1">
      <c r="A115" s="3639" t="s">
        <v>1440</v>
      </c>
      <c r="B115" s="3640"/>
      <c r="C115" s="3640"/>
      <c r="D115" s="3640"/>
      <c r="E115" s="3640"/>
      <c r="F115" s="3640"/>
      <c r="G115" s="3640"/>
      <c r="H115" s="3640"/>
      <c r="I115" s="3641"/>
    </row>
    <row r="116" spans="1:27" ht="27" customHeight="1">
      <c r="A116" s="3596" t="s">
        <v>1441</v>
      </c>
      <c r="B116" s="3600" t="s">
        <v>1442</v>
      </c>
      <c r="C116" s="3600" t="s">
        <v>1443</v>
      </c>
      <c r="D116" s="3606" t="s">
        <v>1444</v>
      </c>
      <c r="E116" s="3607"/>
      <c r="F116" s="3638" t="s">
        <v>1445</v>
      </c>
      <c r="G116" s="3638"/>
      <c r="H116" s="3596" t="s">
        <v>1446</v>
      </c>
      <c r="I116" s="3596"/>
    </row>
    <row r="117" spans="1:27" ht="18.75" customHeight="1">
      <c r="A117" s="3596"/>
      <c r="B117" s="3601"/>
      <c r="C117" s="3601"/>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0</v>
      </c>
      <c r="C118" s="3466">
        <f>M19</f>
        <v>0</v>
      </c>
      <c r="D118" s="3466" t="e">
        <f ca="1">ROUND(IF(D32="总价",C34,E118*B118/10000),0)</f>
        <v>#N/A</v>
      </c>
      <c r="E118" s="3466" t="e">
        <f ca="1">ROUND(IF(C33="自定义",IF(D32="楼面单价",C34,D118*10000/B118),I118-G118),0)</f>
        <v>#N/A</v>
      </c>
      <c r="F118" s="3466" t="e">
        <f ca="1">ROUND(IF(D32="总价",C35,G118*B118/10000),0)</f>
        <v>#N/A</v>
      </c>
      <c r="G118" s="3466" t="e">
        <f ca="1">ROUND(IF(D32="楼面单价",C35,F118*10000/B118),0)</f>
        <v>#N/A</v>
      </c>
      <c r="H118" s="3466" t="e">
        <f ca="1">ROUND(IF(D32="总价",C32,I118*B118/10000),0)</f>
        <v>#N/A</v>
      </c>
      <c r="I118" s="3466" t="e">
        <f ca="1">ROUND(IF(D32="楼面单价",C32,H118*10000/B118),0)</f>
        <v>#N/A</v>
      </c>
    </row>
    <row r="119" spans="1:27" ht="18.75" customHeight="1">
      <c r="A119" s="3596" t="s">
        <v>1450</v>
      </c>
      <c r="B119" s="3596"/>
      <c r="C119" s="3596"/>
      <c r="D119" s="3602" t="e">
        <f ca="1">NUMBERSTRING(INT(D118*10000),2)&amp;"元整"</f>
        <v>#N/A</v>
      </c>
      <c r="E119" s="3603"/>
      <c r="F119" s="3602" t="e">
        <f ca="1">NUMBERSTRING(INT(F118*10000),2)&amp;"元整"</f>
        <v>#N/A</v>
      </c>
      <c r="G119" s="3603"/>
      <c r="H119" s="3602" t="e">
        <f ca="1">NUMBERSTRING(INT(H118*10000),2)&amp;"元整"</f>
        <v>#N/A</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1450</v>
      </c>
      <c r="B121" s="3604"/>
      <c r="C121" s="3603"/>
      <c r="D121" s="3602" t="str">
        <f>IF(D120=0,"零元整",NUMBERSTRING(INT(D120*10000),2)&amp;"元整")</f>
        <v>零元整</v>
      </c>
      <c r="E121" s="3604"/>
      <c r="F121" s="3604"/>
      <c r="G121" s="3604"/>
      <c r="H121" s="3604"/>
      <c r="I121" s="3603"/>
      <c r="AA121" s="724"/>
    </row>
    <row r="122" spans="1:27" ht="18.75" customHeight="1">
      <c r="A122" s="3608" t="str">
        <f>IF(项目基本情况!B9="房地产市场价值","",MID(E107,3,LEN(E107)-2))</f>
        <v>房地产抵押价值</v>
      </c>
      <c r="B122" s="3608"/>
      <c r="C122" s="3608"/>
      <c r="D122" s="3597" t="e">
        <f ca="1">H107</f>
        <v>#N/A</v>
      </c>
      <c r="E122" s="3598"/>
      <c r="F122" s="3598"/>
      <c r="G122" s="3598"/>
      <c r="H122" s="3598"/>
      <c r="I122" s="3599"/>
      <c r="AA122" s="724"/>
    </row>
    <row r="123" spans="1:27" ht="18.75" customHeight="1">
      <c r="A123" s="3596" t="s">
        <v>1450</v>
      </c>
      <c r="B123" s="3596"/>
      <c r="C123" s="3596"/>
      <c r="D123" s="3602" t="e">
        <f ca="1">NUMBERSTRING(INT(D122*10000),2)&amp;"元整"</f>
        <v>#N/A</v>
      </c>
      <c r="E123" s="3604"/>
      <c r="F123" s="3604"/>
      <c r="G123" s="3604"/>
      <c r="H123" s="3604"/>
      <c r="I123" s="3603"/>
      <c r="AA123" s="724"/>
    </row>
    <row r="124" spans="1:27" ht="18.75" customHeight="1">
      <c r="A124" s="3608" t="str">
        <f>IF(项目基本情况!B9="房地产市场价值","",MID(E109,3,LEN(E109)-2))</f>
        <v/>
      </c>
      <c r="B124" s="3608"/>
      <c r="C124" s="3608"/>
      <c r="D124" s="3597" t="str">
        <f>H109</f>
        <v>——</v>
      </c>
      <c r="E124" s="3598"/>
      <c r="F124" s="3598"/>
      <c r="G124" s="3598"/>
      <c r="H124" s="3598"/>
      <c r="I124" s="3599"/>
      <c r="AA124" s="724"/>
    </row>
    <row r="125" spans="1:27" ht="18.75" customHeight="1">
      <c r="A125" s="3596" t="s">
        <v>1450</v>
      </c>
      <c r="B125" s="3596"/>
      <c r="C125" s="3596"/>
      <c r="D125" s="3602" t="e">
        <f>NUMBERSTRING(INT(D124*10000),2)&amp;"元整"</f>
        <v>#VALUE!</v>
      </c>
      <c r="E125" s="3604"/>
      <c r="F125" s="3604"/>
      <c r="G125" s="3604"/>
      <c r="H125" s="3604"/>
      <c r="I125" s="3603"/>
      <c r="AA125" s="724"/>
    </row>
    <row r="126" spans="1:27" ht="18.75" customHeight="1">
      <c r="A126" s="3608" t="str">
        <f>IF(项目基本情况!B9="房地产市场价值","",MID(E111,3,LEN(E111)-2))</f>
        <v/>
      </c>
      <c r="B126" s="3608"/>
      <c r="C126" s="3608"/>
      <c r="D126" s="3597" t="str">
        <f>H111</f>
        <v>——</v>
      </c>
      <c r="E126" s="3598"/>
      <c r="F126" s="3598"/>
      <c r="G126" s="3598"/>
      <c r="H126" s="3598"/>
      <c r="I126" s="3599"/>
      <c r="AA126" s="724"/>
    </row>
    <row r="127" spans="1:27" ht="18.75" customHeight="1">
      <c r="A127" s="3596" t="s">
        <v>1450</v>
      </c>
      <c r="B127" s="3596"/>
      <c r="C127" s="3596"/>
      <c r="D127" s="3602" t="e">
        <f>NUMBERSTRING(INT(D126*10000),2)&amp;"元整"</f>
        <v>#VALUE!</v>
      </c>
      <c r="E127" s="3604"/>
      <c r="F127" s="3604"/>
      <c r="G127" s="3604"/>
      <c r="H127" s="3604"/>
      <c r="I127" s="3603"/>
      <c r="AA127" s="724"/>
    </row>
    <row r="128" spans="1:27" ht="21.75" customHeight="1">
      <c r="A128" s="3605" t="s">
        <v>1451</v>
      </c>
      <c r="B128" s="3605"/>
      <c r="C128" s="3605"/>
      <c r="D128" s="3605"/>
      <c r="E128" s="3605"/>
      <c r="F128" s="3605"/>
      <c r="G128" s="3605"/>
      <c r="H128" s="3605"/>
      <c r="I128" s="360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D38" sqref="D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3453</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 (2)'!D33+'基准地价修正 (2)'!D37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3436</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3442</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3437</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t="e">
        <f ca="1">ROUND(IF('数据-取费表'!B22&lt;=1,C5*F22*'数据-取费表'!B23,C5*(POWER((1+F22),'数据-取费表'!B23)-1)),0)</f>
        <v>#N/A</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1496</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5.33E-2</v>
      </c>
      <c r="D30" s="236" t="s">
        <v>1496</v>
      </c>
      <c r="E30" s="241"/>
      <c r="F30" s="237">
        <f>'数据-取费表'!B41</f>
        <v>5.6000000000000001E-2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1489</v>
      </c>
      <c r="B39" s="210" t="s">
        <v>1492</v>
      </c>
      <c r="C39" s="232" t="e">
        <f ca="1">ROUND(C33*F20,0)</f>
        <v>#N/A</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t="e">
        <f ca="1">ROUND(IF('数据-取费表'!B22&lt;=1,C33*F22*'数据-取费表'!B21/2,C33*(POWER((1+F22),'数据-取费表'!B21/2)-1)),0)</f>
        <v>#N/A</v>
      </c>
      <c r="D42" s="238"/>
      <c r="E42" s="238"/>
      <c r="F42" s="239"/>
      <c r="G42" s="3675" t="s">
        <v>1542</v>
      </c>
    </row>
    <row r="43" spans="1:7" ht="13.5" customHeight="1">
      <c r="A43" s="779" t="s">
        <v>347</v>
      </c>
      <c r="B43" s="215" t="s">
        <v>1504</v>
      </c>
      <c r="C43" s="238" t="e">
        <f ca="1">ROUND(IF('数据-取费表'!B22&lt;=1,C39*F22*'数据-取费表'!B21/2,C39*(POWER((1+F22),'数据-取费表'!B21/2)-1)),0)</f>
        <v>#N/A</v>
      </c>
      <c r="D43" s="238"/>
      <c r="E43" s="238"/>
      <c r="F43" s="239"/>
      <c r="G43" s="3676"/>
    </row>
    <row r="44" spans="1:7" ht="13.5" customHeight="1">
      <c r="A44" s="779" t="s">
        <v>348</v>
      </c>
      <c r="B44" s="215" t="s">
        <v>1507</v>
      </c>
      <c r="C44" s="238">
        <f ca="1">ROUND(IF('数据-取费表'!B22&lt;=1,C40*F22*'数据-取费表'!B21/2,C40*(POWER((1+F22),'数据-取费表'!B21/2)-1)),4)</f>
        <v>6.9999999999999999E-4</v>
      </c>
      <c r="D44" s="238"/>
      <c r="E44" s="238"/>
      <c r="F44" s="239"/>
      <c r="G44" s="3677"/>
    </row>
    <row r="45" spans="1:7" s="214" customFormat="1" ht="13.5" customHeight="1">
      <c r="A45" s="255" t="s">
        <v>1498</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D38" sqref="D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3453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0" t="s">
        <v>694</v>
      </c>
      <c r="C6" s="1073" t="e">
        <f ca="1">ROUND(F6*F8*F7*(1-F9)/10000,0)</f>
        <v>#N/A</v>
      </c>
      <c r="D6" s="155" t="s">
        <v>2106</v>
      </c>
      <c r="E6" s="302" t="s">
        <v>696</v>
      </c>
      <c r="F6" s="303" t="e">
        <f ca="1">INDIRECT("'数据-取费表'!u"&amp;$G$1)</f>
        <v>#N/A</v>
      </c>
      <c r="G6" s="1383"/>
      <c r="H6" s="1068" t="s">
        <v>398</v>
      </c>
      <c r="I6" s="3680" t="s">
        <v>694</v>
      </c>
      <c r="J6" s="301" t="e">
        <f ca="1">ROUND(M6*M8*M7*(1-M9)/10000,0)</f>
        <v>#N/A</v>
      </c>
      <c r="K6" s="155" t="s">
        <v>2105</v>
      </c>
      <c r="L6" s="302" t="s">
        <v>696</v>
      </c>
      <c r="M6" s="303" t="e">
        <f ca="1">INDIRECT("'数据-取费表'!z"&amp;$G$1)</f>
        <v>#N/A</v>
      </c>
    </row>
    <row r="7" spans="1:37" ht="18" customHeight="1">
      <c r="A7" s="1072"/>
      <c r="B7" s="3681"/>
      <c r="C7" s="1074"/>
      <c r="D7" s="307"/>
      <c r="E7" s="3465" t="s">
        <v>697</v>
      </c>
      <c r="F7" s="303" t="e">
        <f ca="1">IF(INDIRECT("'数据-取费表'!ah"&amp;$G$1)="",INDIRECT("'数据-取费表'!k"&amp;$G$1),INDIRECT("'数据-取费表'!ah"&amp;$G$1))</f>
        <v>#N/A</v>
      </c>
      <c r="G7" s="1383"/>
      <c r="H7" s="304"/>
      <c r="I7" s="3681"/>
      <c r="J7" s="306"/>
      <c r="K7" s="307"/>
      <c r="L7" s="302" t="s">
        <v>697</v>
      </c>
      <c r="M7" s="303" t="e">
        <f ca="1">F7</f>
        <v>#N/A</v>
      </c>
    </row>
    <row r="8" spans="1:37" ht="18" customHeight="1">
      <c r="A8" s="304"/>
      <c r="B8" s="3681"/>
      <c r="C8" s="306"/>
      <c r="D8" s="307"/>
      <c r="E8" s="302" t="s">
        <v>698</v>
      </c>
      <c r="F8" s="303" t="e">
        <f ca="1">INDIRECT("'数据-取费表'!ai"&amp;$G$1)</f>
        <v>#N/A</v>
      </c>
      <c r="G8" s="1383"/>
      <c r="H8" s="304"/>
      <c r="I8" s="3681"/>
      <c r="J8" s="306"/>
      <c r="K8" s="307"/>
      <c r="L8" s="302" t="s">
        <v>698</v>
      </c>
      <c r="M8" s="303" t="e">
        <f ca="1">INDIRECT("'数据-取费表'!ai"&amp;$G$1)</f>
        <v>#N/A</v>
      </c>
    </row>
    <row r="9" spans="1:37" ht="18" customHeight="1">
      <c r="A9" s="304"/>
      <c r="B9" s="3682"/>
      <c r="C9" s="306"/>
      <c r="D9" s="307"/>
      <c r="E9" s="302" t="s">
        <v>699</v>
      </c>
      <c r="F9" s="312" t="e">
        <f ca="1">INDIRECT("'数据-取费表'!w"&amp;$G$1)</f>
        <v>#N/A</v>
      </c>
      <c r="G9" s="1383"/>
      <c r="H9" s="304"/>
      <c r="I9" s="3682"/>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59" t="s">
        <v>705</v>
      </c>
      <c r="E13" s="3459"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76" t="s">
        <v>708</v>
      </c>
      <c r="E14" s="3475"/>
      <c r="F14" s="319"/>
      <c r="G14" s="1383"/>
      <c r="H14" s="981" t="s">
        <v>398</v>
      </c>
      <c r="I14" s="302" t="s">
        <v>709</v>
      </c>
      <c r="J14" s="21" t="e">
        <f ca="1">C29</f>
        <v>#N/A</v>
      </c>
      <c r="K14" s="3463"/>
      <c r="L14" s="806"/>
      <c r="M14" s="807"/>
    </row>
    <row r="15" spans="1:37" s="1396" customFormat="1" ht="18" customHeight="1" thickBot="1">
      <c r="A15" s="981" t="s">
        <v>399</v>
      </c>
      <c r="B15" s="302" t="s">
        <v>710</v>
      </c>
      <c r="C15" s="21" t="e">
        <f ca="1">ROUND(C14*F15,0)</f>
        <v>#N/A</v>
      </c>
      <c r="D15" s="3460" t="s">
        <v>711</v>
      </c>
      <c r="E15" s="346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80"/>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76" t="s">
        <v>720</v>
      </c>
      <c r="L17" s="347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3479"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90"/>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t="e">
        <f ca="1">ROUND(J14*M22,2)</f>
        <v>#N/A</v>
      </c>
      <c r="K22" s="3479"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79"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6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80"/>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3476" t="s">
        <v>720</v>
      </c>
      <c r="E31" s="3479"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3479"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3479"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3479"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753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89" t="e">
        <f ca="1">C49+C53+C55</f>
        <v>#N/A</v>
      </c>
      <c r="D48" s="1111"/>
      <c r="E48" s="1112"/>
      <c r="F48" s="961"/>
      <c r="G48" s="721"/>
      <c r="H48" s="722"/>
      <c r="I48" s="1420" t="s">
        <v>819</v>
      </c>
      <c r="J48" s="1421" t="s">
        <v>3432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2105</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49</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8" t="s">
        <v>837</v>
      </c>
      <c r="L53" s="3679"/>
      <c r="O53" s="1417" t="s">
        <v>409</v>
      </c>
      <c r="P53" s="1418" t="s">
        <v>838</v>
      </c>
      <c r="Q53" s="1419" t="e">
        <f ca="1">Q47+Q48</f>
        <v>#N/A</v>
      </c>
      <c r="R53" s="1419" t="s">
        <v>410</v>
      </c>
    </row>
    <row r="54" spans="1:18" s="1383" customFormat="1" ht="13.5" thickBot="1">
      <c r="A54" s="1152"/>
      <c r="B54" s="1366" t="s">
        <v>679</v>
      </c>
      <c r="C54" s="958"/>
      <c r="D54" s="1365"/>
      <c r="E54" s="3467"/>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727</v>
      </c>
      <c r="C61" s="21" t="e">
        <f ca="1">IF(项目基本情况!B11="自然人","——",IF(D61="按租金收入计税",ROUND(C49*F61/(1+'数据-取费表'!C42),2),IF(D61="按房产原值计税",ROUND(C57*F61*0.7,2),INDIRECT("'数据-取费表'!Aj"&amp;$G$1))))</f>
        <v>#N/A</v>
      </c>
      <c r="D61" s="1369" t="s">
        <v>3335</v>
      </c>
      <c r="E61" s="949" t="s">
        <v>744</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730</v>
      </c>
      <c r="C62" s="22" t="e">
        <f ca="1">IF(项目基本情况!B11="自然人","——",ROUND(F62*F63/10000,2))</f>
        <v>#N/A</v>
      </c>
      <c r="D62" s="964" t="s">
        <v>731</v>
      </c>
      <c r="E62" s="949" t="s">
        <v>732</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t="e">
        <f ca="1">ROUND(C57*F64,2)</f>
        <v>#N/A</v>
      </c>
      <c r="D64" s="963" t="s">
        <v>791</v>
      </c>
      <c r="E64" s="949" t="s">
        <v>744</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D38" sqref="D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1" t="s">
        <v>673</v>
      </c>
      <c r="F2" s="1999" t="s">
        <v>1934</v>
      </c>
      <c r="G2" s="2000" t="str">
        <f>IF(E2="商业",项目基本情况!B37,IF(E2="办公",项目基本情况!C37,IF(E2="住宅",项目基本情况!D37,IF(E2="工业",项目基本情况!E37,项目基本情况!F37))))</f>
        <v>四级</v>
      </c>
      <c r="H2" s="1999" t="s">
        <v>1935</v>
      </c>
      <c r="I2" s="2000" t="str">
        <f>IF(E2="商业",项目基本情况!B38,IF(E2="办公",项目基本情况!C38,IF(E2="住宅",项目基本情况!D38,IF(E2="工业",项目基本情况!E38,项目基本情况!F38))))</f>
        <v>Ⅳ-20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3457</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2" t="s">
        <v>1943</v>
      </c>
      <c r="M4" s="863">
        <f>SUMPRODUCT((区片价!B55:B86=I2)*(区片价!C3:G3=E2)*(区片价!C55:G86))</f>
        <v>18600</v>
      </c>
      <c r="N4" s="865">
        <f>SUMPRODUCT((因素修正幅度!B55:B86=I2)*(因素修正幅度!C3:G3=E2)*(因素修正幅度!C55:G86))</f>
        <v>0.1</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18600</v>
      </c>
      <c r="D5" s="1338">
        <f>ROUND(C6*C17+C20,0)</f>
        <v>18600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18600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3485" t="s">
        <v>1952</v>
      </c>
      <c r="X7" s="1213" t="str">
        <f>G2</f>
        <v>四级</v>
      </c>
      <c r="Y7" s="1213" t="s">
        <v>1953</v>
      </c>
      <c r="Z7" s="1214">
        <f>G3</f>
        <v>2.5</v>
      </c>
      <c r="AA7" s="1215"/>
      <c r="AB7" s="1215"/>
      <c r="AC7" s="1216"/>
      <c r="AD7" s="1217"/>
      <c r="AE7" s="1217"/>
      <c r="AF7" s="1217"/>
      <c r="AG7" s="1217"/>
      <c r="AH7" s="1217"/>
      <c r="AI7" s="1217"/>
      <c r="AJ7" s="1218"/>
    </row>
    <row r="8" spans="1:36" ht="25.5">
      <c r="A8" s="3298"/>
      <c r="B8" s="170" t="s">
        <v>1954</v>
      </c>
      <c r="C8" s="2025" t="s">
        <v>3439</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4" t="s">
        <v>1957</v>
      </c>
      <c r="X8" s="3775"/>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1" t="s">
        <v>3255</v>
      </c>
      <c r="B20" s="167" t="s">
        <v>1991</v>
      </c>
      <c r="C20" s="3324">
        <f>ROUND(IF(F21="与级别开发程度一致",0,(G21-E21)/C21),0)</f>
        <v>0</v>
      </c>
      <c r="D20" s="3340" t="s">
        <v>1995</v>
      </c>
      <c r="E20" s="3341"/>
      <c r="F20" s="3787" t="s">
        <v>1992</v>
      </c>
      <c r="G20" s="3788"/>
      <c r="H20" s="3325" t="s">
        <v>3384</v>
      </c>
      <c r="I20" s="3325" t="s">
        <v>3385</v>
      </c>
      <c r="J20" s="3326" t="s">
        <v>3386</v>
      </c>
      <c r="K20" s="2046" t="s">
        <v>3387</v>
      </c>
      <c r="L20" s="2046" t="s">
        <v>3388</v>
      </c>
      <c r="M20" s="2046" t="s">
        <v>3441</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2"/>
      <c r="B21" s="2163" t="s">
        <v>1994</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3458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45449</v>
      </c>
      <c r="H23" s="3342" t="s">
        <v>3256</v>
      </c>
      <c r="I23" s="3343" t="str">
        <f>IF(H23="季度增幅（自定义）",SUMIF(N25:N28,E2,O25:O28),"")</f>
        <v/>
      </c>
      <c r="J23" s="3445" t="s">
        <v>3459</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存贷款利率!E24/100</f>
        <v>4.3499999999999997E-2</v>
      </c>
      <c r="F24" s="2059" t="s">
        <v>1996</v>
      </c>
      <c r="G24" s="767">
        <f>SUMIF(M30:Q30,E2,M33:Q33)</f>
        <v>5.5E-2</v>
      </c>
      <c r="H24" s="2059" t="s">
        <v>2005</v>
      </c>
      <c r="I24" s="768" t="e">
        <f>SUMIF('数据-取费表'!C6:C15,E2,'数据-取费表'!F6:F15)/COUNTIF('数据-取费表'!C6:C15,E2)</f>
        <v>#DIV/0!</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3483">
        <f>IF(B25="容积率修正",IF(G3&lt;10,D26,J26),C27)</f>
        <v>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1</v>
      </c>
      <c r="E26" s="751">
        <f>ROUNDDOWN(G3,1)</f>
        <v>2.5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1.5019</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1.054</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f>'数据-汇总表'!F20</f>
        <v>0</v>
      </c>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5"/>
      <c r="B37" s="2112" t="s">
        <v>2033</v>
      </c>
      <c r="C37" s="175" t="e">
        <f>ROUND(D5*C22*C23*C24*C28*F37,0)</f>
        <v>#DIV/0!</v>
      </c>
      <c r="D37" s="2097">
        <f>'数据-汇总表'!G20</f>
        <v>0</v>
      </c>
      <c r="E37" s="171" t="e">
        <f>ROUND(C37*D37/10000,0)</f>
        <v>#DIV/0!</v>
      </c>
      <c r="F37" s="171">
        <f>SUMIF(修正!A57:A68,G2,修正!B57:B68)</f>
        <v>0.6</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6"/>
      <c r="B38" s="2040" t="s">
        <v>2034</v>
      </c>
      <c r="C38" s="175" t="e">
        <f>ROUND(D5*C22*C23*C24*C28*F38,0)</f>
        <v>#DIV/0!</v>
      </c>
      <c r="D38" s="2097"/>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6"/>
      <c r="B39" s="2040" t="s">
        <v>3259</v>
      </c>
      <c r="C39" s="175" t="e">
        <f>ROUND(D5*C22*C23*C24*C28*F39,0)</f>
        <v>#DIV/0!</v>
      </c>
      <c r="D39" s="2097"/>
      <c r="E39" s="171" t="e">
        <f t="shared" si="4"/>
        <v>#DIV/0!</v>
      </c>
      <c r="F39" s="171">
        <f>SUMIF(修正!A57:A68,G2,修正!D57:D68)</f>
        <v>0.25</v>
      </c>
      <c r="G39" s="171" t="e">
        <f>ROUND(IF(E2="工业",C39*$M$42,C39*$M$41),0)</f>
        <v>#DIV/0!</v>
      </c>
      <c r="H39" s="171">
        <f t="shared" si="5"/>
        <v>0</v>
      </c>
      <c r="I39" s="171" t="e">
        <f t="shared" si="6"/>
        <v>#DIV/0!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SUMIF(修正!A57:A68,G2,修正!E57:E68)</f>
        <v>0.25</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1.054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1.4999999999999999E-2</v>
      </c>
      <c r="E50" s="743">
        <f>ROUND(SUM(D50:D58),4)</f>
        <v>5.3999999999999999E-2</v>
      </c>
      <c r="F50" s="1813">
        <f>IF(E2="商业",SUMIF(L1:L12,G2,N1:N12),"——")</f>
        <v>0.1</v>
      </c>
      <c r="G50" s="1062">
        <f t="shared" ref="G50:G58" si="8">H50</f>
        <v>1.4999999999999999E-2</v>
      </c>
      <c r="H50" s="1065">
        <f t="shared" ref="H50:H58" si="9">IFERROR(ROUNDDOWN($F$50*I50/2,4),"——")</f>
        <v>1.4999999999999999E-2</v>
      </c>
      <c r="I50" s="3366">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1.0999999999999999E-2</v>
      </c>
      <c r="E51" s="744"/>
      <c r="F51" s="1813"/>
      <c r="G51" s="1062">
        <f t="shared" si="8"/>
        <v>1.0999999999999999E-2</v>
      </c>
      <c r="H51" s="1065">
        <f t="shared" si="9"/>
        <v>1.0999999999999999E-2</v>
      </c>
      <c r="I51" s="3366">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6.0000000000000001E-3</v>
      </c>
      <c r="E52" s="744"/>
      <c r="F52" s="1813"/>
      <c r="G52" s="1062">
        <f t="shared" si="8"/>
        <v>6.0000000000000001E-3</v>
      </c>
      <c r="H52" s="1065">
        <f t="shared" si="9"/>
        <v>6.0000000000000001E-3</v>
      </c>
      <c r="I52" s="3366">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2.5000000000000001E-3</v>
      </c>
      <c r="E53" s="744"/>
      <c r="F53" s="1813"/>
      <c r="G53" s="1062">
        <f t="shared" si="8"/>
        <v>2.5000000000000001E-3</v>
      </c>
      <c r="H53" s="1065">
        <f t="shared" si="9"/>
        <v>2.5000000000000001E-3</v>
      </c>
      <c r="I53" s="3366">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4.0000000000000001E-3</v>
      </c>
      <c r="E54" s="744"/>
      <c r="F54" s="1813"/>
      <c r="G54" s="1062">
        <f t="shared" si="8"/>
        <v>4.0000000000000001E-3</v>
      </c>
      <c r="H54" s="1065">
        <f t="shared" si="9"/>
        <v>4.0000000000000001E-3</v>
      </c>
      <c r="I54" s="3366">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2.5000000000000001E-3</v>
      </c>
      <c r="E55" s="744"/>
      <c r="F55" s="1813"/>
      <c r="G55" s="1062">
        <f t="shared" si="8"/>
        <v>2.5000000000000001E-3</v>
      </c>
      <c r="H55" s="1065">
        <f t="shared" si="9"/>
        <v>2.5000000000000001E-3</v>
      </c>
      <c r="I55" s="3366">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2.5000000000000001E-3</v>
      </c>
      <c r="E56" s="744"/>
      <c r="F56" s="1813"/>
      <c r="G56" s="1062">
        <f t="shared" si="8"/>
        <v>2.5000000000000001E-3</v>
      </c>
      <c r="H56" s="1065">
        <f t="shared" si="9"/>
        <v>2.5000000000000001E-3</v>
      </c>
      <c r="I56" s="3366">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8.0000000000000002E-3</v>
      </c>
      <c r="E57" s="744"/>
      <c r="F57" s="1813"/>
      <c r="G57" s="1062">
        <f t="shared" si="8"/>
        <v>4.0000000000000001E-3</v>
      </c>
      <c r="H57" s="1065">
        <f t="shared" si="9"/>
        <v>4.0000000000000001E-3</v>
      </c>
      <c r="I57" s="3366">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2.5000000000000001E-3</v>
      </c>
      <c r="E58" s="745"/>
      <c r="F58" s="1813"/>
      <c r="G58" s="1062">
        <f t="shared" si="8"/>
        <v>2.5000000000000001E-3</v>
      </c>
      <c r="H58" s="1065">
        <f t="shared" si="9"/>
        <v>2.5000000000000001E-3</v>
      </c>
      <c r="I58" s="3367">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3" t="s">
        <v>3294</v>
      </c>
      <c r="B103" s="3783"/>
      <c r="C103" s="3783"/>
      <c r="D103" s="3783"/>
      <c r="E103" s="3783"/>
      <c r="F103" s="3783"/>
      <c r="G103" s="3783"/>
      <c r="H103" s="3783"/>
      <c r="I103" s="3783"/>
      <c r="J103" s="3783"/>
      <c r="K103" s="3486"/>
      <c r="L103" s="3486"/>
      <c r="M103" s="3486"/>
      <c r="N103" s="3486"/>
    </row>
    <row r="104" spans="1:14">
      <c r="A104" s="3784" t="s">
        <v>3295</v>
      </c>
      <c r="B104" s="3784" t="s">
        <v>3296</v>
      </c>
      <c r="C104" s="3390" t="s">
        <v>3297</v>
      </c>
      <c r="D104" s="3391"/>
      <c r="E104" s="3391"/>
      <c r="F104" s="3391"/>
      <c r="G104" s="3391"/>
      <c r="H104" s="3391"/>
      <c r="I104" s="3391"/>
      <c r="J104" s="3392"/>
      <c r="K104" s="3393"/>
      <c r="L104" s="3393"/>
      <c r="M104" s="3393"/>
      <c r="N104" s="3393"/>
    </row>
    <row r="105" spans="1:14">
      <c r="A105" s="3784"/>
      <c r="B105" s="3784"/>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70"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1"/>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1"/>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1"/>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1"/>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1"/>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2"/>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3" t="s">
        <v>3311</v>
      </c>
      <c r="B113" s="3773"/>
      <c r="C113" s="3773"/>
      <c r="D113" s="3773"/>
      <c r="E113" s="3773"/>
      <c r="F113" s="3773"/>
      <c r="G113" s="3773"/>
      <c r="H113" s="3773"/>
      <c r="I113" s="3773"/>
      <c r="J113" s="3773"/>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0.91400000000000003</v>
      </c>
      <c r="E116" s="1999" t="s">
        <v>1933</v>
      </c>
      <c r="F116" s="3401" t="str">
        <f>E2</f>
        <v>商业</v>
      </c>
      <c r="G116" s="1999" t="s">
        <v>1934</v>
      </c>
      <c r="H116" s="3401" t="str">
        <f>G2</f>
        <v>四级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1988</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1989</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1990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E17"/>
  <sheetViews>
    <sheetView topLeftCell="B1" workbookViewId="0">
      <selection activeCell="N34" sqref="N34"/>
    </sheetView>
  </sheetViews>
  <sheetFormatPr defaultRowHeight="13.5"/>
  <sheetData>
    <row r="2" spans="1:5">
      <c r="A2" s="3458"/>
    </row>
    <row r="3" spans="1:5">
      <c r="A3" s="3458"/>
    </row>
    <row r="11" spans="1:5">
      <c r="E11" s="3458"/>
    </row>
    <row r="12" spans="1:5">
      <c r="E12" s="3458"/>
    </row>
    <row r="13" spans="1:5">
      <c r="E13" s="3458"/>
    </row>
    <row r="14" spans="1:5">
      <c r="E14" s="3458"/>
    </row>
    <row r="15" spans="1:5">
      <c r="E15" s="3458"/>
    </row>
    <row r="16" spans="1:5">
      <c r="E16" s="3458"/>
    </row>
    <row r="17" spans="5:5">
      <c r="E17" s="3458"/>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7" t="s">
        <v>2840</v>
      </c>
      <c r="B1" s="3817"/>
      <c r="C1" s="3817"/>
      <c r="D1" s="3817"/>
      <c r="E1" s="3817"/>
      <c r="F1" s="3817"/>
      <c r="G1" s="3818"/>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5"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6"/>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9" t="s">
        <v>3182</v>
      </c>
      <c r="B1" s="3819"/>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0" t="s">
        <v>3233</v>
      </c>
      <c r="B1" s="3820"/>
      <c r="C1" s="3820"/>
      <c r="D1" s="3820"/>
      <c r="E1" s="3820"/>
      <c r="F1" s="3821"/>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3370</v>
      </c>
      <c r="C1" s="3210"/>
      <c r="D1" s="3210"/>
      <c r="E1" s="3210"/>
      <c r="F1" s="3210"/>
      <c r="G1" s="3210"/>
      <c r="H1" s="3210"/>
      <c r="I1" s="3210"/>
      <c r="J1" s="3164"/>
      <c r="K1" s="3210" t="s">
        <v>454</v>
      </c>
      <c r="L1" s="3210"/>
      <c r="M1" s="3210"/>
      <c r="N1" s="3210"/>
      <c r="O1" s="3210"/>
      <c r="P1" s="3210"/>
      <c r="Q1" s="3164"/>
      <c r="R1" s="3822" t="s">
        <v>456</v>
      </c>
      <c r="S1" s="3823"/>
      <c r="T1" s="3823"/>
      <c r="U1" s="3823"/>
      <c r="V1" s="3823"/>
      <c r="W1" s="3823"/>
      <c r="X1" s="3164"/>
      <c r="Y1" s="3822" t="s">
        <v>457</v>
      </c>
      <c r="Z1" s="3823"/>
      <c r="AA1" s="3823"/>
      <c r="AB1" s="3823"/>
      <c r="AC1" s="3823"/>
      <c r="AD1" s="3823"/>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22" t="s">
        <v>2828</v>
      </c>
      <c r="S23" s="3823"/>
      <c r="T23" s="3823"/>
      <c r="U23" s="3823"/>
      <c r="V23" s="3823"/>
      <c r="W23" s="3823"/>
      <c r="X23" s="3164"/>
      <c r="Y23" s="3822" t="s">
        <v>2829</v>
      </c>
      <c r="Z23" s="3823"/>
      <c r="AA23" s="3823"/>
      <c r="AB23" s="3823"/>
      <c r="AC23" s="3823"/>
      <c r="AD23" s="3823"/>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3" t="s">
        <v>925</v>
      </c>
      <c r="E3" s="853" t="s">
        <v>931</v>
      </c>
      <c r="F3" s="853" t="s">
        <v>925</v>
      </c>
      <c r="G3" s="853" t="s">
        <v>926</v>
      </c>
      <c r="H3" s="853" t="s">
        <v>925</v>
      </c>
      <c r="I3" s="853" t="s">
        <v>926</v>
      </c>
    </row>
    <row r="4" spans="1:9" ht="15">
      <c r="A4" s="1504" t="str">
        <f>项目基本情况!S2</f>
        <v>北京市房地产</v>
      </c>
      <c r="B4" s="853">
        <f>项目基本情况!C17</f>
        <v>2389.2399999999998</v>
      </c>
      <c r="C4" s="853">
        <f>项目基本情况!C18</f>
        <v>0</v>
      </c>
      <c r="D4" s="853" t="e">
        <f ca="1">结果表!D118</f>
        <v>#DIV/0!</v>
      </c>
      <c r="E4" s="853" t="e">
        <f ca="1">结果表!E118</f>
        <v>#DIV/0!</v>
      </c>
      <c r="F4" s="853" t="e">
        <f ca="1">结果表!F118</f>
        <v>#DIV/0!</v>
      </c>
      <c r="G4" s="853" t="e">
        <f ca="1">结果表!G118</f>
        <v>#DIV/0!</v>
      </c>
      <c r="H4" s="853">
        <f ca="1">结果表!H118</f>
        <v>2676</v>
      </c>
      <c r="I4" s="853">
        <f ca="1">结果表!I118</f>
        <v>11200</v>
      </c>
    </row>
    <row r="5" spans="1:9" ht="30" customHeight="1">
      <c r="A5" s="3505" t="s">
        <v>927</v>
      </c>
      <c r="B5" s="3505"/>
      <c r="C5" s="3505"/>
      <c r="D5" s="3505" t="e">
        <f ca="1">结果表!D119</f>
        <v>#DIV/0!</v>
      </c>
      <c r="E5" s="3505"/>
      <c r="F5" s="3505" t="e">
        <f ca="1">结果表!F119</f>
        <v>#DIV/0!</v>
      </c>
      <c r="G5" s="3505"/>
      <c r="H5" s="3505" t="str">
        <f ca="1">结果表!H119</f>
        <v>贰仟陆佰柒拾陆万元整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2676</v>
      </c>
      <c r="E8" s="3506"/>
      <c r="F8" s="3506"/>
      <c r="G8" s="3506"/>
      <c r="H8" s="3506"/>
      <c r="I8" s="3506"/>
    </row>
    <row r="9" spans="1:9" ht="15">
      <c r="A9" s="3505" t="s">
        <v>927</v>
      </c>
      <c r="B9" s="3505"/>
      <c r="C9" s="3505"/>
      <c r="D9" s="3505" t="str">
        <f ca="1">结果表!D123</f>
        <v>贰仟陆佰柒拾陆万元整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3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2" t="s">
        <v>949</v>
      </c>
      <c r="B1" s="3512"/>
      <c r="C1" s="3512"/>
      <c r="D1" s="3512"/>
    </row>
    <row r="2" spans="1:4" ht="18">
      <c r="A2" s="3513" t="s">
        <v>933</v>
      </c>
      <c r="B2" s="3513"/>
      <c r="C2" s="3513"/>
      <c r="D2" s="351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3" t="s">
        <v>939</v>
      </c>
      <c r="B6" s="3513"/>
      <c r="C6" s="3513"/>
      <c r="D6" s="351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6" t="s">
        <v>956</v>
      </c>
      <c r="B15" s="3521" t="s">
        <v>109</v>
      </c>
      <c r="C15" s="3522"/>
    </row>
    <row r="16" spans="1:7" ht="13.5">
      <c r="A16" s="3527"/>
      <c r="B16" s="3521" t="s">
        <v>42</v>
      </c>
      <c r="C16" s="3522"/>
    </row>
    <row r="17" spans="1:3" ht="13.5">
      <c r="A17" s="3527"/>
      <c r="B17" s="3524" t="s">
        <v>957</v>
      </c>
      <c r="C17" s="1531" t="s">
        <v>956</v>
      </c>
    </row>
    <row r="18" spans="1:3" ht="13.5">
      <c r="A18" s="3527"/>
      <c r="B18" s="3524"/>
      <c r="C18" s="1531" t="s">
        <v>958</v>
      </c>
    </row>
    <row r="19" spans="1:3" ht="13.5">
      <c r="A19" s="3527"/>
      <c r="B19" s="3524"/>
      <c r="C19" s="1531" t="s">
        <v>959</v>
      </c>
    </row>
    <row r="20" spans="1:3" ht="13.5">
      <c r="A20" s="3528"/>
      <c r="B20" s="3523" t="s">
        <v>960</v>
      </c>
      <c r="C20" s="3522"/>
    </row>
    <row r="21" spans="1:3" ht="13.5">
      <c r="A21" s="1532" t="s">
        <v>961</v>
      </c>
      <c r="B21" s="1533"/>
      <c r="C21" s="1534"/>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1" t="s">
        <v>967</v>
      </c>
    </row>
    <row r="26" spans="1:3" ht="13.5">
      <c r="A26" s="3525"/>
      <c r="B26" s="3524"/>
      <c r="C26" s="1531" t="s">
        <v>968</v>
      </c>
    </row>
    <row r="27" spans="1:3" ht="13.5">
      <c r="A27" s="3525"/>
      <c r="B27" s="3524"/>
      <c r="C27" s="1531" t="s">
        <v>969</v>
      </c>
    </row>
    <row r="28" spans="1:3" ht="13.5">
      <c r="A28" s="3525"/>
      <c r="B28" s="3524"/>
      <c r="C28" s="1531" t="s">
        <v>970</v>
      </c>
    </row>
    <row r="29" spans="1:3" ht="13.5">
      <c r="A29" s="3525"/>
      <c r="B29" s="3524"/>
      <c r="C29" s="1531" t="s">
        <v>971</v>
      </c>
    </row>
    <row r="30" spans="1:3" ht="13.5">
      <c r="A30" s="3525"/>
      <c r="B30" s="3524"/>
      <c r="C30" s="1531" t="s">
        <v>972</v>
      </c>
    </row>
    <row r="31" spans="1:3" ht="13.5">
      <c r="A31" s="3525"/>
      <c r="B31" s="3524"/>
      <c r="C31" s="1531" t="s">
        <v>973</v>
      </c>
    </row>
    <row r="32" spans="1:3" ht="13.5">
      <c r="A32" s="3525"/>
      <c r="B32" s="3524"/>
      <c r="C32" s="1531" t="s">
        <v>974</v>
      </c>
    </row>
    <row r="33" spans="1:3" ht="13.5">
      <c r="A33" s="3525"/>
      <c r="B33" s="352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45454</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9" t="s">
        <v>2157</v>
      </c>
      <c r="B17" s="3529"/>
      <c r="C17" s="3529"/>
      <c r="D17" s="3529"/>
      <c r="E17" s="3529"/>
      <c r="F17" s="3529"/>
      <c r="G17" s="3529"/>
      <c r="H17" s="3529"/>
    </row>
    <row r="18" spans="1:8" ht="24" customHeight="1">
      <c r="A18" s="3530" t="s">
        <v>2158</v>
      </c>
      <c r="B18" s="3530"/>
      <c r="C18" s="3530"/>
      <c r="D18" s="2342"/>
      <c r="E18" s="3531" t="s">
        <v>2159</v>
      </c>
      <c r="F18" s="3530"/>
      <c r="G18" s="3530"/>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2024-06-11T02:34:03Z</dcterms:modified>
</cp:coreProperties>
</file>