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510" windowWidth="12120" windowHeight="73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 name="Sheet2" sheetId="70" r:id="rId43"/>
  </sheets>
  <externalReferences>
    <externalReference r:id="rId44"/>
    <externalReference r:id="rId45"/>
    <externalReference r:id="rId46"/>
    <externalReference r:id="rId47"/>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25725"/>
</workbook>
</file>

<file path=xl/calcChain.xml><?xml version="1.0" encoding="utf-8"?>
<calcChain xmlns="http://schemas.openxmlformats.org/spreadsheetml/2006/main">
  <c r="H11" i="70"/>
  <c r="G12" l="1"/>
  <c r="E39" i="6" l="1"/>
  <c r="E38"/>
  <c r="E37"/>
  <c r="D30" i="9" l="1"/>
  <c r="B30"/>
  <c r="D27"/>
  <c r="B27"/>
  <c r="C17" i="66" l="1"/>
  <c r="B17"/>
  <c r="C16"/>
  <c r="B16"/>
  <c r="C15"/>
  <c r="B15"/>
  <c r="E47" i="69" l="1"/>
  <c r="G47"/>
  <c r="I47"/>
  <c r="I9" i="39"/>
  <c r="G9"/>
  <c r="E9"/>
  <c r="L7" i="1" l="1"/>
  <c r="M19"/>
  <c r="L19"/>
  <c r="K19"/>
  <c r="K18"/>
  <c r="M18" s="1"/>
  <c r="M20" s="1"/>
  <c r="L20" s="1"/>
  <c r="C7" i="69" l="1"/>
  <c r="C23"/>
  <c r="C21"/>
  <c r="C19"/>
  <c r="C17"/>
  <c r="C15"/>
  <c r="C11"/>
  <c r="C145" l="1"/>
  <c r="J142"/>
  <c r="J140"/>
  <c r="K145" s="1"/>
  <c r="K139"/>
  <c r="B130"/>
  <c r="B128"/>
  <c r="J45" s="1"/>
  <c r="AC45" s="1"/>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D113"/>
  <c r="E113" s="1"/>
  <c r="F113" s="1"/>
  <c r="G113" s="1"/>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B98"/>
  <c r="B96"/>
  <c r="B94"/>
  <c r="B92"/>
  <c r="B90"/>
  <c r="D89"/>
  <c r="E89" s="1"/>
  <c r="F89" s="1"/>
  <c r="G89" s="1"/>
  <c r="H89" s="1"/>
  <c r="I89" s="1"/>
  <c r="J89" s="1"/>
  <c r="K89" s="1"/>
  <c r="L89" s="1"/>
  <c r="M89" s="1"/>
  <c r="M87"/>
  <c r="L87"/>
  <c r="K87"/>
  <c r="J87"/>
  <c r="I87"/>
  <c r="H87"/>
  <c r="G87"/>
  <c r="F87"/>
  <c r="E87"/>
  <c r="D87"/>
  <c r="D85"/>
  <c r="E85" s="1"/>
  <c r="F85" s="1"/>
  <c r="G85" s="1"/>
  <c r="D83"/>
  <c r="E83" s="1"/>
  <c r="F83" s="1"/>
  <c r="G83" s="1"/>
  <c r="D81"/>
  <c r="E81" s="1"/>
  <c r="F81" s="1"/>
  <c r="G81" s="1"/>
  <c r="D79"/>
  <c r="E79" s="1"/>
  <c r="F79" s="1"/>
  <c r="G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H45"/>
  <c r="AB45" s="1"/>
  <c r="Q44"/>
  <c r="Z44" s="1"/>
  <c r="J44"/>
  <c r="AC44" s="1"/>
  <c r="H44"/>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J36"/>
  <c r="AC36" s="1"/>
  <c r="H36"/>
  <c r="AB36" s="1"/>
  <c r="F36"/>
  <c r="AA36" s="1"/>
  <c r="Q35"/>
  <c r="Z35" s="1"/>
  <c r="J35"/>
  <c r="AC35" s="1"/>
  <c r="H35"/>
  <c r="AB35" s="1"/>
  <c r="F35"/>
  <c r="AA35" s="1"/>
  <c r="Q34"/>
  <c r="Z34" s="1"/>
  <c r="J34"/>
  <c r="AC34" s="1"/>
  <c r="H34"/>
  <c r="AB34" s="1"/>
  <c r="F34"/>
  <c r="AA34" s="1"/>
  <c r="Q33"/>
  <c r="Z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F26"/>
  <c r="AA26" s="1"/>
  <c r="Q25"/>
  <c r="Z25" s="1"/>
  <c r="J25"/>
  <c r="AC25" s="1"/>
  <c r="H25"/>
  <c r="AB25" s="1"/>
  <c r="F25"/>
  <c r="AA25" s="1"/>
  <c r="Q23"/>
  <c r="Z23" s="1"/>
  <c r="J23"/>
  <c r="AC23" s="1"/>
  <c r="H23"/>
  <c r="AB23" s="1"/>
  <c r="F23"/>
  <c r="AA23" s="1"/>
  <c r="Q21"/>
  <c r="Z21" s="1"/>
  <c r="H21"/>
  <c r="AB21" s="1"/>
  <c r="Q19"/>
  <c r="Z19" s="1"/>
  <c r="J19"/>
  <c r="AC19" s="1"/>
  <c r="H19"/>
  <c r="AB19" s="1"/>
  <c r="F19"/>
  <c r="AA19" s="1"/>
  <c r="Q17"/>
  <c r="Z17" s="1"/>
  <c r="J17"/>
  <c r="AC17" s="1"/>
  <c r="H17"/>
  <c r="AB17" s="1"/>
  <c r="F17"/>
  <c r="AA17" s="1"/>
  <c r="Q15"/>
  <c r="Z15" s="1"/>
  <c r="J15"/>
  <c r="AC15" s="1"/>
  <c r="H15"/>
  <c r="AB15" s="1"/>
  <c r="F15"/>
  <c r="AA15" s="1"/>
  <c r="Q14"/>
  <c r="Z14" s="1"/>
  <c r="J14"/>
  <c r="AC14" s="1"/>
  <c r="H14"/>
  <c r="AB14" s="1"/>
  <c r="F14"/>
  <c r="AA14" s="1"/>
  <c r="Q13"/>
  <c r="Z13" s="1"/>
  <c r="J13"/>
  <c r="AC13" s="1"/>
  <c r="H13"/>
  <c r="AB13" s="1"/>
  <c r="F13"/>
  <c r="AA13" s="1"/>
  <c r="Q12"/>
  <c r="Z12" s="1"/>
  <c r="J12"/>
  <c r="AC12" s="1"/>
  <c r="H12"/>
  <c r="AB12" s="1"/>
  <c r="F12"/>
  <c r="AA12" s="1"/>
  <c r="Q11"/>
  <c r="Z11" s="1"/>
  <c r="H11"/>
  <c r="Q10"/>
  <c r="Z10" s="1"/>
  <c r="J10"/>
  <c r="AC10" s="1"/>
  <c r="H10"/>
  <c r="AB10" s="1"/>
  <c r="F10"/>
  <c r="AA10" s="1"/>
  <c r="Q9"/>
  <c r="Z9" s="1"/>
  <c r="J9"/>
  <c r="AC9" s="1"/>
  <c r="H9"/>
  <c r="AB9" s="1"/>
  <c r="F9"/>
  <c r="AA9" s="1"/>
  <c r="W8"/>
  <c r="S8"/>
  <c r="J8"/>
  <c r="AC8" s="1"/>
  <c r="H8"/>
  <c r="AB8" s="1"/>
  <c r="F8"/>
  <c r="AA8" s="1"/>
  <c r="I7"/>
  <c r="G7"/>
  <c r="C58"/>
  <c r="D58" s="1"/>
  <c r="E58" s="1"/>
  <c r="F58" s="1"/>
  <c r="G58" s="1"/>
  <c r="H58" s="1"/>
  <c r="I58" s="1"/>
  <c r="J58" s="1"/>
  <c r="K58" s="1"/>
  <c r="L58" s="1"/>
  <c r="M58" s="1"/>
  <c r="N58" s="1"/>
  <c r="O58" s="1"/>
  <c r="F7" s="1"/>
  <c r="S7" s="1"/>
  <c r="F21" l="1"/>
  <c r="AA21" s="1"/>
  <c r="J21"/>
  <c r="AC21" s="1"/>
  <c r="F45"/>
  <c r="AA45" s="1"/>
  <c r="H113"/>
  <c r="F37"/>
  <c r="AA37" s="1"/>
  <c r="H37"/>
  <c r="AB37" s="1"/>
  <c r="J37"/>
  <c r="AC37" s="1"/>
  <c r="J7"/>
  <c r="W7" s="1"/>
  <c r="H7"/>
  <c r="AB7" s="1"/>
  <c r="AB11"/>
  <c r="U11"/>
  <c r="AA7"/>
  <c r="U8"/>
  <c r="U9"/>
  <c r="S10"/>
  <c r="W10"/>
  <c r="F11"/>
  <c r="J11"/>
  <c r="U12"/>
  <c r="S13"/>
  <c r="W13"/>
  <c r="U14"/>
  <c r="U15"/>
  <c r="W17"/>
  <c r="S9"/>
  <c r="W9"/>
  <c r="U10"/>
  <c r="S12"/>
  <c r="W12"/>
  <c r="U13"/>
  <c r="S14"/>
  <c r="W14"/>
  <c r="S15"/>
  <c r="W15"/>
  <c r="S17"/>
  <c r="S19"/>
  <c r="W19"/>
  <c r="W21"/>
  <c r="S23"/>
  <c r="W23"/>
  <c r="U25"/>
  <c r="S26"/>
  <c r="W26"/>
  <c r="U27"/>
  <c r="S28"/>
  <c r="W28"/>
  <c r="U29"/>
  <c r="S30"/>
  <c r="W30"/>
  <c r="U31"/>
  <c r="S32"/>
  <c r="W32"/>
  <c r="U34"/>
  <c r="S35"/>
  <c r="W35"/>
  <c r="U36"/>
  <c r="S37"/>
  <c r="W37"/>
  <c r="U38"/>
  <c r="S39"/>
  <c r="W39"/>
  <c r="U40"/>
  <c r="S41"/>
  <c r="W41"/>
  <c r="U42"/>
  <c r="S43"/>
  <c r="W43"/>
  <c r="AB44"/>
  <c r="U44"/>
  <c r="W44"/>
  <c r="U17"/>
  <c r="U19"/>
  <c r="U21"/>
  <c r="U23"/>
  <c r="S25"/>
  <c r="W25"/>
  <c r="U26"/>
  <c r="S27"/>
  <c r="W27"/>
  <c r="U28"/>
  <c r="S29"/>
  <c r="W29"/>
  <c r="U30"/>
  <c r="S31"/>
  <c r="W31"/>
  <c r="U32"/>
  <c r="S34"/>
  <c r="W34"/>
  <c r="U35"/>
  <c r="S36"/>
  <c r="W36"/>
  <c r="S38"/>
  <c r="W38"/>
  <c r="U39"/>
  <c r="S40"/>
  <c r="W40"/>
  <c r="U41"/>
  <c r="S42"/>
  <c r="W42"/>
  <c r="U43"/>
  <c r="S44"/>
  <c r="U45"/>
  <c r="S46"/>
  <c r="W46"/>
  <c r="K141"/>
  <c r="K143"/>
  <c r="S45"/>
  <c r="W45"/>
  <c r="U46"/>
  <c r="K144"/>
  <c r="S21" l="1"/>
  <c r="U37"/>
  <c r="AC7"/>
  <c r="U7"/>
  <c r="AA11"/>
  <c r="S11"/>
  <c r="AC11"/>
  <c r="W11"/>
  <c r="A16" i="3" l="1"/>
  <c r="C33" i="69" s="1"/>
  <c r="H33" l="1"/>
  <c r="F33"/>
  <c r="J33"/>
  <c r="I48" i="39"/>
  <c r="G48"/>
  <c r="E48"/>
  <c r="AC33" i="69" l="1"/>
  <c r="V48" s="1"/>
  <c r="I48" s="1"/>
  <c r="W33"/>
  <c r="S33"/>
  <c r="AA33"/>
  <c r="R48" s="1"/>
  <c r="AB33"/>
  <c r="T48" s="1"/>
  <c r="G48" s="1"/>
  <c r="G52" s="1"/>
  <c r="H52" s="1"/>
  <c r="U33"/>
  <c r="I40" i="39"/>
  <c r="G40"/>
  <c r="E40"/>
  <c r="I7"/>
  <c r="G7"/>
  <c r="E7"/>
  <c r="R49" i="69" l="1"/>
  <c r="E48"/>
  <c r="G53"/>
  <c r="H53" s="1"/>
  <c r="I52"/>
  <c r="J52" s="1"/>
  <c r="E52" l="1"/>
  <c r="F52" s="1"/>
  <c r="E53"/>
  <c r="F53" s="1"/>
  <c r="I53"/>
  <c r="J53" s="1"/>
  <c r="C48"/>
  <c r="C49"/>
  <c r="B3" s="1"/>
  <c r="C8" i="12" s="1"/>
  <c r="I13" i="3"/>
  <c r="K13" s="1"/>
  <c r="C33" i="33"/>
  <c r="F20" i="6" l="1"/>
  <c r="C40" i="39"/>
  <c r="C33" i="21" l="1"/>
  <c r="F19" i="6"/>
  <c r="AH5" i="59"/>
  <c r="AG5"/>
  <c r="AF5"/>
  <c r="AE5"/>
  <c r="AD5"/>
  <c r="Q5"/>
  <c r="P5"/>
  <c r="O5"/>
  <c r="N5"/>
  <c r="E41" i="46" l="1"/>
  <c r="C41"/>
  <c r="L3" i="59"/>
  <c r="AH3" s="1"/>
  <c r="K3"/>
  <c r="J3"/>
  <c r="I3"/>
  <c r="AH6"/>
  <c r="AG6"/>
  <c r="AE6"/>
  <c r="AF6" s="1"/>
  <c r="AD6"/>
  <c r="Q6"/>
  <c r="AB5" s="1"/>
  <c r="Q7"/>
  <c r="AB6"/>
  <c r="P6"/>
  <c r="AA5" s="1"/>
  <c r="P7"/>
  <c r="AA6"/>
  <c r="O6"/>
  <c r="Y5" s="1"/>
  <c r="Z5" s="1"/>
  <c r="O7"/>
  <c r="Y6"/>
  <c r="Z6" s="1"/>
  <c r="N6"/>
  <c r="X5" s="1"/>
  <c r="N7"/>
  <c r="X6"/>
  <c r="F7"/>
  <c r="F6"/>
  <c r="F5" s="1"/>
  <c r="E7"/>
  <c r="E6"/>
  <c r="E5" s="1"/>
  <c r="C7"/>
  <c r="B7"/>
  <c r="AH7"/>
  <c r="AG7"/>
  <c r="AE7"/>
  <c r="AF7"/>
  <c r="AD7"/>
  <c r="Q8"/>
  <c r="AB7"/>
  <c r="P8"/>
  <c r="AA7"/>
  <c r="O8"/>
  <c r="Y7"/>
  <c r="Z7"/>
  <c r="N8"/>
  <c r="X7"/>
  <c r="F8"/>
  <c r="E8"/>
  <c r="C8"/>
  <c r="D7"/>
  <c r="B8"/>
  <c r="D8"/>
  <c r="M19" i="46"/>
  <c r="J50" i="15"/>
  <c r="D10" i="59"/>
  <c r="AH8"/>
  <c r="AG8"/>
  <c r="AE8"/>
  <c r="AF8"/>
  <c r="AD8"/>
  <c r="AE9"/>
  <c r="AF9"/>
  <c r="AG9"/>
  <c r="AH9"/>
  <c r="AD9"/>
  <c r="Q9"/>
  <c r="AB8"/>
  <c r="P9"/>
  <c r="AA8"/>
  <c r="O9"/>
  <c r="Y8"/>
  <c r="Z8"/>
  <c r="N9"/>
  <c r="X8"/>
  <c r="N10"/>
  <c r="Q10"/>
  <c r="P10"/>
  <c r="O10"/>
  <c r="K59" i="15"/>
  <c r="P62"/>
  <c r="P75"/>
  <c r="Q74" i="44"/>
  <c r="Q61"/>
  <c r="Q60"/>
  <c r="Q53"/>
  <c r="J51"/>
  <c r="J52"/>
  <c r="M48"/>
  <c r="A16" i="55"/>
  <c r="A15"/>
  <c r="A14"/>
  <c r="A11"/>
  <c r="A10"/>
  <c r="A9"/>
  <c r="A8"/>
  <c r="A6" i="54"/>
  <c r="A8"/>
  <c r="A7"/>
  <c r="A28" i="51"/>
  <c r="N4" i="63" s="1"/>
  <c r="A27" i="51"/>
  <c r="Q11" i="59"/>
  <c r="AB9"/>
  <c r="O11"/>
  <c r="Y9"/>
  <c r="Z9"/>
  <c r="N12"/>
  <c r="O12"/>
  <c r="P12"/>
  <c r="Q12"/>
  <c r="N11"/>
  <c r="X9"/>
  <c r="P11"/>
  <c r="AA9"/>
  <c r="B13"/>
  <c r="C13"/>
  <c r="D13"/>
  <c r="E13"/>
  <c r="F13"/>
  <c r="K75" i="9"/>
  <c r="K6" i="4"/>
  <c r="O76" i="9" s="1"/>
  <c r="L76"/>
  <c r="B22" i="31"/>
  <c r="E18" i="66"/>
  <c r="F18"/>
  <c r="E19"/>
  <c r="F19"/>
  <c r="E20"/>
  <c r="F20"/>
  <c r="E21"/>
  <c r="F21"/>
  <c r="E22"/>
  <c r="F22"/>
  <c r="B3"/>
  <c r="V13" i="59"/>
  <c r="U13"/>
  <c r="T13"/>
  <c r="S13"/>
  <c r="B12"/>
  <c r="B11"/>
  <c r="B9"/>
  <c r="E12"/>
  <c r="E11"/>
  <c r="E9"/>
  <c r="C12"/>
  <c r="F12"/>
  <c r="F11"/>
  <c r="F9"/>
  <c r="V9"/>
  <c r="U9"/>
  <c r="S9"/>
  <c r="D12"/>
  <c r="C11"/>
  <c r="AD3"/>
  <c r="AE3"/>
  <c r="AF3" s="1"/>
  <c r="AG3"/>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H24"/>
  <c r="AG24"/>
  <c r="AE24"/>
  <c r="AF24"/>
  <c r="AD24"/>
  <c r="AD25"/>
  <c r="AE25"/>
  <c r="AF25"/>
  <c r="AG25"/>
  <c r="AH25"/>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X22"/>
  <c r="Y22"/>
  <c r="Z22"/>
  <c r="AA22"/>
  <c r="AB22"/>
  <c r="AB23"/>
  <c r="AA23"/>
  <c r="Y23"/>
  <c r="X23"/>
  <c r="D11"/>
  <c r="S2" i="31"/>
  <c r="M2"/>
  <c r="N2"/>
  <c r="O2"/>
  <c r="P2"/>
  <c r="Q2"/>
  <c r="R2"/>
  <c r="C9" i="59"/>
  <c r="C3" i="65"/>
  <c r="C1"/>
  <c r="N1" s="1"/>
  <c r="T9" i="59"/>
  <c r="D9"/>
  <c r="B76" i="63"/>
  <c r="M5" i="54"/>
  <c r="B41" i="63" s="1"/>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B75" i="63"/>
  <c r="B73"/>
  <c r="A21" i="64"/>
  <c r="A28"/>
  <c r="A27"/>
  <c r="A15"/>
  <c r="A14"/>
  <c r="A11"/>
  <c r="A3"/>
  <c r="A45" i="9"/>
  <c r="A44"/>
  <c r="C57" i="10"/>
  <c r="C56"/>
  <c r="C55"/>
  <c r="C54"/>
  <c r="B49" i="63"/>
  <c r="B44"/>
  <c r="B40"/>
  <c r="B30"/>
  <c r="B27"/>
  <c r="B25"/>
  <c r="A11" i="51"/>
  <c r="A26" i="64"/>
  <c r="A26" i="51"/>
  <c r="K39" i="9"/>
  <c r="K40"/>
  <c r="B58" i="63"/>
  <c r="B53"/>
  <c r="B51"/>
  <c r="A46" i="9"/>
  <c r="K41" s="1"/>
  <c r="B8" i="63"/>
  <c r="A21" i="55"/>
  <c r="B71" i="63" s="1"/>
  <c r="A20" i="55"/>
  <c r="B69" i="63" s="1"/>
  <c r="B26"/>
  <c r="B28"/>
  <c r="B29"/>
  <c r="B31"/>
  <c r="B33"/>
  <c r="B35"/>
  <c r="B36"/>
  <c r="B37"/>
  <c r="B63"/>
  <c r="B64"/>
  <c r="B68"/>
  <c r="D51" i="10"/>
  <c r="B61" i="63"/>
  <c r="B60"/>
  <c r="B59"/>
  <c r="B10"/>
  <c r="B51" i="10"/>
  <c r="B20" i="63"/>
  <c r="B17"/>
  <c r="A15" i="51"/>
  <c r="B12" i="63"/>
  <c r="A14" i="51"/>
  <c r="B11" i="63" s="1"/>
  <c r="B66"/>
  <c r="A4" i="55"/>
  <c r="B57" i="63"/>
  <c r="G5" i="54"/>
  <c r="B34" i="63"/>
  <c r="E5" i="54"/>
  <c r="B32" i="63" s="1"/>
  <c r="R2" i="54"/>
  <c r="B24" i="63" s="1"/>
  <c r="B19"/>
  <c r="B49" i="50"/>
  <c r="B5" i="63"/>
  <c r="B40" i="50"/>
  <c r="B3" i="63" s="1"/>
  <c r="B67"/>
  <c r="I19" i="46"/>
  <c r="Q13" i="59"/>
  <c r="P13"/>
  <c r="O13"/>
  <c r="N13"/>
  <c r="D74"/>
  <c r="F73"/>
  <c r="E73"/>
  <c r="E72"/>
  <c r="E71"/>
  <c r="C73"/>
  <c r="D73"/>
  <c r="B73"/>
  <c r="F72"/>
  <c r="F71"/>
  <c r="B72"/>
  <c r="B71"/>
  <c r="D70"/>
  <c r="F69"/>
  <c r="E69"/>
  <c r="E68"/>
  <c r="E67"/>
  <c r="C69"/>
  <c r="D69"/>
  <c r="B69"/>
  <c r="F68"/>
  <c r="F67"/>
  <c r="B68"/>
  <c r="B67"/>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c r="E57"/>
  <c r="U57"/>
  <c r="C57"/>
  <c r="T57"/>
  <c r="B57"/>
  <c r="S57"/>
  <c r="Q56"/>
  <c r="P56"/>
  <c r="O56"/>
  <c r="N56"/>
  <c r="F56"/>
  <c r="F55"/>
  <c r="B56"/>
  <c r="B55"/>
  <c r="Q55"/>
  <c r="P55"/>
  <c r="O55"/>
  <c r="N55"/>
  <c r="Q54"/>
  <c r="P54"/>
  <c r="O54"/>
  <c r="N54"/>
  <c r="D54"/>
  <c r="F53"/>
  <c r="V53"/>
  <c r="E53"/>
  <c r="E52"/>
  <c r="P52"/>
  <c r="C53"/>
  <c r="B53"/>
  <c r="N53"/>
  <c r="F52"/>
  <c r="F51"/>
  <c r="Q51"/>
  <c r="B52"/>
  <c r="Q50"/>
  <c r="D50"/>
  <c r="Q49"/>
  <c r="P49"/>
  <c r="O49"/>
  <c r="N49"/>
  <c r="Q48"/>
  <c r="P48"/>
  <c r="O48"/>
  <c r="N48"/>
  <c r="Q47"/>
  <c r="P47"/>
  <c r="O47"/>
  <c r="N47"/>
  <c r="Q46"/>
  <c r="F47"/>
  <c r="P46"/>
  <c r="E47"/>
  <c r="E48"/>
  <c r="E49"/>
  <c r="U49"/>
  <c r="O46"/>
  <c r="C47"/>
  <c r="N46"/>
  <c r="B47"/>
  <c r="B48"/>
  <c r="B49"/>
  <c r="S49"/>
  <c r="D46"/>
  <c r="Q45"/>
  <c r="P45"/>
  <c r="O45"/>
  <c r="N45"/>
  <c r="Q44"/>
  <c r="P44"/>
  <c r="O44"/>
  <c r="N44"/>
  <c r="Q43"/>
  <c r="P43"/>
  <c r="O43"/>
  <c r="N43"/>
  <c r="Q42"/>
  <c r="F43"/>
  <c r="P42"/>
  <c r="E43"/>
  <c r="E44"/>
  <c r="E45"/>
  <c r="U45"/>
  <c r="O42"/>
  <c r="C43"/>
  <c r="N42"/>
  <c r="B43"/>
  <c r="B44"/>
  <c r="B45"/>
  <c r="S45"/>
  <c r="D42"/>
  <c r="Q41"/>
  <c r="P41"/>
  <c r="O41"/>
  <c r="N41"/>
  <c r="Q40"/>
  <c r="P40"/>
  <c r="O40"/>
  <c r="N40"/>
  <c r="Q39"/>
  <c r="P39"/>
  <c r="O39"/>
  <c r="N39"/>
  <c r="Q38"/>
  <c r="F39"/>
  <c r="P38"/>
  <c r="E39"/>
  <c r="E40"/>
  <c r="E41"/>
  <c r="U41"/>
  <c r="O38"/>
  <c r="C39"/>
  <c r="N38"/>
  <c r="B39"/>
  <c r="B40"/>
  <c r="B41"/>
  <c r="S41"/>
  <c r="D38"/>
  <c r="Q37"/>
  <c r="P37"/>
  <c r="O37"/>
  <c r="N37"/>
  <c r="Q36"/>
  <c r="P36"/>
  <c r="O36"/>
  <c r="N36"/>
  <c r="Q35"/>
  <c r="P35"/>
  <c r="O35"/>
  <c r="N35"/>
  <c r="Q34"/>
  <c r="F35"/>
  <c r="F36"/>
  <c r="F37"/>
  <c r="V37"/>
  <c r="P34"/>
  <c r="E35"/>
  <c r="O34"/>
  <c r="C35"/>
  <c r="N34"/>
  <c r="B35"/>
  <c r="D34"/>
  <c r="T33"/>
  <c r="Q33"/>
  <c r="P33"/>
  <c r="O33"/>
  <c r="N33"/>
  <c r="D33"/>
  <c r="Q32"/>
  <c r="P32"/>
  <c r="O32"/>
  <c r="N32"/>
  <c r="Q31"/>
  <c r="P31"/>
  <c r="O31"/>
  <c r="N31"/>
  <c r="Q30"/>
  <c r="F31"/>
  <c r="P30"/>
  <c r="E31"/>
  <c r="E32"/>
  <c r="E33"/>
  <c r="U33"/>
  <c r="O30"/>
  <c r="C31"/>
  <c r="N30"/>
  <c r="B31"/>
  <c r="B32"/>
  <c r="B33"/>
  <c r="S33"/>
  <c r="D30"/>
  <c r="Q29"/>
  <c r="P29"/>
  <c r="O29"/>
  <c r="N29"/>
  <c r="Q28"/>
  <c r="P28"/>
  <c r="O28"/>
  <c r="N28"/>
  <c r="Q27"/>
  <c r="P27"/>
  <c r="O27"/>
  <c r="N27"/>
  <c r="Q26"/>
  <c r="F27"/>
  <c r="P26"/>
  <c r="E27"/>
  <c r="E28"/>
  <c r="E29"/>
  <c r="U29"/>
  <c r="O26"/>
  <c r="C27"/>
  <c r="N26"/>
  <c r="B27"/>
  <c r="B28"/>
  <c r="B29"/>
  <c r="S29"/>
  <c r="D26"/>
  <c r="Q25"/>
  <c r="P25"/>
  <c r="O25"/>
  <c r="N25"/>
  <c r="Q24"/>
  <c r="AB24"/>
  <c r="P24"/>
  <c r="O24"/>
  <c r="Y24"/>
  <c r="Z24"/>
  <c r="N24"/>
  <c r="X24"/>
  <c r="Q23"/>
  <c r="P23"/>
  <c r="O23"/>
  <c r="N23"/>
  <c r="Q22"/>
  <c r="F23"/>
  <c r="P22"/>
  <c r="E23"/>
  <c r="E24"/>
  <c r="E25"/>
  <c r="U25"/>
  <c r="O22"/>
  <c r="C23"/>
  <c r="N22"/>
  <c r="B23"/>
  <c r="B24"/>
  <c r="B25"/>
  <c r="S25"/>
  <c r="D22"/>
  <c r="Q21"/>
  <c r="P21"/>
  <c r="O21"/>
  <c r="N21"/>
  <c r="Q20"/>
  <c r="P20"/>
  <c r="O20"/>
  <c r="N20"/>
  <c r="Q19"/>
  <c r="P19"/>
  <c r="O19"/>
  <c r="N19"/>
  <c r="Q18"/>
  <c r="F19"/>
  <c r="P18"/>
  <c r="E19"/>
  <c r="E20"/>
  <c r="E21"/>
  <c r="U21"/>
  <c r="O18"/>
  <c r="C19"/>
  <c r="N18"/>
  <c r="B19"/>
  <c r="B20"/>
  <c r="B21"/>
  <c r="S21"/>
  <c r="D18"/>
  <c r="Q17"/>
  <c r="P17"/>
  <c r="O17"/>
  <c r="N17"/>
  <c r="Q16"/>
  <c r="P16"/>
  <c r="O16"/>
  <c r="N16"/>
  <c r="Q15"/>
  <c r="P15"/>
  <c r="O15"/>
  <c r="N15"/>
  <c r="Q14"/>
  <c r="F15"/>
  <c r="P14"/>
  <c r="O14"/>
  <c r="C15"/>
  <c r="N14"/>
  <c r="B15"/>
  <c r="D14"/>
  <c r="X3"/>
  <c r="X10"/>
  <c r="X11"/>
  <c r="X12"/>
  <c r="X13"/>
  <c r="AA3"/>
  <c r="AA10"/>
  <c r="AA11"/>
  <c r="AA12"/>
  <c r="AA13"/>
  <c r="Y10"/>
  <c r="Z10"/>
  <c r="Y11"/>
  <c r="Z11"/>
  <c r="Y12"/>
  <c r="Z12"/>
  <c r="Y13"/>
  <c r="Z13"/>
  <c r="Y3"/>
  <c r="Z3"/>
  <c r="AB13"/>
  <c r="AB3"/>
  <c r="AB10"/>
  <c r="AB11"/>
  <c r="AB12"/>
  <c r="B16"/>
  <c r="B17"/>
  <c r="S17"/>
  <c r="E15"/>
  <c r="E16"/>
  <c r="E17"/>
  <c r="U17"/>
  <c r="B36"/>
  <c r="B37"/>
  <c r="S37"/>
  <c r="E36"/>
  <c r="E37"/>
  <c r="U37"/>
  <c r="S53"/>
  <c r="Z23"/>
  <c r="AA24"/>
  <c r="F16"/>
  <c r="F17"/>
  <c r="V17"/>
  <c r="F20"/>
  <c r="F21"/>
  <c r="V21"/>
  <c r="F24"/>
  <c r="F25"/>
  <c r="V25"/>
  <c r="F28"/>
  <c r="F29"/>
  <c r="V29"/>
  <c r="F32"/>
  <c r="F33"/>
  <c r="V33"/>
  <c r="F40"/>
  <c r="F41"/>
  <c r="V41"/>
  <c r="F44"/>
  <c r="F45"/>
  <c r="V45"/>
  <c r="F48"/>
  <c r="F49"/>
  <c r="V49"/>
  <c r="C16"/>
  <c r="D15"/>
  <c r="C24"/>
  <c r="D23"/>
  <c r="C28"/>
  <c r="D27"/>
  <c r="C32"/>
  <c r="D32"/>
  <c r="D31"/>
  <c r="C36"/>
  <c r="D35"/>
  <c r="C40"/>
  <c r="D39"/>
  <c r="C44"/>
  <c r="D43"/>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c r="D64"/>
  <c r="C63"/>
  <c r="D63"/>
  <c r="D56"/>
  <c r="C55"/>
  <c r="D55"/>
  <c r="C51"/>
  <c r="O52"/>
  <c r="D52"/>
  <c r="D68"/>
  <c r="C67"/>
  <c r="D67"/>
  <c r="D60"/>
  <c r="C59"/>
  <c r="D59"/>
  <c r="N50"/>
  <c r="N51"/>
  <c r="C21"/>
  <c r="D20"/>
  <c r="C49"/>
  <c r="D48"/>
  <c r="D44"/>
  <c r="C45"/>
  <c r="C41"/>
  <c r="D40"/>
  <c r="C37"/>
  <c r="D36"/>
  <c r="C29"/>
  <c r="D28"/>
  <c r="C25"/>
  <c r="D24"/>
  <c r="C17"/>
  <c r="D16"/>
  <c r="N16" i="4"/>
  <c r="T45" i="59"/>
  <c r="D45"/>
  <c r="T17"/>
  <c r="D17"/>
  <c r="T25"/>
  <c r="D25"/>
  <c r="T29"/>
  <c r="D29"/>
  <c r="T37"/>
  <c r="D37"/>
  <c r="T41"/>
  <c r="D41"/>
  <c r="T49"/>
  <c r="D49"/>
  <c r="T21"/>
  <c r="D21"/>
  <c r="O51"/>
  <c r="D51"/>
  <c r="O50"/>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s="1"/>
  <c r="G20" i="20"/>
  <c r="B85" i="46"/>
  <c r="C22" i="20"/>
  <c r="B65" i="46"/>
  <c r="S18" i="36"/>
  <c r="S18" i="35"/>
  <c r="S21" i="37"/>
  <c r="S21" i="34"/>
  <c r="S21" i="21"/>
  <c r="S27" i="40"/>
  <c r="C27"/>
  <c r="C31" i="39"/>
  <c r="B54" i="46"/>
  <c r="B74"/>
  <c r="E66" i="36"/>
  <c r="H18" i="35"/>
  <c r="J18"/>
  <c r="H21" i="37"/>
  <c r="J21"/>
  <c r="E84" i="34"/>
  <c r="F84"/>
  <c r="G84"/>
  <c r="J21"/>
  <c r="H21"/>
  <c r="F21" i="33"/>
  <c r="H21"/>
  <c r="J21"/>
  <c r="F83" i="21"/>
  <c r="H21"/>
  <c r="G83"/>
  <c r="J21"/>
  <c r="F96" i="40"/>
  <c r="H27"/>
  <c r="F23" i="15"/>
  <c r="D22" s="1"/>
  <c r="G17" i="11"/>
  <c r="F15" i="15"/>
  <c r="F17"/>
  <c r="F18"/>
  <c r="F20"/>
  <c r="F21"/>
  <c r="F33"/>
  <c r="F60" s="1"/>
  <c r="K2" i="4"/>
  <c r="K1"/>
  <c r="B1"/>
  <c r="B37" i="50" s="1"/>
  <c r="B2" i="63" s="1"/>
  <c r="C31" i="57"/>
  <c r="C32"/>
  <c r="I23"/>
  <c r="D20"/>
  <c r="I19"/>
  <c r="I18"/>
  <c r="I17"/>
  <c r="I20"/>
  <c r="E15"/>
  <c r="I14"/>
  <c r="I13"/>
  <c r="I12"/>
  <c r="I15"/>
  <c r="I9"/>
  <c r="I8"/>
  <c r="I7"/>
  <c r="I6"/>
  <c r="I5"/>
  <c r="I4"/>
  <c r="I3"/>
  <c r="I10"/>
  <c r="I21"/>
  <c r="D1"/>
  <c r="E10"/>
  <c r="C30"/>
  <c r="E26"/>
  <c r="C112" i="9"/>
  <c r="C7" i="11"/>
  <c r="F80" i="46"/>
  <c r="H81"/>
  <c r="D1"/>
  <c r="F113"/>
  <c r="D99"/>
  <c r="D108"/>
  <c r="E99"/>
  <c r="E108"/>
  <c r="F99"/>
  <c r="F100"/>
  <c r="G99"/>
  <c r="G108"/>
  <c r="H99"/>
  <c r="H108"/>
  <c r="I99"/>
  <c r="I108"/>
  <c r="J99"/>
  <c r="J108"/>
  <c r="K99"/>
  <c r="K108"/>
  <c r="L99"/>
  <c r="M99"/>
  <c r="M108"/>
  <c r="N99"/>
  <c r="N108"/>
  <c r="C99"/>
  <c r="C108"/>
  <c r="L108"/>
  <c r="K100"/>
  <c r="D100"/>
  <c r="L100"/>
  <c r="K58"/>
  <c r="J58"/>
  <c r="D58"/>
  <c r="K50"/>
  <c r="D83"/>
  <c r="D77"/>
  <c r="B83"/>
  <c r="B82"/>
  <c r="B71"/>
  <c r="B60"/>
  <c r="B49"/>
  <c r="M87"/>
  <c r="N87"/>
  <c r="K87"/>
  <c r="J87"/>
  <c r="D87"/>
  <c r="M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M54"/>
  <c r="N54"/>
  <c r="K54"/>
  <c r="M53"/>
  <c r="N53"/>
  <c r="K53"/>
  <c r="J53"/>
  <c r="D53"/>
  <c r="M52"/>
  <c r="N52"/>
  <c r="K52"/>
  <c r="J52"/>
  <c r="D52"/>
  <c r="M51"/>
  <c r="N51"/>
  <c r="K51"/>
  <c r="M50"/>
  <c r="N50"/>
  <c r="M49"/>
  <c r="N49"/>
  <c r="K49"/>
  <c r="J49"/>
  <c r="D49"/>
  <c r="M48"/>
  <c r="N48"/>
  <c r="K48"/>
  <c r="J48"/>
  <c r="D48"/>
  <c r="M47"/>
  <c r="N47"/>
  <c r="K47"/>
  <c r="J47"/>
  <c r="D47"/>
  <c r="J51"/>
  <c r="D51"/>
  <c r="J55"/>
  <c r="D55"/>
  <c r="N86"/>
  <c r="D80"/>
  <c r="D81"/>
  <c r="N73"/>
  <c r="D75"/>
  <c r="J66"/>
  <c r="D66"/>
  <c r="J50"/>
  <c r="D50"/>
  <c r="J54"/>
  <c r="D54"/>
  <c r="Q73" i="15"/>
  <c r="Q60"/>
  <c r="Q59"/>
  <c r="Q52"/>
  <c r="AE9" i="1"/>
  <c r="AE10"/>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F12"/>
  <c r="AP12" s="1"/>
  <c r="F13"/>
  <c r="AP13" s="1"/>
  <c r="D11"/>
  <c r="D12"/>
  <c r="D13"/>
  <c r="D6"/>
  <c r="D7"/>
  <c r="D8"/>
  <c r="D9"/>
  <c r="F10"/>
  <c r="AP10" s="1"/>
  <c r="D10"/>
  <c r="B2"/>
  <c r="C42" s="1"/>
  <c r="A12"/>
  <c r="R12"/>
  <c r="A13"/>
  <c r="B13"/>
  <c r="E13"/>
  <c r="A7"/>
  <c r="A8"/>
  <c r="A9"/>
  <c r="A10"/>
  <c r="R10"/>
  <c r="A11"/>
  <c r="A6"/>
  <c r="T4"/>
  <c r="K12"/>
  <c r="M12" s="1"/>
  <c r="O12" s="1"/>
  <c r="K13"/>
  <c r="M13" s="1"/>
  <c r="G79" i="36"/>
  <c r="G85" i="35"/>
  <c r="G97" i="37"/>
  <c r="G110" i="34"/>
  <c r="G109" i="33"/>
  <c r="L2" i="31"/>
  <c r="K2"/>
  <c r="J2"/>
  <c r="I2"/>
  <c r="H2"/>
  <c r="G2"/>
  <c r="F2"/>
  <c r="E2"/>
  <c r="D2"/>
  <c r="C2"/>
  <c r="D60" i="15"/>
  <c r="G19" i="20"/>
  <c r="B84" i="46"/>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s="1"/>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A30" s="1"/>
  <c r="AZ30" s="1"/>
  <c r="BC30"/>
  <c r="BB30"/>
  <c r="AX30"/>
  <c r="AW30"/>
  <c r="AV30"/>
  <c r="AC30"/>
  <c r="H30"/>
  <c r="G30"/>
  <c r="BT29"/>
  <c r="BS29"/>
  <c r="BR29"/>
  <c r="BQ29"/>
  <c r="BP29"/>
  <c r="BO29"/>
  <c r="BN29"/>
  <c r="BM29"/>
  <c r="BL29"/>
  <c r="BK29"/>
  <c r="BJ29"/>
  <c r="BI29"/>
  <c r="BH29"/>
  <c r="BG29"/>
  <c r="BF29"/>
  <c r="BE29"/>
  <c r="BD29"/>
  <c r="BC29"/>
  <c r="BB29"/>
  <c r="BA29"/>
  <c r="AZ29" s="1"/>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Z2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L25" i="4"/>
  <c r="C109" i="9"/>
  <c r="C145" i="21"/>
  <c r="J142"/>
  <c r="J140"/>
  <c r="K145"/>
  <c r="K139"/>
  <c r="M87"/>
  <c r="L87"/>
  <c r="K87"/>
  <c r="J87"/>
  <c r="I87"/>
  <c r="H87"/>
  <c r="G87"/>
  <c r="F87"/>
  <c r="E87"/>
  <c r="D87"/>
  <c r="G2" i="46"/>
  <c r="X7"/>
  <c r="G19"/>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c r="N3" i="54"/>
  <c r="B42" i="63" s="1"/>
  <c r="A2" i="9"/>
  <c r="T16" i="4"/>
  <c r="D14"/>
  <c r="M4" i="9"/>
  <c r="L4"/>
  <c r="G36" i="4"/>
  <c r="K2" i="54"/>
  <c r="B23" i="63" s="1"/>
  <c r="A3" i="51"/>
  <c r="R41" i="4"/>
  <c r="Q41"/>
  <c r="P41"/>
  <c r="O41"/>
  <c r="N41"/>
  <c r="M41"/>
  <c r="L41"/>
  <c r="K40"/>
  <c r="T40" s="1"/>
  <c r="F23"/>
  <c r="D19"/>
  <c r="I19"/>
  <c r="H19"/>
  <c r="G19"/>
  <c r="F9" i="1"/>
  <c r="F19" i="4"/>
  <c r="F8" i="1"/>
  <c r="G8" s="1"/>
  <c r="E19" i="4"/>
  <c r="F7" i="1"/>
  <c r="G7" s="1"/>
  <c r="B2" i="52"/>
  <c r="B15" s="1"/>
  <c r="I2" i="46"/>
  <c r="N12"/>
  <c r="A7"/>
  <c r="F41" i="4"/>
  <c r="J52" i="40" s="1"/>
  <c r="H61" i="49"/>
  <c r="H39" i="46"/>
  <c r="H38"/>
  <c r="H37"/>
  <c r="H36"/>
  <c r="H35"/>
  <c r="H34"/>
  <c r="H33"/>
  <c r="G20"/>
  <c r="J20"/>
  <c r="C18"/>
  <c r="G17"/>
  <c r="F15"/>
  <c r="E15"/>
  <c r="D15"/>
  <c r="C15"/>
  <c r="C10"/>
  <c r="C11"/>
  <c r="C9"/>
  <c r="E19" i="6"/>
  <c r="E20"/>
  <c r="D3" i="33" s="1"/>
  <c r="E21" i="6"/>
  <c r="K8" i="1"/>
  <c r="M8" s="1"/>
  <c r="O8" s="1"/>
  <c r="P8" s="1"/>
  <c r="E22" i="6"/>
  <c r="E23"/>
  <c r="E24"/>
  <c r="E25"/>
  <c r="E26"/>
  <c r="D38" i="4"/>
  <c r="C39" s="1"/>
  <c r="C35"/>
  <c r="E16" i="12"/>
  <c r="F14"/>
  <c r="F15"/>
  <c r="F17"/>
  <c r="E19"/>
  <c r="E21"/>
  <c r="E22"/>
  <c r="F23"/>
  <c r="F24"/>
  <c r="F25"/>
  <c r="C43" i="9"/>
  <c r="K47"/>
  <c r="B65" i="63"/>
  <c r="I73" i="9"/>
  <c r="F73"/>
  <c r="P73"/>
  <c r="D107"/>
  <c r="C107"/>
  <c r="C105" s="1"/>
  <c r="C110" s="1"/>
  <c r="C17"/>
  <c r="D17"/>
  <c r="C18" s="1"/>
  <c r="F17" i="44"/>
  <c r="F19"/>
  <c r="F22"/>
  <c r="F25"/>
  <c r="D25"/>
  <c r="F23"/>
  <c r="E16" i="43"/>
  <c r="F14"/>
  <c r="F15"/>
  <c r="F17"/>
  <c r="F19"/>
  <c r="F20"/>
  <c r="F10" i="40"/>
  <c r="AA10"/>
  <c r="F11"/>
  <c r="AA11"/>
  <c r="C21"/>
  <c r="C32"/>
  <c r="F36"/>
  <c r="AA36"/>
  <c r="H10"/>
  <c r="AB10"/>
  <c r="H11"/>
  <c r="AB11"/>
  <c r="H36"/>
  <c r="AB36"/>
  <c r="J10"/>
  <c r="AC10"/>
  <c r="J11"/>
  <c r="AC11"/>
  <c r="J36"/>
  <c r="AC36"/>
  <c r="F10" i="39"/>
  <c r="AA10" s="1"/>
  <c r="F11"/>
  <c r="AA11" s="1"/>
  <c r="C25"/>
  <c r="F36"/>
  <c r="AA36" s="1"/>
  <c r="F40"/>
  <c r="AA40" s="1"/>
  <c r="F42"/>
  <c r="AA42" s="1"/>
  <c r="H10"/>
  <c r="AB10" s="1"/>
  <c r="H11"/>
  <c r="AB11" s="1"/>
  <c r="H36"/>
  <c r="AB36"/>
  <c r="H40"/>
  <c r="AB40" s="1"/>
  <c r="H42"/>
  <c r="AB42" s="1"/>
  <c r="J10"/>
  <c r="AC10"/>
  <c r="J11"/>
  <c r="AC11" s="1"/>
  <c r="J36"/>
  <c r="AC36" s="1"/>
  <c r="J40"/>
  <c r="AC40" s="1"/>
  <c r="J42"/>
  <c r="AC42" s="1"/>
  <c r="F35" i="44"/>
  <c r="M21"/>
  <c r="F20"/>
  <c r="C6" i="43"/>
  <c r="K9"/>
  <c r="J9"/>
  <c r="I9"/>
  <c r="H9"/>
  <c r="G9"/>
  <c r="F9"/>
  <c r="E9"/>
  <c r="D9"/>
  <c r="C9"/>
  <c r="BC13" i="3"/>
  <c r="BB13"/>
  <c r="BB5" s="1"/>
  <c r="BR13"/>
  <c r="B24" i="1"/>
  <c r="E77" i="9"/>
  <c r="O75"/>
  <c r="L75"/>
  <c r="F77"/>
  <c r="P75"/>
  <c r="O74"/>
  <c r="O73"/>
  <c r="E66"/>
  <c r="O72"/>
  <c r="F74"/>
  <c r="P74"/>
  <c r="N67"/>
  <c r="K44"/>
  <c r="K43"/>
  <c r="B31" i="1"/>
  <c r="E10" i="11"/>
  <c r="B22" i="1"/>
  <c r="C2" i="65"/>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c r="G55"/>
  <c r="H55"/>
  <c r="E55"/>
  <c r="F55"/>
  <c r="I50" i="40"/>
  <c r="J50"/>
  <c r="G50"/>
  <c r="H50"/>
  <c r="E50"/>
  <c r="F50"/>
  <c r="I55" i="39"/>
  <c r="J55" s="1"/>
  <c r="G55"/>
  <c r="H55" s="1"/>
  <c r="E55"/>
  <c r="F55" s="1"/>
  <c r="I42" i="36"/>
  <c r="J42"/>
  <c r="G42"/>
  <c r="H42"/>
  <c r="E42"/>
  <c r="F42"/>
  <c r="I44" i="35"/>
  <c r="J44"/>
  <c r="G44"/>
  <c r="H44"/>
  <c r="E44"/>
  <c r="F44"/>
  <c r="I54" i="33"/>
  <c r="J54" s="1"/>
  <c r="G54"/>
  <c r="E54"/>
  <c r="F54" s="1"/>
  <c r="H14" i="3"/>
  <c r="AC14"/>
  <c r="G14"/>
  <c r="H15"/>
  <c r="AC15"/>
  <c r="G15"/>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D111"/>
  <c r="E111"/>
  <c r="F111"/>
  <c r="G111"/>
  <c r="H111"/>
  <c r="I111"/>
  <c r="J111"/>
  <c r="K111"/>
  <c r="L111"/>
  <c r="M111"/>
  <c r="S515" i="31"/>
  <c r="S517"/>
  <c r="S519"/>
  <c r="S521"/>
  <c r="S523"/>
  <c r="F41" i="21"/>
  <c r="J41"/>
  <c r="AC41"/>
  <c r="H41"/>
  <c r="U41"/>
  <c r="D83" i="39"/>
  <c r="E83" s="1"/>
  <c r="F83" s="1"/>
  <c r="G83" s="1"/>
  <c r="H83" s="1"/>
  <c r="I83" s="1"/>
  <c r="J83" s="1"/>
  <c r="K83" s="1"/>
  <c r="L83" s="1"/>
  <c r="M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c r="Q45"/>
  <c r="Z45"/>
  <c r="Q46"/>
  <c r="Z46"/>
  <c r="Q47"/>
  <c r="Z47"/>
  <c r="Q40"/>
  <c r="Z40"/>
  <c r="Q38"/>
  <c r="Z38" s="1"/>
  <c r="Q39"/>
  <c r="Z39" s="1"/>
  <c r="Z43"/>
  <c r="M118"/>
  <c r="L118"/>
  <c r="K118"/>
  <c r="J118"/>
  <c r="I118"/>
  <c r="H118"/>
  <c r="G118"/>
  <c r="F118"/>
  <c r="E118"/>
  <c r="D118"/>
  <c r="C118"/>
  <c r="B133"/>
  <c r="B131"/>
  <c r="B129"/>
  <c r="D128"/>
  <c r="D124"/>
  <c r="E124"/>
  <c r="F124"/>
  <c r="G124"/>
  <c r="H124"/>
  <c r="I124"/>
  <c r="J124"/>
  <c r="K124"/>
  <c r="L124"/>
  <c r="M124"/>
  <c r="B106"/>
  <c r="D99"/>
  <c r="E99" s="1"/>
  <c r="F99" s="1"/>
  <c r="G99" s="1"/>
  <c r="D97"/>
  <c r="D95"/>
  <c r="E95" s="1"/>
  <c r="D93"/>
  <c r="E93" s="1"/>
  <c r="D91"/>
  <c r="E91" s="1"/>
  <c r="B88"/>
  <c r="B86"/>
  <c r="B84"/>
  <c r="M81"/>
  <c r="L81"/>
  <c r="K81"/>
  <c r="J81"/>
  <c r="I81"/>
  <c r="H81"/>
  <c r="G81"/>
  <c r="F81"/>
  <c r="E81"/>
  <c r="D81"/>
  <c r="C81"/>
  <c r="P50"/>
  <c r="P49"/>
  <c r="V48"/>
  <c r="T48"/>
  <c r="R48"/>
  <c r="P48"/>
  <c r="Q37"/>
  <c r="Z37" s="1"/>
  <c r="Q36"/>
  <c r="Z36" s="1"/>
  <c r="Q34"/>
  <c r="Z34" s="1"/>
  <c r="Q33"/>
  <c r="Z33" s="1"/>
  <c r="Q29"/>
  <c r="Z29"/>
  <c r="Q27"/>
  <c r="Z27"/>
  <c r="Q25"/>
  <c r="Z25"/>
  <c r="Q23"/>
  <c r="Z23"/>
  <c r="Q21"/>
  <c r="Z21"/>
  <c r="Q19"/>
  <c r="Z19"/>
  <c r="Q17"/>
  <c r="Z17"/>
  <c r="Q16"/>
  <c r="Z16"/>
  <c r="Q15"/>
  <c r="Z15"/>
  <c r="Q14"/>
  <c r="Z14"/>
  <c r="Q13"/>
  <c r="Z13"/>
  <c r="Q12"/>
  <c r="Z12"/>
  <c r="Q11"/>
  <c r="Z11"/>
  <c r="U10"/>
  <c r="C9"/>
  <c r="C70" s="1"/>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C59" s="1"/>
  <c r="D59" s="1"/>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s="1"/>
  <c r="G69" s="1"/>
  <c r="H69" s="1"/>
  <c r="I69" s="1"/>
  <c r="J69" s="1"/>
  <c r="K69" s="1"/>
  <c r="L69" s="1"/>
  <c r="M69" s="1"/>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s="1"/>
  <c r="H33"/>
  <c r="AB33" s="1"/>
  <c r="F33"/>
  <c r="AA33" s="1"/>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s="1"/>
  <c r="H9"/>
  <c r="AB9" s="1"/>
  <c r="F9"/>
  <c r="S9" s="1"/>
  <c r="J8"/>
  <c r="W8"/>
  <c r="H8"/>
  <c r="U8" s="1"/>
  <c r="F8"/>
  <c r="S8" s="1"/>
  <c r="C7"/>
  <c r="C58" s="1"/>
  <c r="M102" i="21"/>
  <c r="D102"/>
  <c r="E102"/>
  <c r="F102"/>
  <c r="G102"/>
  <c r="H102"/>
  <c r="I102"/>
  <c r="J102"/>
  <c r="K102"/>
  <c r="L102"/>
  <c r="C102"/>
  <c r="C63"/>
  <c r="F9"/>
  <c r="S9" s="1"/>
  <c r="G18" i="20"/>
  <c r="B87" i="46"/>
  <c r="C25" i="40"/>
  <c r="G16" i="20"/>
  <c r="B81" i="46"/>
  <c r="G15" i="20"/>
  <c r="B80" i="46"/>
  <c r="C24" i="20"/>
  <c r="B72" i="46"/>
  <c r="C21" i="20"/>
  <c r="B73" i="46"/>
  <c r="C20" i="20"/>
  <c r="B76" i="46"/>
  <c r="C18" i="20"/>
  <c r="B70" i="46"/>
  <c r="C17" i="20"/>
  <c r="B58" i="46"/>
  <c r="C16" i="20"/>
  <c r="B47" i="46"/>
  <c r="C15" i="20"/>
  <c r="B69" i="46"/>
  <c r="E54" i="21"/>
  <c r="F54" s="1"/>
  <c r="I54"/>
  <c r="J54" s="1"/>
  <c r="G54"/>
  <c r="H54"/>
  <c r="D125"/>
  <c r="E125"/>
  <c r="D123"/>
  <c r="E123"/>
  <c r="F123"/>
  <c r="G123"/>
  <c r="H123"/>
  <c r="I123"/>
  <c r="J123"/>
  <c r="K123"/>
  <c r="L123"/>
  <c r="M123"/>
  <c r="H42"/>
  <c r="AB42"/>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c r="G79"/>
  <c r="D85"/>
  <c r="E85"/>
  <c r="D81"/>
  <c r="E81"/>
  <c r="F81"/>
  <c r="G81"/>
  <c r="D77"/>
  <c r="E77"/>
  <c r="B130"/>
  <c r="B128"/>
  <c r="B126"/>
  <c r="B98"/>
  <c r="B96"/>
  <c r="B94"/>
  <c r="B92"/>
  <c r="B90"/>
  <c r="B74"/>
  <c r="B72"/>
  <c r="B70"/>
  <c r="F12"/>
  <c r="F10"/>
  <c r="AA10" s="1"/>
  <c r="C7"/>
  <c r="C58" s="1"/>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s="1"/>
  <c r="E13" i="11"/>
  <c r="E12"/>
  <c r="C9" i="12"/>
  <c r="C10" s="1"/>
  <c r="BB12" i="3"/>
  <c r="F9" i="12"/>
  <c r="D9"/>
  <c r="E9"/>
  <c r="G9"/>
  <c r="K5" i="3"/>
  <c r="J5"/>
  <c r="BE10"/>
  <c r="BD13"/>
  <c r="BE13"/>
  <c r="BF13"/>
  <c r="BF5"/>
  <c r="BG13"/>
  <c r="BG5"/>
  <c r="BH13"/>
  <c r="BI13"/>
  <c r="BI5" s="1"/>
  <c r="BJ13"/>
  <c r="BK13"/>
  <c r="BM13"/>
  <c r="BL13" s="1"/>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c r="H34"/>
  <c r="U34"/>
  <c r="F43"/>
  <c r="S43"/>
  <c r="H38"/>
  <c r="AB38"/>
  <c r="H43"/>
  <c r="AB43"/>
  <c r="F32"/>
  <c r="F38"/>
  <c r="S38"/>
  <c r="F36"/>
  <c r="S36"/>
  <c r="F39"/>
  <c r="AA39"/>
  <c r="J40"/>
  <c r="W40"/>
  <c r="H35"/>
  <c r="AB35"/>
  <c r="J8"/>
  <c r="AC8" s="1"/>
  <c r="J9"/>
  <c r="AC9" s="1"/>
  <c r="H8"/>
  <c r="H9"/>
  <c r="AB9" s="1"/>
  <c r="H10"/>
  <c r="U10" s="1"/>
  <c r="H39"/>
  <c r="AB39"/>
  <c r="J34"/>
  <c r="W34"/>
  <c r="H36"/>
  <c r="U36"/>
  <c r="F35"/>
  <c r="AA35"/>
  <c r="J33"/>
  <c r="W33" s="1"/>
  <c r="H33"/>
  <c r="U33" s="1"/>
  <c r="F33"/>
  <c r="AA33" s="1"/>
  <c r="J10"/>
  <c r="AC10" s="1"/>
  <c r="H26"/>
  <c r="F19"/>
  <c r="AA19"/>
  <c r="H19"/>
  <c r="AB19"/>
  <c r="J19"/>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33"/>
  <c r="W38"/>
  <c r="S40"/>
  <c r="S33"/>
  <c r="U38"/>
  <c r="W8" i="21"/>
  <c r="H39" i="37"/>
  <c r="AB39"/>
  <c r="AB27" i="35"/>
  <c r="S10" i="40"/>
  <c r="W10"/>
  <c r="S11"/>
  <c r="U11"/>
  <c r="S36"/>
  <c r="U36"/>
  <c r="S36" i="39"/>
  <c r="F11" i="21"/>
  <c r="S11" s="1"/>
  <c r="AC40"/>
  <c r="AA38"/>
  <c r="AB36"/>
  <c r="AC35"/>
  <c r="C29" i="39"/>
  <c r="C23"/>
  <c r="U36"/>
  <c r="S42"/>
  <c r="H32" i="33"/>
  <c r="AB32"/>
  <c r="H11" i="21"/>
  <c r="U11" s="1"/>
  <c r="J11"/>
  <c r="W11" s="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F36"/>
  <c r="S36" s="1"/>
  <c r="F19"/>
  <c r="S19"/>
  <c r="J19"/>
  <c r="W40"/>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2" i="21"/>
  <c r="AC42"/>
  <c r="J44" i="34"/>
  <c r="AC44"/>
  <c r="F44"/>
  <c r="S44"/>
  <c r="J10" i="35"/>
  <c r="W10"/>
  <c r="AL5" i="3"/>
  <c r="BQ13"/>
  <c r="BL572"/>
  <c r="AZ572"/>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s="1"/>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c r="AZ20"/>
  <c r="BQ18"/>
  <c r="AZ501"/>
  <c r="S505" i="31"/>
  <c r="S503"/>
  <c r="S501"/>
  <c r="S499"/>
  <c r="O27"/>
  <c r="O28"/>
  <c r="O26"/>
  <c r="M27"/>
  <c r="M28"/>
  <c r="M26"/>
  <c r="I26"/>
  <c r="I25"/>
  <c r="S25"/>
  <c r="Q26"/>
  <c r="K26"/>
  <c r="I27"/>
  <c r="Q27"/>
  <c r="K27"/>
  <c r="I28"/>
  <c r="Q28"/>
  <c r="K28"/>
  <c r="AC28" i="34"/>
  <c r="AA12" i="21"/>
  <c r="S12"/>
  <c r="H25"/>
  <c r="U25"/>
  <c r="F25"/>
  <c r="S25"/>
  <c r="J25"/>
  <c r="AC25"/>
  <c r="E125" i="33"/>
  <c r="F125"/>
  <c r="G125"/>
  <c r="H43"/>
  <c r="U43"/>
  <c r="H17" i="37"/>
  <c r="U17"/>
  <c r="F23"/>
  <c r="S23"/>
  <c r="F79"/>
  <c r="AB27"/>
  <c r="F39" i="33"/>
  <c r="AA39"/>
  <c r="E123"/>
  <c r="F42"/>
  <c r="AA42"/>
  <c r="H28" i="34"/>
  <c r="AB28"/>
  <c r="F22" i="36"/>
  <c r="S22"/>
  <c r="H35" i="34"/>
  <c r="U35"/>
  <c r="F41"/>
  <c r="S41"/>
  <c r="H41"/>
  <c r="U41"/>
  <c r="J41"/>
  <c r="W41"/>
  <c r="F10" i="35"/>
  <c r="AA10"/>
  <c r="F24"/>
  <c r="AA24"/>
  <c r="H24"/>
  <c r="AB24"/>
  <c r="H23" i="37"/>
  <c r="AB23"/>
  <c r="J32"/>
  <c r="AC32"/>
  <c r="F36"/>
  <c r="S36"/>
  <c r="F37"/>
  <c r="AA37"/>
  <c r="U23"/>
  <c r="AC41" i="34"/>
  <c r="F123" i="33"/>
  <c r="G123"/>
  <c r="H123"/>
  <c r="I123"/>
  <c r="J123"/>
  <c r="K123"/>
  <c r="L123"/>
  <c r="M123"/>
  <c r="H42"/>
  <c r="U42"/>
  <c r="J43"/>
  <c r="AC43"/>
  <c r="G79" i="37"/>
  <c r="J23"/>
  <c r="W23"/>
  <c r="F17"/>
  <c r="AA17"/>
  <c r="AB43" i="33"/>
  <c r="D3" i="21"/>
  <c r="AC33" i="36"/>
  <c r="AC12" i="35"/>
  <c r="W23"/>
  <c r="AC23" i="37"/>
  <c r="S27"/>
  <c r="U39"/>
  <c r="AC8"/>
  <c r="S25"/>
  <c r="AC36" i="34"/>
  <c r="AB8"/>
  <c r="AC37" i="33"/>
  <c r="AA13"/>
  <c r="AC45"/>
  <c r="U19" i="21"/>
  <c r="AA36"/>
  <c r="S39" i="33"/>
  <c r="F43"/>
  <c r="AA43"/>
  <c r="AA23" i="37"/>
  <c r="S10" i="35"/>
  <c r="AB44" i="33"/>
  <c r="G107" i="37"/>
  <c r="H107"/>
  <c r="I107"/>
  <c r="J107"/>
  <c r="K107"/>
  <c r="L107"/>
  <c r="M107"/>
  <c r="AA9" i="21"/>
  <c r="F37"/>
  <c r="S37" s="1"/>
  <c r="J37"/>
  <c r="W37" s="1"/>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S27" i="31"/>
  <c r="AZ558" i="3"/>
  <c r="AZ540"/>
  <c r="AZ560"/>
  <c r="G483"/>
  <c r="G515"/>
  <c r="G507"/>
  <c r="G501"/>
  <c r="BA15"/>
  <c r="BL17"/>
  <c r="BL15"/>
  <c r="BA14"/>
  <c r="AZ14"/>
  <c r="BT5"/>
  <c r="J57" i="39"/>
  <c r="H13" i="40"/>
  <c r="U13"/>
  <c r="H12" i="48"/>
  <c r="I4" i="4"/>
  <c r="K141" i="21"/>
  <c r="K143"/>
  <c r="K144"/>
  <c r="I59" i="40"/>
  <c r="C59"/>
  <c r="I60"/>
  <c r="C60"/>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c r="G78"/>
  <c r="H78"/>
  <c r="I78"/>
  <c r="J78"/>
  <c r="K78"/>
  <c r="L78"/>
  <c r="M78"/>
  <c r="BH5" i="3"/>
  <c r="R16" i="4"/>
  <c r="P16"/>
  <c r="D3" i="35"/>
  <c r="G4" i="4"/>
  <c r="S37" i="34"/>
  <c r="J16" i="35"/>
  <c r="W16"/>
  <c r="U42" i="21"/>
  <c r="AC26" i="36"/>
  <c r="W25" i="35"/>
  <c r="AZ300" i="3"/>
  <c r="AZ354"/>
  <c r="AZ322"/>
  <c r="H13" i="39"/>
  <c r="AB13" s="1"/>
  <c r="F13"/>
  <c r="AA13" s="1"/>
  <c r="J13"/>
  <c r="AC13" s="1"/>
  <c r="AA36" i="35"/>
  <c r="H11" i="37"/>
  <c r="AB1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U39"/>
  <c r="W9"/>
  <c r="J32"/>
  <c r="AC32"/>
  <c r="AC5" i="3"/>
  <c r="F17" i="21"/>
  <c r="S17"/>
  <c r="H17"/>
  <c r="AB17"/>
  <c r="J17"/>
  <c r="AC17"/>
  <c r="H37"/>
  <c r="U37" s="1"/>
  <c r="F40"/>
  <c r="S40"/>
  <c r="H40"/>
  <c r="AB40"/>
  <c r="E119"/>
  <c r="F119"/>
  <c r="G119"/>
  <c r="H119"/>
  <c r="I119"/>
  <c r="J119"/>
  <c r="K119"/>
  <c r="L119"/>
  <c r="M119"/>
  <c r="AA8" i="33"/>
  <c r="AC8"/>
  <c r="H66"/>
  <c r="F10"/>
  <c r="AA10" s="1"/>
  <c r="F11"/>
  <c r="S11" s="1"/>
  <c r="J15"/>
  <c r="W15"/>
  <c r="H19"/>
  <c r="AB19"/>
  <c r="F32"/>
  <c r="AA32"/>
  <c r="J32"/>
  <c r="AC32"/>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F43" i="39"/>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33" i="39"/>
  <c r="H33"/>
  <c r="U33" s="1"/>
  <c r="J33"/>
  <c r="AC33" s="1"/>
  <c r="F44"/>
  <c r="S44" s="1"/>
  <c r="H44"/>
  <c r="U44" s="1"/>
  <c r="J44"/>
  <c r="W44" s="1"/>
  <c r="E128"/>
  <c r="F128"/>
  <c r="G128" s="1"/>
  <c r="H128" s="1"/>
  <c r="I128" s="1"/>
  <c r="J128" s="1"/>
  <c r="K128" s="1"/>
  <c r="L128" s="1"/>
  <c r="M128" s="1"/>
  <c r="F46"/>
  <c r="S46"/>
  <c r="H46"/>
  <c r="U46"/>
  <c r="J46"/>
  <c r="W46"/>
  <c r="F29"/>
  <c r="AA29" s="1"/>
  <c r="E103"/>
  <c r="F103"/>
  <c r="G103" s="1"/>
  <c r="H29"/>
  <c r="U29" s="1"/>
  <c r="F34"/>
  <c r="AA34" s="1"/>
  <c r="H34"/>
  <c r="AB34" s="1"/>
  <c r="J34"/>
  <c r="AC34" s="1"/>
  <c r="F39"/>
  <c r="AA39" s="1"/>
  <c r="H39"/>
  <c r="AB39"/>
  <c r="J39"/>
  <c r="J29" i="35"/>
  <c r="AC29"/>
  <c r="F29"/>
  <c r="S29"/>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L19"/>
  <c r="AZ19"/>
  <c r="BA18"/>
  <c r="F36" i="44"/>
  <c r="F114" i="34"/>
  <c r="G114"/>
  <c r="H114"/>
  <c r="I114"/>
  <c r="J114"/>
  <c r="K114"/>
  <c r="L114"/>
  <c r="M114"/>
  <c r="H38"/>
  <c r="U38"/>
  <c r="H30" i="40"/>
  <c r="AB30"/>
  <c r="G100"/>
  <c r="J30"/>
  <c r="AC30"/>
  <c r="F38"/>
  <c r="AA38"/>
  <c r="AA36" i="34"/>
  <c r="AC12" i="21"/>
  <c r="W12"/>
  <c r="S35"/>
  <c r="U8"/>
  <c r="AB8"/>
  <c r="S34"/>
  <c r="AC36"/>
  <c r="AB8" i="33"/>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s="1"/>
  <c r="E97"/>
  <c r="F27"/>
  <c r="AA27" s="1"/>
  <c r="H27"/>
  <c r="AB27" s="1"/>
  <c r="J27"/>
  <c r="AC27" s="1"/>
  <c r="F15" i="40"/>
  <c r="AA15"/>
  <c r="J15"/>
  <c r="H15"/>
  <c r="AB15"/>
  <c r="E92"/>
  <c r="F92"/>
  <c r="H23"/>
  <c r="U23"/>
  <c r="H41"/>
  <c r="AB41"/>
  <c r="F41"/>
  <c r="AA41"/>
  <c r="J41"/>
  <c r="H36" i="33"/>
  <c r="AB36" s="1"/>
  <c r="H37" i="34"/>
  <c r="F15" i="39"/>
  <c r="AA15"/>
  <c r="H15"/>
  <c r="U15"/>
  <c r="J15"/>
  <c r="AC15"/>
  <c r="H25"/>
  <c r="U25" s="1"/>
  <c r="J25"/>
  <c r="AC25" s="1"/>
  <c r="F25"/>
  <c r="AA25" s="1"/>
  <c r="F45"/>
  <c r="AA45"/>
  <c r="H45"/>
  <c r="U45"/>
  <c r="J45"/>
  <c r="AC45"/>
  <c r="F47"/>
  <c r="AA47"/>
  <c r="H47"/>
  <c r="AB47" s="1"/>
  <c r="J47"/>
  <c r="W47"/>
  <c r="F41"/>
  <c r="AA41" s="1"/>
  <c r="H41"/>
  <c r="AB41" s="1"/>
  <c r="J41"/>
  <c r="AC41" s="1"/>
  <c r="E94" i="40"/>
  <c r="J25"/>
  <c r="AC25"/>
  <c r="J32"/>
  <c r="AC32"/>
  <c r="H32"/>
  <c r="U32"/>
  <c r="H33"/>
  <c r="AB33"/>
  <c r="F33"/>
  <c r="AA33"/>
  <c r="J33"/>
  <c r="AC33"/>
  <c r="H35"/>
  <c r="AB35"/>
  <c r="F35"/>
  <c r="AA35"/>
  <c r="J35"/>
  <c r="AC35"/>
  <c r="J38" i="39"/>
  <c r="W38" s="1"/>
  <c r="H38"/>
  <c r="U38" s="1"/>
  <c r="J16" i="40"/>
  <c r="W16"/>
  <c r="J14"/>
  <c r="W14"/>
  <c r="H42"/>
  <c r="H40"/>
  <c r="U40"/>
  <c r="H34"/>
  <c r="U34"/>
  <c r="AZ391" i="3"/>
  <c r="AZ399"/>
  <c r="AZ403"/>
  <c r="AZ407"/>
  <c r="AZ415"/>
  <c r="AZ423"/>
  <c r="AZ431"/>
  <c r="AZ439"/>
  <c r="AZ454"/>
  <c r="B41" i="1"/>
  <c r="J42" i="40"/>
  <c r="AC42"/>
  <c r="J40"/>
  <c r="AC40"/>
  <c r="J34"/>
  <c r="AC34"/>
  <c r="H16"/>
  <c r="AB16"/>
  <c r="H14"/>
  <c r="U14"/>
  <c r="F32"/>
  <c r="AA32"/>
  <c r="AZ401" i="3"/>
  <c r="AZ428"/>
  <c r="AZ433"/>
  <c r="AZ436"/>
  <c r="AZ441"/>
  <c r="AZ444"/>
  <c r="AZ449"/>
  <c r="AZ452"/>
  <c r="M1" i="46"/>
  <c r="M6"/>
  <c r="M10"/>
  <c r="N2"/>
  <c r="N5"/>
  <c r="F58"/>
  <c r="F47"/>
  <c r="H49"/>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48"/>
  <c r="AZ56"/>
  <c r="AZ63"/>
  <c r="AZ71"/>
  <c r="AZ79"/>
  <c r="AZ91"/>
  <c r="AZ99"/>
  <c r="AZ107"/>
  <c r="AZ112"/>
  <c r="H47" i="46"/>
  <c r="J13" i="40"/>
  <c r="W13"/>
  <c r="AB14"/>
  <c r="W40"/>
  <c r="F34" i="44"/>
  <c r="F27" i="43"/>
  <c r="F66" i="9"/>
  <c r="P72" s="1"/>
  <c r="F71"/>
  <c r="F72"/>
  <c r="AC14" i="40"/>
  <c r="W35"/>
  <c r="S33"/>
  <c r="AB32"/>
  <c r="AC47" i="39"/>
  <c r="S47"/>
  <c r="U37" i="34"/>
  <c r="AB37"/>
  <c r="AC41" i="40"/>
  <c r="W41"/>
  <c r="U41"/>
  <c r="J23"/>
  <c r="AC23"/>
  <c r="G92"/>
  <c r="F23"/>
  <c r="S23"/>
  <c r="AC15"/>
  <c r="W15"/>
  <c r="AB16" i="39"/>
  <c r="W14"/>
  <c r="U23" i="35"/>
  <c r="AB23"/>
  <c r="H20"/>
  <c r="F20"/>
  <c r="S20"/>
  <c r="H15" i="34"/>
  <c r="AB15"/>
  <c r="F78"/>
  <c r="G78"/>
  <c r="J15"/>
  <c r="H41" i="33"/>
  <c r="U41"/>
  <c r="F121"/>
  <c r="G121"/>
  <c r="H121"/>
  <c r="I121"/>
  <c r="J121"/>
  <c r="K121"/>
  <c r="L121"/>
  <c r="M121"/>
  <c r="F30" i="40"/>
  <c r="AA30"/>
  <c r="H100"/>
  <c r="I100"/>
  <c r="J100"/>
  <c r="K100"/>
  <c r="L100"/>
  <c r="M100"/>
  <c r="AB38" i="34"/>
  <c r="AZ486" i="3"/>
  <c r="AZ497"/>
  <c r="AZ504"/>
  <c r="AZ515"/>
  <c r="AZ529"/>
  <c r="AZ530"/>
  <c r="AZ537"/>
  <c r="AZ547"/>
  <c r="AZ548"/>
  <c r="AZ549"/>
  <c r="AA29" i="35"/>
  <c r="U39" i="39"/>
  <c r="J29"/>
  <c r="AC29" s="1"/>
  <c r="AB33" i="36"/>
  <c r="AA11"/>
  <c r="AA14" i="35"/>
  <c r="S14"/>
  <c r="G99" i="37"/>
  <c r="F33"/>
  <c r="U46" i="34"/>
  <c r="AC30"/>
  <c r="AA14"/>
  <c r="W12"/>
  <c r="U29" i="33"/>
  <c r="AC13"/>
  <c r="U17" i="34"/>
  <c r="AA11"/>
  <c r="W32" i="33"/>
  <c r="H15"/>
  <c r="U15"/>
  <c r="AA40" i="21"/>
  <c r="U17"/>
  <c r="U16" i="40"/>
  <c r="W34"/>
  <c r="AB34"/>
  <c r="AB42"/>
  <c r="U42"/>
  <c r="AC16"/>
  <c r="W32"/>
  <c r="H25"/>
  <c r="AB25"/>
  <c r="F94"/>
  <c r="G94"/>
  <c r="W15" i="39"/>
  <c r="J37" i="34"/>
  <c r="AC37"/>
  <c r="J36" i="33"/>
  <c r="W36" s="1"/>
  <c r="S41" i="40"/>
  <c r="AB23"/>
  <c r="H23" i="39"/>
  <c r="AB23" s="1"/>
  <c r="J23"/>
  <c r="AC23" s="1"/>
  <c r="F97"/>
  <c r="G97"/>
  <c r="S16"/>
  <c r="S15" i="34"/>
  <c r="AA15"/>
  <c r="AA41" i="33"/>
  <c r="AA34"/>
  <c r="F106"/>
  <c r="G106"/>
  <c r="H106"/>
  <c r="I106"/>
  <c r="J106"/>
  <c r="K106"/>
  <c r="L106"/>
  <c r="M106"/>
  <c r="J34"/>
  <c r="AC34"/>
  <c r="U30" i="40"/>
  <c r="W29" i="35"/>
  <c r="AC39" i="39"/>
  <c r="W39"/>
  <c r="S39"/>
  <c r="AB46"/>
  <c r="AB44"/>
  <c r="W33"/>
  <c r="AA33"/>
  <c r="S33"/>
  <c r="U11" i="36"/>
  <c r="F80" i="35"/>
  <c r="G80"/>
  <c r="H80"/>
  <c r="I80"/>
  <c r="J80"/>
  <c r="K80"/>
  <c r="L80"/>
  <c r="M80"/>
  <c r="W14"/>
  <c r="F90" i="34"/>
  <c r="G90"/>
  <c r="H90"/>
  <c r="I90"/>
  <c r="J90"/>
  <c r="K90"/>
  <c r="L90"/>
  <c r="M90"/>
  <c r="F27"/>
  <c r="S27"/>
  <c r="W43" i="39"/>
  <c r="S43"/>
  <c r="G96" i="37"/>
  <c r="H96"/>
  <c r="I96"/>
  <c r="J96"/>
  <c r="K96"/>
  <c r="L96"/>
  <c r="M96"/>
  <c r="F32"/>
  <c r="S32"/>
  <c r="U11" i="35"/>
  <c r="AB11"/>
  <c r="S46" i="34"/>
  <c r="U32"/>
  <c r="U14"/>
  <c r="AC14"/>
  <c r="U12"/>
  <c r="AB13" i="33"/>
  <c r="G80" i="34"/>
  <c r="F17"/>
  <c r="AA17"/>
  <c r="J17"/>
  <c r="AC17"/>
  <c r="H11"/>
  <c r="AB11"/>
  <c r="J35" i="33"/>
  <c r="W35"/>
  <c r="S32"/>
  <c r="AC15"/>
  <c r="H11"/>
  <c r="U11" s="1"/>
  <c r="H10"/>
  <c r="U10" s="1"/>
  <c r="I66"/>
  <c r="J10"/>
  <c r="AC10" s="1"/>
  <c r="U40" i="21"/>
  <c r="U11" i="37"/>
  <c r="AC16" i="35"/>
  <c r="AC13" i="40"/>
  <c r="J11" i="34"/>
  <c r="W11"/>
  <c r="S17"/>
  <c r="AC36" i="33"/>
  <c r="F25" i="40"/>
  <c r="AA25"/>
  <c r="J11" i="33"/>
  <c r="W11" s="1"/>
  <c r="H33" i="37"/>
  <c r="AB33"/>
  <c r="W15" i="34"/>
  <c r="AC15"/>
  <c r="U20" i="35"/>
  <c r="AB20"/>
  <c r="W23" i="40"/>
  <c r="D73" i="9"/>
  <c r="N73"/>
  <c r="AP11" i="1"/>
  <c r="B11"/>
  <c r="E11"/>
  <c r="K11"/>
  <c r="M11" s="1"/>
  <c r="O11" s="1"/>
  <c r="B9"/>
  <c r="E9"/>
  <c r="K9"/>
  <c r="M9" s="1"/>
  <c r="B7"/>
  <c r="E7"/>
  <c r="K7"/>
  <c r="M7" s="1"/>
  <c r="C20" i="43"/>
  <c r="F6" i="1"/>
  <c r="AP6" s="1"/>
  <c r="G11"/>
  <c r="M22" i="44"/>
  <c r="F32" i="15"/>
  <c r="F59" s="1"/>
  <c r="F29" i="12"/>
  <c r="F70" i="9"/>
  <c r="D86"/>
  <c r="M20" i="44"/>
  <c r="F31" i="43"/>
  <c r="F30"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41"/>
  <c r="U36"/>
  <c r="AC35"/>
  <c r="S29"/>
  <c r="W31"/>
  <c r="W43"/>
  <c r="U46"/>
  <c r="W39"/>
  <c r="U35"/>
  <c r="AB34"/>
  <c r="W26"/>
  <c r="AB26"/>
  <c r="H25"/>
  <c r="AB25"/>
  <c r="J25"/>
  <c r="W25"/>
  <c r="F87"/>
  <c r="G87"/>
  <c r="H87"/>
  <c r="I87"/>
  <c r="J87"/>
  <c r="K87"/>
  <c r="L87"/>
  <c r="M87"/>
  <c r="F25"/>
  <c r="F85"/>
  <c r="G85"/>
  <c r="J23"/>
  <c r="F23"/>
  <c r="H23"/>
  <c r="U19"/>
  <c r="F79"/>
  <c r="G79"/>
  <c r="F17"/>
  <c r="H17"/>
  <c r="J17"/>
  <c r="AB15"/>
  <c r="S14"/>
  <c r="AC21"/>
  <c r="W21"/>
  <c r="W14"/>
  <c r="U25"/>
  <c r="AB21"/>
  <c r="U21"/>
  <c r="AA21"/>
  <c r="S21"/>
  <c r="AA44"/>
  <c r="AA36"/>
  <c r="S44" i="21"/>
  <c r="W39"/>
  <c r="AC34"/>
  <c r="W32"/>
  <c r="U35"/>
  <c r="W43"/>
  <c r="AA37"/>
  <c r="S42"/>
  <c r="AB37"/>
  <c r="AB32"/>
  <c r="W28"/>
  <c r="AC46"/>
  <c r="AC26"/>
  <c r="F85"/>
  <c r="G85"/>
  <c r="J23"/>
  <c r="W23"/>
  <c r="F23"/>
  <c r="H23"/>
  <c r="AA17"/>
  <c r="W17"/>
  <c r="F15"/>
  <c r="S15"/>
  <c r="F77"/>
  <c r="G77"/>
  <c r="J15"/>
  <c r="H15"/>
  <c r="AC11"/>
  <c r="W13"/>
  <c r="AA11"/>
  <c r="AC23"/>
  <c r="AC21"/>
  <c r="W21"/>
  <c r="W44"/>
  <c r="AC19"/>
  <c r="AC38"/>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W13" i="39"/>
  <c r="S11"/>
  <c r="AB45"/>
  <c r="S27"/>
  <c r="S14"/>
  <c r="AB15"/>
  <c r="U11"/>
  <c r="U41"/>
  <c r="S38"/>
  <c r="S22" i="31"/>
  <c r="M20" i="15"/>
  <c r="D96" i="9"/>
  <c r="F28" i="15"/>
  <c r="M18"/>
  <c r="BA16" i="3"/>
  <c r="BA17"/>
  <c r="AZ17"/>
  <c r="F3" i="35"/>
  <c r="K1" i="43"/>
  <c r="K1" i="12"/>
  <c r="G1" i="44"/>
  <c r="AZ15" i="3"/>
  <c r="BK5"/>
  <c r="BO5"/>
  <c r="BP5"/>
  <c r="BN5"/>
  <c r="BL18"/>
  <c r="AZ18"/>
  <c r="BC5"/>
  <c r="BD5"/>
  <c r="BR5"/>
  <c r="G28" i="6"/>
  <c r="BS5" i="3"/>
  <c r="BQ5"/>
  <c r="BL16"/>
  <c r="BM5"/>
  <c r="H48" i="46"/>
  <c r="H52"/>
  <c r="H53"/>
  <c r="G28" i="12"/>
  <c r="G22" i="43"/>
  <c r="G26" i="12"/>
  <c r="D24" i="44"/>
  <c r="D26"/>
  <c r="G27" i="12"/>
  <c r="G23" i="43"/>
  <c r="G21"/>
  <c r="H54" i="46"/>
  <c r="H50"/>
  <c r="H55"/>
  <c r="H51"/>
  <c r="E11"/>
  <c r="E10"/>
  <c r="N8"/>
  <c r="N4"/>
  <c r="N1"/>
  <c r="M9"/>
  <c r="M2"/>
  <c r="N11"/>
  <c r="N9"/>
  <c r="F69"/>
  <c r="M4"/>
  <c r="M12"/>
  <c r="M8"/>
  <c r="M3"/>
  <c r="M5"/>
  <c r="C6"/>
  <c r="H6" i="48"/>
  <c r="E9" i="46"/>
  <c r="H15" i="48"/>
  <c r="H5"/>
  <c r="H14"/>
  <c r="F38" i="46"/>
  <c r="F36"/>
  <c r="F34"/>
  <c r="J17"/>
  <c r="C17"/>
  <c r="F39"/>
  <c r="H13" i="48"/>
  <c r="H11"/>
  <c r="E8" i="46"/>
  <c r="C7"/>
  <c r="I17"/>
  <c r="C16"/>
  <c r="D5" s="1"/>
  <c r="E17"/>
  <c r="D71"/>
  <c r="D84"/>
  <c r="E80"/>
  <c r="B78"/>
  <c r="D69"/>
  <c r="E69"/>
  <c r="B67"/>
  <c r="E47"/>
  <c r="E58"/>
  <c r="A4" i="64"/>
  <c r="A4" i="51"/>
  <c r="C51" i="10"/>
  <c r="H58" i="46"/>
  <c r="H61"/>
  <c r="H62"/>
  <c r="H71"/>
  <c r="H75"/>
  <c r="H76"/>
  <c r="I100"/>
  <c r="B56"/>
  <c r="C24"/>
  <c r="N100"/>
  <c r="H100"/>
  <c r="F108"/>
  <c r="H80"/>
  <c r="B45"/>
  <c r="E100"/>
  <c r="G100"/>
  <c r="H84"/>
  <c r="H65"/>
  <c r="H66"/>
  <c r="C100"/>
  <c r="J100"/>
  <c r="M100"/>
  <c r="AA12" i="36"/>
  <c r="U12" i="35"/>
  <c r="AB12"/>
  <c r="W11"/>
  <c r="AA11"/>
  <c r="S14" i="37"/>
  <c r="U13"/>
  <c r="S13" i="21"/>
  <c r="C24" i="9"/>
  <c r="C25"/>
  <c r="AP7" i="1"/>
  <c r="AP9"/>
  <c r="AP8"/>
  <c r="I20" i="46"/>
  <c r="C20" s="1"/>
  <c r="B6" i="63"/>
  <c r="B46" i="50"/>
  <c r="B4" i="63" s="1"/>
  <c r="C46" i="36"/>
  <c r="D46" s="1"/>
  <c r="C48" i="35"/>
  <c r="D48" s="1"/>
  <c r="E48" s="1"/>
  <c r="C52" i="37"/>
  <c r="D52" s="1"/>
  <c r="E52" s="1"/>
  <c r="F52" s="1"/>
  <c r="O19" i="46"/>
  <c r="H77"/>
  <c r="H73"/>
  <c r="H69"/>
  <c r="H74"/>
  <c r="H86"/>
  <c r="H82"/>
  <c r="H63"/>
  <c r="H59"/>
  <c r="H64"/>
  <c r="H60"/>
  <c r="H10" i="48"/>
  <c r="H87" i="46"/>
  <c r="H85"/>
  <c r="H83"/>
  <c r="K10" i="1"/>
  <c r="M10" s="1"/>
  <c r="S11"/>
  <c r="R11"/>
  <c r="S13"/>
  <c r="R13"/>
  <c r="B6"/>
  <c r="E6"/>
  <c r="B10"/>
  <c r="E10"/>
  <c r="S10"/>
  <c r="B8"/>
  <c r="E8"/>
  <c r="B12"/>
  <c r="E12"/>
  <c r="S12"/>
  <c r="K6"/>
  <c r="M6" s="1"/>
  <c r="O6" s="1"/>
  <c r="O9"/>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39" i="21"/>
  <c r="AB25"/>
  <c r="AB45"/>
  <c r="W25"/>
  <c r="AA25"/>
  <c r="AC37"/>
  <c r="AA29"/>
  <c r="U27"/>
  <c r="W31"/>
  <c r="S27"/>
  <c r="AA15"/>
  <c r="AC27"/>
  <c r="W29"/>
  <c r="G96" i="40"/>
  <c r="J27"/>
  <c r="W37"/>
  <c r="S17"/>
  <c r="W30"/>
  <c r="S34"/>
  <c r="U17"/>
  <c r="U38"/>
  <c r="S40"/>
  <c r="S42"/>
  <c r="S45" i="39"/>
  <c r="AB43"/>
  <c r="AB33"/>
  <c r="AC46"/>
  <c r="S34"/>
  <c r="W42"/>
  <c r="W36"/>
  <c r="U14"/>
  <c r="W16"/>
  <c r="S15"/>
  <c r="W45"/>
  <c r="AA44"/>
  <c r="AA46"/>
  <c r="W10"/>
  <c r="W11"/>
  <c r="U42"/>
  <c r="W40"/>
  <c r="S32" i="40"/>
  <c r="C27" i="39"/>
  <c r="C17" i="40"/>
  <c r="C19"/>
  <c r="C17" i="39"/>
  <c r="C19"/>
  <c r="C21"/>
  <c r="C23" i="40"/>
  <c r="B48" i="46"/>
  <c r="B51"/>
  <c r="B55"/>
  <c r="B59"/>
  <c r="B62"/>
  <c r="B66"/>
  <c r="B53"/>
  <c r="B64"/>
  <c r="D24" i="15"/>
  <c r="F29" i="6"/>
  <c r="F28"/>
  <c r="E28"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W27"/>
  <c r="B20" i="31"/>
  <c r="R22"/>
  <c r="B21"/>
  <c r="AT6" i="3"/>
  <c r="G29" i="6"/>
  <c r="AZ16" i="3"/>
  <c r="F30" i="6"/>
  <c r="H70" i="46"/>
  <c r="H72"/>
  <c r="A9" i="64"/>
  <c r="A9" i="51"/>
  <c r="B9" i="63" s="1"/>
  <c r="E46" i="36"/>
  <c r="F46" s="1"/>
  <c r="G46" s="1"/>
  <c r="H46" s="1"/>
  <c r="I46" s="1"/>
  <c r="G66"/>
  <c r="J18"/>
  <c r="AE8" i="1"/>
  <c r="AE6"/>
  <c r="W18" i="36"/>
  <c r="AC18"/>
  <c r="AG6" i="1"/>
  <c r="L20" i="6"/>
  <c r="S8" i="1"/>
  <c r="S9"/>
  <c r="R9"/>
  <c r="R8"/>
  <c r="C45" i="9"/>
  <c r="H14" i="66" s="1"/>
  <c r="B7" s="1"/>
  <c r="O40" i="9"/>
  <c r="K31"/>
  <c r="K32" s="1"/>
  <c r="R7" i="54"/>
  <c r="B52" i="63" s="1"/>
  <c r="N76" i="9"/>
  <c r="C46"/>
  <c r="I14" i="66" s="1"/>
  <c r="B8" s="1"/>
  <c r="K33" i="9"/>
  <c r="K34" s="1"/>
  <c r="F8" i="44"/>
  <c r="F9"/>
  <c r="F37"/>
  <c r="M29"/>
  <c r="M10"/>
  <c r="F38"/>
  <c r="F43" i="15"/>
  <c r="F40"/>
  <c r="E8" i="67"/>
  <c r="F37" i="15"/>
  <c r="F9"/>
  <c r="C19" i="44"/>
  <c r="M26"/>
  <c r="B10" i="67"/>
  <c r="M8" i="15"/>
  <c r="M28" i="44"/>
  <c r="B9" i="67"/>
  <c r="F36" i="15"/>
  <c r="E9" i="67"/>
  <c r="F11"/>
  <c r="J17" i="44"/>
  <c r="M9" i="15"/>
  <c r="F7"/>
  <c r="F9" i="67"/>
  <c r="L49" i="44"/>
  <c r="F15"/>
  <c r="F12" i="67"/>
  <c r="F8"/>
  <c r="F6" i="15"/>
  <c r="L48"/>
  <c r="F39" i="44"/>
  <c r="M24"/>
  <c r="N6" i="65"/>
  <c r="F18" i="44"/>
  <c r="B12" i="67"/>
  <c r="J36" i="15"/>
  <c r="M30" i="44"/>
  <c r="M11"/>
  <c r="F13" i="67"/>
  <c r="M31" i="44"/>
  <c r="L47" i="15"/>
  <c r="M8" i="44"/>
  <c r="N7" i="65"/>
  <c r="M23" i="15"/>
  <c r="E12" i="67"/>
  <c r="B11"/>
  <c r="F10" i="44"/>
  <c r="B14" i="67"/>
  <c r="M22" i="15"/>
  <c r="E14" i="67"/>
  <c r="M23" i="44"/>
  <c r="L48"/>
  <c r="N5" i="65"/>
  <c r="F16" i="15"/>
  <c r="F28" i="44"/>
  <c r="B8" i="67"/>
  <c r="M26" i="15"/>
  <c r="M27"/>
  <c r="B13" i="67"/>
  <c r="F11" i="44"/>
  <c r="E13" i="67"/>
  <c r="N4" i="65"/>
  <c r="M29" i="15"/>
  <c r="F13"/>
  <c r="N3" i="65"/>
  <c r="M6" i="15"/>
  <c r="J15"/>
  <c r="F26"/>
  <c r="M24"/>
  <c r="F40" i="44"/>
  <c r="F38" i="15"/>
  <c r="M28"/>
  <c r="F10" i="67"/>
  <c r="F14"/>
  <c r="F46" i="44"/>
  <c r="F43"/>
  <c r="F42" i="15"/>
  <c r="E10" i="67"/>
  <c r="F8" i="15"/>
  <c r="M25" i="44"/>
  <c r="F45"/>
  <c r="E11" i="67"/>
  <c r="U13" i="39" l="1"/>
  <c r="S13"/>
  <c r="S23"/>
  <c r="U23"/>
  <c r="E32" i="6"/>
  <c r="D3" i="69"/>
  <c r="B2" s="1"/>
  <c r="F31" i="39"/>
  <c r="AA31" s="1"/>
  <c r="F105"/>
  <c r="G105" s="1"/>
  <c r="J31"/>
  <c r="AC31" s="1"/>
  <c r="H31"/>
  <c r="AB29"/>
  <c r="F95"/>
  <c r="G95" s="1"/>
  <c r="F21"/>
  <c r="J21"/>
  <c r="H21"/>
  <c r="U21" s="1"/>
  <c r="F93"/>
  <c r="G93" s="1"/>
  <c r="H19"/>
  <c r="U19" s="1"/>
  <c r="F19"/>
  <c r="J19"/>
  <c r="F91"/>
  <c r="G91" s="1"/>
  <c r="H17"/>
  <c r="F17"/>
  <c r="J17"/>
  <c r="W17" s="1"/>
  <c r="S29"/>
  <c r="AC44"/>
  <c r="W41"/>
  <c r="S41"/>
  <c r="W34"/>
  <c r="AC37"/>
  <c r="AB38"/>
  <c r="AC38"/>
  <c r="U34"/>
  <c r="AA37"/>
  <c r="AB37"/>
  <c r="W29"/>
  <c r="W27"/>
  <c r="U27"/>
  <c r="W25"/>
  <c r="S25"/>
  <c r="AB25"/>
  <c r="W23"/>
  <c r="C5" i="46"/>
  <c r="A18" i="64"/>
  <c r="B74" i="63" s="1"/>
  <c r="C53" i="10"/>
  <c r="A25" i="64" s="1"/>
  <c r="A18" i="51"/>
  <c r="B14" i="63" s="1"/>
  <c r="L5" i="54"/>
  <c r="B39" i="63" s="1"/>
  <c r="K5" i="54"/>
  <c r="T41" i="4"/>
  <c r="A17" i="51" s="1"/>
  <c r="B13" i="63" s="1"/>
  <c r="B21"/>
  <c r="O41" i="9"/>
  <c r="R8" i="54" s="1"/>
  <c r="B54" i="63" s="1"/>
  <c r="K76" i="9"/>
  <c r="K77" s="1"/>
  <c r="K79" s="1"/>
  <c r="K81" s="1"/>
  <c r="H1" i="65"/>
  <c r="D58" i="21"/>
  <c r="E58" s="1"/>
  <c r="F58" s="1"/>
  <c r="G58" s="1"/>
  <c r="H58" s="1"/>
  <c r="I58" s="1"/>
  <c r="J58" s="1"/>
  <c r="K58" s="1"/>
  <c r="L58" s="1"/>
  <c r="M58" s="1"/>
  <c r="N58" s="1"/>
  <c r="O58" s="1"/>
  <c r="J7"/>
  <c r="W7" s="1"/>
  <c r="F7"/>
  <c r="AA7" s="1"/>
  <c r="H7"/>
  <c r="AB7" s="1"/>
  <c r="C72" i="39"/>
  <c r="D70"/>
  <c r="J51" i="15"/>
  <c r="BA28" i="3"/>
  <c r="AZ28" s="1"/>
  <c r="BA31"/>
  <c r="AZ31" s="1"/>
  <c r="BA32"/>
  <c r="AZ32" s="1"/>
  <c r="AZ33"/>
  <c r="G31"/>
  <c r="G32"/>
  <c r="G33"/>
  <c r="G13"/>
  <c r="I4" i="6"/>
  <c r="G3" i="46" s="1"/>
  <c r="J22" s="1"/>
  <c r="E5" i="6"/>
  <c r="D12" i="11" s="1"/>
  <c r="C12" s="1"/>
  <c r="E15" i="6"/>
  <c r="E67" i="39" s="1"/>
  <c r="E13" i="6"/>
  <c r="E60" i="40" s="1"/>
  <c r="BA13" i="3"/>
  <c r="BA5" s="1"/>
  <c r="E14" i="6"/>
  <c r="E61" i="40" s="1"/>
  <c r="S40" i="39"/>
  <c r="AC33" i="21"/>
  <c r="Q16" i="1"/>
  <c r="F24" i="43" s="1"/>
  <c r="C26" s="1"/>
  <c r="D24" s="1"/>
  <c r="G5" i="3"/>
  <c r="B3" s="1"/>
  <c r="U40" i="39"/>
  <c r="E66"/>
  <c r="AB33" i="21"/>
  <c r="D18" i="9"/>
  <c r="M44" s="1"/>
  <c r="M43"/>
  <c r="A30" i="51"/>
  <c r="B22" i="63" s="1"/>
  <c r="A30" i="64"/>
  <c r="W10" i="33"/>
  <c r="S10"/>
  <c r="AB10"/>
  <c r="W9"/>
  <c r="U9"/>
  <c r="AA9"/>
  <c r="W33"/>
  <c r="AA11"/>
  <c r="AC11"/>
  <c r="AB11"/>
  <c r="S46"/>
  <c r="S33" i="21"/>
  <c r="AB11"/>
  <c r="R48"/>
  <c r="S8"/>
  <c r="AC7"/>
  <c r="V48" s="1"/>
  <c r="I48" s="1"/>
  <c r="W10"/>
  <c r="S10"/>
  <c r="AB10"/>
  <c r="L16" i="4"/>
  <c r="G13" i="1"/>
  <c r="E8" i="6"/>
  <c r="F27" s="1"/>
  <c r="E399" i="3"/>
  <c r="E100"/>
  <c r="E237"/>
  <c r="E253"/>
  <c r="E537"/>
  <c r="E199"/>
  <c r="E54"/>
  <c r="E423"/>
  <c r="E452"/>
  <c r="E435"/>
  <c r="E213"/>
  <c r="E490"/>
  <c r="E536"/>
  <c r="E218"/>
  <c r="E397"/>
  <c r="E442"/>
  <c r="E462"/>
  <c r="E110"/>
  <c r="E47"/>
  <c r="E63"/>
  <c r="E545"/>
  <c r="E174"/>
  <c r="E184"/>
  <c r="E129"/>
  <c r="E482"/>
  <c r="E98"/>
  <c r="E473"/>
  <c r="E422"/>
  <c r="N6"/>
  <c r="E398"/>
  <c r="E232"/>
  <c r="E533"/>
  <c r="E189"/>
  <c r="E37"/>
  <c r="E507"/>
  <c r="E303"/>
  <c r="E275"/>
  <c r="E203"/>
  <c r="E39"/>
  <c r="E402"/>
  <c r="E107"/>
  <c r="E65" i="39"/>
  <c r="E14" i="52"/>
  <c r="G9" i="1"/>
  <c r="D23" i="15"/>
  <c r="E413" i="3"/>
  <c r="AO6"/>
  <c r="M6"/>
  <c r="E475"/>
  <c r="E241"/>
  <c r="E421"/>
  <c r="E69"/>
  <c r="E206"/>
  <c r="E446"/>
  <c r="E132"/>
  <c r="E152"/>
  <c r="E333"/>
  <c r="E437"/>
  <c r="E91"/>
  <c r="E46"/>
  <c r="E115"/>
  <c r="E221"/>
  <c r="E359"/>
  <c r="E457"/>
  <c r="E195"/>
  <c r="E31"/>
  <c r="E391"/>
  <c r="X6"/>
  <c r="E321"/>
  <c r="E561"/>
  <c r="E283"/>
  <c r="E23"/>
  <c r="E535"/>
  <c r="E443"/>
  <c r="E156"/>
  <c r="E265"/>
  <c r="E381"/>
  <c r="E194"/>
  <c r="E49"/>
  <c r="AM6"/>
  <c r="E427"/>
  <c r="E78"/>
  <c r="E193"/>
  <c r="E337"/>
  <c r="E278"/>
  <c r="E390"/>
  <c r="E104"/>
  <c r="E158"/>
  <c r="E94"/>
  <c r="E296"/>
  <c r="E202"/>
  <c r="E534"/>
  <c r="E492"/>
  <c r="E472"/>
  <c r="E83"/>
  <c r="AA6"/>
  <c r="E186"/>
  <c r="E127"/>
  <c r="E124"/>
  <c r="AD6"/>
  <c r="E311"/>
  <c r="E266"/>
  <c r="E222"/>
  <c r="E299"/>
  <c r="E263"/>
  <c r="E215"/>
  <c r="E388"/>
  <c r="E327"/>
  <c r="E424"/>
  <c r="I6"/>
  <c r="E430"/>
  <c r="E103"/>
  <c r="E82"/>
  <c r="E548"/>
  <c r="E146"/>
  <c r="E200"/>
  <c r="E164"/>
  <c r="Z6"/>
  <c r="E77"/>
  <c r="E62"/>
  <c r="E99"/>
  <c r="E454"/>
  <c r="E434"/>
  <c r="E389"/>
  <c r="E262"/>
  <c r="E520"/>
  <c r="E552"/>
  <c r="E230"/>
  <c r="E101"/>
  <c r="AK6"/>
  <c r="E57"/>
  <c r="E143"/>
  <c r="K14" i="1"/>
  <c r="P6"/>
  <c r="C15" i="12" s="1"/>
  <c r="P9" i="1"/>
  <c r="AZ13" i="3"/>
  <c r="BL5"/>
  <c r="P12" i="1"/>
  <c r="G30" i="6"/>
  <c r="G31" s="1"/>
  <c r="E29"/>
  <c r="L19" s="1"/>
  <c r="L27" s="1"/>
  <c r="O10" i="1"/>
  <c r="P10" s="1"/>
  <c r="O7"/>
  <c r="P7" s="1"/>
  <c r="P11"/>
  <c r="E12" i="6"/>
  <c r="E10"/>
  <c r="E11"/>
  <c r="O13" i="1"/>
  <c r="P13" s="1"/>
  <c r="H16"/>
  <c r="E48" i="21"/>
  <c r="S7"/>
  <c r="U7"/>
  <c r="J46" i="36"/>
  <c r="K46" s="1"/>
  <c r="L46" s="1"/>
  <c r="M46" s="1"/>
  <c r="N46" s="1"/>
  <c r="O46" s="1"/>
  <c r="F48" i="35"/>
  <c r="G52" i="37"/>
  <c r="E59" i="34"/>
  <c r="D58" i="33"/>
  <c r="E58" s="1"/>
  <c r="F58" s="1"/>
  <c r="G58" s="1"/>
  <c r="H58" s="1"/>
  <c r="I58" s="1"/>
  <c r="J58" s="1"/>
  <c r="K58" s="1"/>
  <c r="L58" s="1"/>
  <c r="M58" s="1"/>
  <c r="N58" s="1"/>
  <c r="O58" s="1"/>
  <c r="H7" i="36"/>
  <c r="F7"/>
  <c r="D65" i="40"/>
  <c r="C67"/>
  <c r="C27" i="43"/>
  <c r="C31"/>
  <c r="C25" i="12"/>
  <c r="C28" i="15"/>
  <c r="C15" i="43"/>
  <c r="C30" i="44"/>
  <c r="K17" i="4"/>
  <c r="A22" i="51" s="1"/>
  <c r="B16" i="63" s="1"/>
  <c r="H22" i="46"/>
  <c r="AI11"/>
  <c r="AI13" s="1"/>
  <c r="C23"/>
  <c r="C21" s="1"/>
  <c r="AD11"/>
  <c r="AD13" s="1"/>
  <c r="F101"/>
  <c r="K101"/>
  <c r="E101"/>
  <c r="L101"/>
  <c r="B113"/>
  <c r="G101"/>
  <c r="AE11"/>
  <c r="AE13" s="1"/>
  <c r="AF11"/>
  <c r="AF13" s="1"/>
  <c r="AG11"/>
  <c r="AG13" s="1"/>
  <c r="E22"/>
  <c r="M101"/>
  <c r="I101"/>
  <c r="AP16" i="1"/>
  <c r="F22" i="11" s="1"/>
  <c r="G6" i="1"/>
  <c r="G16" s="1"/>
  <c r="U47" i="39"/>
  <c r="C6" i="59"/>
  <c r="C5" s="1"/>
  <c r="D5" s="1"/>
  <c r="B6" i="52"/>
  <c r="E7"/>
  <c r="E6"/>
  <c r="E4"/>
  <c r="B7"/>
  <c r="E5"/>
  <c r="P21" i="46"/>
  <c r="B6" i="59"/>
  <c r="B5" s="1"/>
  <c r="M20" i="46" s="1"/>
  <c r="C19" s="1"/>
  <c r="D6" i="59"/>
  <c r="P22" i="46"/>
  <c r="P23"/>
  <c r="P25"/>
  <c r="B73" i="39" s="1"/>
  <c r="P24" i="46"/>
  <c r="B68" i="40" s="1"/>
  <c r="E22" i="52"/>
  <c r="B22"/>
  <c r="B10"/>
  <c r="B11"/>
  <c r="B4"/>
  <c r="E9"/>
  <c r="C36" i="44"/>
  <c r="C8"/>
  <c r="F63" i="15"/>
  <c r="F67"/>
  <c r="C4" i="65"/>
  <c r="B39" i="1" s="1"/>
  <c r="J60" i="44"/>
  <c r="J54"/>
  <c r="I55"/>
  <c r="J58"/>
  <c r="J56" s="1"/>
  <c r="J59" s="1"/>
  <c r="Q52" s="1"/>
  <c r="L57"/>
  <c r="J61"/>
  <c r="Q50" s="1"/>
  <c r="J22"/>
  <c r="Q72" i="15"/>
  <c r="I1" i="65"/>
  <c r="Q73" i="44"/>
  <c r="F64" i="15"/>
  <c r="L60" i="44"/>
  <c r="L59"/>
  <c r="C27" i="15"/>
  <c r="F65"/>
  <c r="F50"/>
  <c r="L59"/>
  <c r="L58"/>
  <c r="F49"/>
  <c r="M7"/>
  <c r="J6" s="1"/>
  <c r="C29" i="44"/>
  <c r="F70" i="15"/>
  <c r="M9" i="44"/>
  <c r="J8" s="1"/>
  <c r="C6" i="15"/>
  <c r="I54"/>
  <c r="J57"/>
  <c r="J55" s="1"/>
  <c r="J58" s="1"/>
  <c r="Q51" s="1"/>
  <c r="J53"/>
  <c r="L56"/>
  <c r="E17" i="52"/>
  <c r="E11"/>
  <c r="E4" i="4" s="1"/>
  <c r="B21" i="55" s="1"/>
  <c r="B72" i="63" s="1"/>
  <c r="E15" i="52"/>
  <c r="E13"/>
  <c r="B14"/>
  <c r="E8"/>
  <c r="E16"/>
  <c r="B5"/>
  <c r="B9"/>
  <c r="B16"/>
  <c r="B8"/>
  <c r="B13"/>
  <c r="E10"/>
  <c r="E21"/>
  <c r="C4" i="4" s="1"/>
  <c r="B20" i="55" s="1"/>
  <c r="B70" i="63" s="1"/>
  <c r="M17" i="15"/>
  <c r="M19" i="44"/>
  <c r="F58" i="15"/>
  <c r="F33" i="44"/>
  <c r="F31" i="15"/>
  <c r="C16"/>
  <c r="I4" i="65"/>
  <c r="I7"/>
  <c r="J7"/>
  <c r="J3"/>
  <c r="J6"/>
  <c r="J5"/>
  <c r="I5"/>
  <c r="I3"/>
  <c r="I6"/>
  <c r="J4"/>
  <c r="C18" i="44"/>
  <c r="AC17" i="39" l="1"/>
  <c r="AB19"/>
  <c r="W31"/>
  <c r="S31"/>
  <c r="U31"/>
  <c r="AB31"/>
  <c r="S21"/>
  <c r="AA21"/>
  <c r="AB21"/>
  <c r="W21"/>
  <c r="AC21"/>
  <c r="S19"/>
  <c r="AA19"/>
  <c r="W19"/>
  <c r="AC19"/>
  <c r="U17"/>
  <c r="AB17"/>
  <c r="AA17"/>
  <c r="S17"/>
  <c r="A25" i="51"/>
  <c r="B18" i="63" s="1"/>
  <c r="A17" i="64"/>
  <c r="B38" i="63"/>
  <c r="A3" i="55"/>
  <c r="B56" i="63" s="1"/>
  <c r="J1" i="65"/>
  <c r="E20" i="46"/>
  <c r="P17" s="1"/>
  <c r="J7" i="36"/>
  <c r="E33" i="3"/>
  <c r="E223"/>
  <c r="E428"/>
  <c r="E187"/>
  <c r="E225"/>
  <c r="E21"/>
  <c r="E125"/>
  <c r="E64"/>
  <c r="AH6"/>
  <c r="E140"/>
  <c r="P6"/>
  <c r="E343"/>
  <c r="E84"/>
  <c r="E142"/>
  <c r="AP6"/>
  <c r="E410"/>
  <c r="E431"/>
  <c r="E468"/>
  <c r="E70"/>
  <c r="E109"/>
  <c r="E38"/>
  <c r="E185"/>
  <c r="E151"/>
  <c r="E148"/>
  <c r="E313"/>
  <c r="E27"/>
  <c r="E53"/>
  <c r="E412"/>
  <c r="E405"/>
  <c r="E469"/>
  <c r="W6"/>
  <c r="E293"/>
  <c r="E190"/>
  <c r="E560"/>
  <c r="E420"/>
  <c r="E111"/>
  <c r="E233"/>
  <c r="E261"/>
  <c r="L6"/>
  <c r="E467"/>
  <c r="E429"/>
  <c r="E67"/>
  <c r="E86"/>
  <c r="E476"/>
  <c r="E68"/>
  <c r="E192"/>
  <c r="E135"/>
  <c r="E114"/>
  <c r="E147"/>
  <c r="E348"/>
  <c r="E22"/>
  <c r="E93"/>
  <c r="E439"/>
  <c r="E394"/>
  <c r="E459"/>
  <c r="E55"/>
  <c r="E117"/>
  <c r="E282"/>
  <c r="E231"/>
  <c r="E570"/>
  <c r="E528"/>
  <c r="E375"/>
  <c r="E470"/>
  <c r="E409"/>
  <c r="E349"/>
  <c r="E297"/>
  <c r="E411"/>
  <c r="E395"/>
  <c r="E250"/>
  <c r="AN6"/>
  <c r="E41"/>
  <c r="E280"/>
  <c r="E471"/>
  <c r="E59"/>
  <c r="E418"/>
  <c r="E270"/>
  <c r="E408"/>
  <c r="E464"/>
  <c r="E92"/>
  <c r="E157"/>
  <c r="E238"/>
  <c r="E209"/>
  <c r="E414"/>
  <c r="E161"/>
  <c r="E44"/>
  <c r="E450"/>
  <c r="F7" i="33"/>
  <c r="AA7" s="1"/>
  <c r="R48" s="1"/>
  <c r="E70" i="39"/>
  <c r="D72"/>
  <c r="G22" i="46"/>
  <c r="D101"/>
  <c r="H101"/>
  <c r="AC11"/>
  <c r="AC13" s="1"/>
  <c r="Y11"/>
  <c r="Y13" s="1"/>
  <c r="AJ11"/>
  <c r="AJ13" s="1"/>
  <c r="C101"/>
  <c r="J101"/>
  <c r="N104" i="45"/>
  <c r="F22" i="46"/>
  <c r="Z7"/>
  <c r="N101"/>
  <c r="Z11"/>
  <c r="Z13" s="1"/>
  <c r="AH11"/>
  <c r="AH13" s="1"/>
  <c r="AA11"/>
  <c r="AA13" s="1"/>
  <c r="AB11"/>
  <c r="AB13" s="1"/>
  <c r="AZ5" i="3"/>
  <c r="AY6" s="1"/>
  <c r="F18" i="11"/>
  <c r="C18" s="1"/>
  <c r="E62" i="40"/>
  <c r="T48" i="21"/>
  <c r="G48" s="1"/>
  <c r="G52" s="1"/>
  <c r="H52" s="1"/>
  <c r="D21" i="12"/>
  <c r="C21" s="1"/>
  <c r="F33"/>
  <c r="C34" s="1"/>
  <c r="D33" s="1"/>
  <c r="E27" i="6"/>
  <c r="K23" s="1"/>
  <c r="M23" s="1"/>
  <c r="I23" s="1"/>
  <c r="S23" s="1"/>
  <c r="F31"/>
  <c r="R6" i="3"/>
  <c r="E294"/>
  <c r="E387"/>
  <c r="E376"/>
  <c r="E131"/>
  <c r="E304"/>
  <c r="E165"/>
  <c r="E374"/>
  <c r="E205"/>
  <c r="E478"/>
  <c r="E404"/>
  <c r="E30"/>
  <c r="E441"/>
  <c r="E367"/>
  <c r="E415"/>
  <c r="E80"/>
  <c r="E36"/>
  <c r="E149"/>
  <c r="E249"/>
  <c r="E549"/>
  <c r="E460"/>
  <c r="I3" i="6"/>
  <c r="E463" i="3"/>
  <c r="E292"/>
  <c r="E426"/>
  <c r="E60"/>
  <c r="E317"/>
  <c r="E28"/>
  <c r="E357"/>
  <c r="E141"/>
  <c r="E295"/>
  <c r="E89"/>
  <c r="E201"/>
  <c r="E170"/>
  <c r="E274"/>
  <c r="E547"/>
  <c r="E447"/>
  <c r="E75"/>
  <c r="Q6"/>
  <c r="E178"/>
  <c r="E119"/>
  <c r="J6"/>
  <c r="E500"/>
  <c r="E48"/>
  <c r="E97"/>
  <c r="E438"/>
  <c r="AE6"/>
  <c r="E455"/>
  <c r="E289"/>
  <c r="E363"/>
  <c r="E113"/>
  <c r="E79"/>
  <c r="E425"/>
  <c r="E401"/>
  <c r="E257"/>
  <c r="E272"/>
  <c r="E139"/>
  <c r="E52"/>
  <c r="E445"/>
  <c r="E451"/>
  <c r="E556"/>
  <c r="E204"/>
  <c r="U6"/>
  <c r="E258"/>
  <c r="E291"/>
  <c r="E207"/>
  <c r="E305"/>
  <c r="E479"/>
  <c r="E527"/>
  <c r="E449"/>
  <c r="E73"/>
  <c r="E43"/>
  <c r="E365"/>
  <c r="E196"/>
  <c r="E126"/>
  <c r="E276"/>
  <c r="E248"/>
  <c r="E259"/>
  <c r="E211"/>
  <c r="E370"/>
  <c r="E336"/>
  <c r="E308"/>
  <c r="Y6"/>
  <c r="E526"/>
  <c r="AR6"/>
  <c r="E416"/>
  <c r="E466"/>
  <c r="E477"/>
  <c r="E65"/>
  <c r="E96"/>
  <c r="E51"/>
  <c r="E540"/>
  <c r="E513"/>
  <c r="E160"/>
  <c r="E198"/>
  <c r="E134"/>
  <c r="E345"/>
  <c r="E242"/>
  <c r="E281"/>
  <c r="AI6"/>
  <c r="E72"/>
  <c r="E133"/>
  <c r="E290"/>
  <c r="E239"/>
  <c r="E440"/>
  <c r="E87"/>
  <c r="AF6"/>
  <c r="E234"/>
  <c r="E331"/>
  <c r="E458"/>
  <c r="E179"/>
  <c r="AS6"/>
  <c r="E444"/>
  <c r="E383"/>
  <c r="E247"/>
  <c r="E568"/>
  <c r="E539"/>
  <c r="E245"/>
  <c r="E166"/>
  <c r="O6"/>
  <c r="E172"/>
  <c r="E288"/>
  <c r="E255"/>
  <c r="E393"/>
  <c r="E417"/>
  <c r="E88"/>
  <c r="E145"/>
  <c r="E480"/>
  <c r="E279"/>
  <c r="E220"/>
  <c r="E347"/>
  <c r="E517"/>
  <c r="E400"/>
  <c r="E453"/>
  <c r="E58"/>
  <c r="AQ6"/>
  <c r="E197"/>
  <c r="E162"/>
  <c r="E285"/>
  <c r="E235"/>
  <c r="E61"/>
  <c r="E229"/>
  <c r="E433"/>
  <c r="E120"/>
  <c r="E529"/>
  <c r="E40"/>
  <c r="E128"/>
  <c r="E362"/>
  <c r="E29"/>
  <c r="E559"/>
  <c r="E176"/>
  <c r="E150"/>
  <c r="E256"/>
  <c r="E228"/>
  <c r="E554"/>
  <c r="E314"/>
  <c r="E491"/>
  <c r="E324"/>
  <c r="E525"/>
  <c r="E502"/>
  <c r="E319"/>
  <c r="E334"/>
  <c r="K6"/>
  <c r="E489"/>
  <c r="E456"/>
  <c r="E325"/>
  <c r="E353"/>
  <c r="E286"/>
  <c r="E569"/>
  <c r="E396"/>
  <c r="E50"/>
  <c r="E183"/>
  <c r="AJ6"/>
  <c r="E216"/>
  <c r="E236"/>
  <c r="E320"/>
  <c r="E546"/>
  <c r="E392"/>
  <c r="E474"/>
  <c r="E45"/>
  <c r="E15"/>
  <c r="E373"/>
  <c r="E171"/>
  <c r="E284"/>
  <c r="E251"/>
  <c r="E360"/>
  <c r="E354"/>
  <c r="E42"/>
  <c r="E56"/>
  <c r="T6"/>
  <c r="E531"/>
  <c r="E181"/>
  <c r="E122"/>
  <c r="E168"/>
  <c r="E34"/>
  <c r="E407"/>
  <c r="E550"/>
  <c r="E136"/>
  <c r="E85"/>
  <c r="E332"/>
  <c r="E102"/>
  <c r="E25"/>
  <c r="E116"/>
  <c r="E214"/>
  <c r="E372"/>
  <c r="E486"/>
  <c r="E465"/>
  <c r="E543"/>
  <c r="E154"/>
  <c r="E264"/>
  <c r="E243"/>
  <c r="E369"/>
  <c r="E309"/>
  <c r="V6"/>
  <c r="E448"/>
  <c r="E105"/>
  <c r="E74"/>
  <c r="AG6"/>
  <c r="E121"/>
  <c r="E505"/>
  <c r="E224"/>
  <c r="E419"/>
  <c r="E123"/>
  <c r="E302"/>
  <c r="E66"/>
  <c r="E386"/>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14"/>
  <c r="E169"/>
  <c r="E144"/>
  <c r="E495"/>
  <c r="E269"/>
  <c r="E208"/>
  <c r="E219"/>
  <c r="E344"/>
  <c r="E338"/>
  <c r="E485"/>
  <c r="E506"/>
  <c r="E335"/>
  <c r="E562"/>
  <c r="E483"/>
  <c r="E571"/>
  <c r="E366"/>
  <c r="E518"/>
  <c r="E532"/>
  <c r="E497"/>
  <c r="E330"/>
  <c r="E167"/>
  <c r="E340"/>
  <c r="E566"/>
  <c r="E350"/>
  <c r="E515"/>
  <c r="E521"/>
  <c r="E553"/>
  <c r="E496"/>
  <c r="E494"/>
  <c r="E130"/>
  <c r="E273"/>
  <c r="E352"/>
  <c r="E542"/>
  <c r="E461"/>
  <c r="E563"/>
  <c r="E138"/>
  <c r="E254"/>
  <c r="E328"/>
  <c r="E112"/>
  <c r="E519"/>
  <c r="E341"/>
  <c r="E155"/>
  <c r="E268"/>
  <c r="E252"/>
  <c r="E316"/>
  <c r="E346"/>
  <c r="E175"/>
  <c r="E544"/>
  <c r="E318"/>
  <c r="E541"/>
  <c r="E565"/>
  <c r="E523"/>
  <c r="E380"/>
  <c r="E557"/>
  <c r="E503"/>
  <c r="E13"/>
  <c r="E35"/>
  <c r="E361"/>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32"/>
  <c r="R49" i="21"/>
  <c r="I53"/>
  <c r="J53" s="1"/>
  <c r="I52"/>
  <c r="J52" s="1"/>
  <c r="K22" i="6"/>
  <c r="M22" s="1"/>
  <c r="I22" s="1"/>
  <c r="S22" s="1"/>
  <c r="E53" i="40"/>
  <c r="E58" i="39"/>
  <c r="E16" i="6"/>
  <c r="E58" i="40"/>
  <c r="E63" i="39"/>
  <c r="E59" i="40"/>
  <c r="E64" i="39"/>
  <c r="K15" i="1"/>
  <c r="K16" s="1"/>
  <c r="E30" i="6"/>
  <c r="M14" i="1"/>
  <c r="E65" i="40"/>
  <c r="D67"/>
  <c r="AB7" i="36"/>
  <c r="T36" s="1"/>
  <c r="G36" s="1"/>
  <c r="U7"/>
  <c r="H7" i="33"/>
  <c r="J7"/>
  <c r="H52" i="37"/>
  <c r="G48" i="35"/>
  <c r="S7" i="36"/>
  <c r="AA7"/>
  <c r="R36" s="1"/>
  <c r="S7" i="33"/>
  <c r="F59" i="34"/>
  <c r="G59" s="1"/>
  <c r="H59" s="1"/>
  <c r="I59" s="1"/>
  <c r="J59" s="1"/>
  <c r="K59" s="1"/>
  <c r="L59" s="1"/>
  <c r="M59" s="1"/>
  <c r="N59" s="1"/>
  <c r="O59" s="1"/>
  <c r="J7"/>
  <c r="W7" i="36"/>
  <c r="AC7"/>
  <c r="V36" s="1"/>
  <c r="I36" s="1"/>
  <c r="E52" i="21"/>
  <c r="F52" s="1"/>
  <c r="N109" i="46"/>
  <c r="N105"/>
  <c r="N102"/>
  <c r="N107"/>
  <c r="N103"/>
  <c r="N106"/>
  <c r="N104"/>
  <c r="I102"/>
  <c r="I109"/>
  <c r="I107"/>
  <c r="I105"/>
  <c r="I103"/>
  <c r="I104"/>
  <c r="I106"/>
  <c r="M104"/>
  <c r="M103"/>
  <c r="M105"/>
  <c r="M107"/>
  <c r="M109"/>
  <c r="M102"/>
  <c r="M106"/>
  <c r="C104"/>
  <c r="C107"/>
  <c r="C106"/>
  <c r="C105"/>
  <c r="C102"/>
  <c r="C103"/>
  <c r="C109"/>
  <c r="J107"/>
  <c r="J104"/>
  <c r="J103"/>
  <c r="J105"/>
  <c r="J109"/>
  <c r="J102"/>
  <c r="J106"/>
  <c r="D102"/>
  <c r="D104"/>
  <c r="D106"/>
  <c r="D109"/>
  <c r="D103"/>
  <c r="D105"/>
  <c r="D107"/>
  <c r="H104"/>
  <c r="H105"/>
  <c r="H106"/>
  <c r="H109"/>
  <c r="H102"/>
  <c r="H103"/>
  <c r="H107"/>
  <c r="G104"/>
  <c r="G102"/>
  <c r="G107"/>
  <c r="G109"/>
  <c r="G105"/>
  <c r="G103"/>
  <c r="G106"/>
  <c r="D118"/>
  <c r="E118" s="1"/>
  <c r="F118" s="1"/>
  <c r="I116"/>
  <c r="J116" s="1"/>
  <c r="K116" s="1"/>
  <c r="L116" s="1"/>
  <c r="M116" s="1"/>
  <c r="I117"/>
  <c r="J117" s="1"/>
  <c r="K117" s="1"/>
  <c r="L117" s="1"/>
  <c r="M117" s="1"/>
  <c r="B115"/>
  <c r="B116"/>
  <c r="C116" s="1"/>
  <c r="G118"/>
  <c r="H118" s="1"/>
  <c r="D117"/>
  <c r="E117" s="1"/>
  <c r="F117" s="1"/>
  <c r="G117" s="1"/>
  <c r="H117" s="1"/>
  <c r="D115"/>
  <c r="E115" s="1"/>
  <c r="F115" s="1"/>
  <c r="G115" s="1"/>
  <c r="H115" s="1"/>
  <c r="I118"/>
  <c r="J118" s="1"/>
  <c r="K118" s="1"/>
  <c r="L118" s="1"/>
  <c r="M118" s="1"/>
  <c r="D116"/>
  <c r="E116" s="1"/>
  <c r="F116" s="1"/>
  <c r="G116" s="1"/>
  <c r="H116" s="1"/>
  <c r="B117"/>
  <c r="C117" s="1"/>
  <c r="I115"/>
  <c r="J115" s="1"/>
  <c r="K115" s="1"/>
  <c r="L115" s="1"/>
  <c r="M115" s="1"/>
  <c r="B118"/>
  <c r="C118" s="1"/>
  <c r="L102"/>
  <c r="L105"/>
  <c r="L104"/>
  <c r="L107"/>
  <c r="L103"/>
  <c r="L109"/>
  <c r="L106"/>
  <c r="E104"/>
  <c r="E106"/>
  <c r="E105"/>
  <c r="E109"/>
  <c r="E107"/>
  <c r="E102"/>
  <c r="E103"/>
  <c r="K107"/>
  <c r="K109"/>
  <c r="K104"/>
  <c r="K105"/>
  <c r="K103"/>
  <c r="K102"/>
  <c r="K106"/>
  <c r="F106"/>
  <c r="F103"/>
  <c r="F109"/>
  <c r="F107"/>
  <c r="F105"/>
  <c r="F102"/>
  <c r="F104"/>
  <c r="H12" i="39"/>
  <c r="F12"/>
  <c r="J12" i="40"/>
  <c r="H12"/>
  <c r="F12"/>
  <c r="J12" i="39"/>
  <c r="C39" i="46"/>
  <c r="G39" s="1"/>
  <c r="I39" s="1"/>
  <c r="C35"/>
  <c r="T12"/>
  <c r="V12" s="1"/>
  <c r="T9"/>
  <c r="V9" s="1"/>
  <c r="C37"/>
  <c r="G37" s="1"/>
  <c r="I37" s="1"/>
  <c r="C33"/>
  <c r="G33" s="1"/>
  <c r="I33" s="1"/>
  <c r="T8"/>
  <c r="V8" s="1"/>
  <c r="T16"/>
  <c r="V16" s="1"/>
  <c r="T13"/>
  <c r="V13" s="1"/>
  <c r="C36"/>
  <c r="E36" s="1"/>
  <c r="C34"/>
  <c r="E34" s="1"/>
  <c r="T15"/>
  <c r="V15" s="1"/>
  <c r="T11"/>
  <c r="V11" s="1"/>
  <c r="T14"/>
  <c r="V14" s="1"/>
  <c r="T10"/>
  <c r="V10" s="1"/>
  <c r="C29"/>
  <c r="C30" s="1"/>
  <c r="E30" s="1"/>
  <c r="C38"/>
  <c r="E38" s="1"/>
  <c r="G36"/>
  <c r="I36" s="1"/>
  <c r="E39"/>
  <c r="C48" i="15"/>
  <c r="Q61"/>
  <c r="Q74"/>
  <c r="Q76" i="44"/>
  <c r="Q63"/>
  <c r="Q54"/>
  <c r="F1"/>
  <c r="F13"/>
  <c r="C12" s="1"/>
  <c r="C7" s="1"/>
  <c r="M11" i="15"/>
  <c r="J10" s="1"/>
  <c r="J5" s="1"/>
  <c r="F11"/>
  <c r="M13" i="44"/>
  <c r="J12" s="1"/>
  <c r="J7" s="1"/>
  <c r="F1" i="15"/>
  <c r="Q53"/>
  <c r="Q75"/>
  <c r="Q62"/>
  <c r="Q75" i="44"/>
  <c r="Q62"/>
  <c r="AE7" i="1"/>
  <c r="E2" i="65"/>
  <c r="E3"/>
  <c r="O17" i="46" l="1"/>
  <c r="B40" i="1"/>
  <c r="F24" i="15" s="1"/>
  <c r="C24" s="1"/>
  <c r="E31" i="6"/>
  <c r="M17" i="46"/>
  <c r="N17"/>
  <c r="K26" i="6"/>
  <c r="M26" s="1"/>
  <c r="I26" s="1"/>
  <c r="S26" s="1"/>
  <c r="K25"/>
  <c r="M25" s="1"/>
  <c r="I25" s="1"/>
  <c r="S25" s="1"/>
  <c r="K21"/>
  <c r="M21" s="1"/>
  <c r="I21" s="1"/>
  <c r="S21" s="1"/>
  <c r="F17" i="11"/>
  <c r="C17" s="1"/>
  <c r="C19" s="1"/>
  <c r="C20" s="1"/>
  <c r="C21" s="1"/>
  <c r="C22" s="1"/>
  <c r="C23" s="1"/>
  <c r="B2" s="1"/>
  <c r="E3" i="6"/>
  <c r="K19"/>
  <c r="S6" i="1" s="1"/>
  <c r="K24" i="6"/>
  <c r="M24" s="1"/>
  <c r="I24" s="1"/>
  <c r="S24" s="1"/>
  <c r="K20"/>
  <c r="M20" s="1"/>
  <c r="I20" s="1"/>
  <c r="S20" s="1"/>
  <c r="D22" i="46"/>
  <c r="AC6" i="3"/>
  <c r="E53" i="21"/>
  <c r="F53" s="1"/>
  <c r="G53"/>
  <c r="H53" s="1"/>
  <c r="H7" i="34"/>
  <c r="AB7" s="1"/>
  <c r="T49" s="1"/>
  <c r="G49" s="1"/>
  <c r="E72" i="39"/>
  <c r="F70"/>
  <c r="H6" i="3"/>
  <c r="E6" s="1"/>
  <c r="S7" i="1"/>
  <c r="C49" i="21"/>
  <c r="B3" s="1"/>
  <c r="C48"/>
  <c r="E33" i="46"/>
  <c r="E29"/>
  <c r="E68" i="39"/>
  <c r="D16" i="43"/>
  <c r="C16" s="1"/>
  <c r="C21" i="4"/>
  <c r="O5" i="54" s="1"/>
  <c r="B45" i="63" s="1"/>
  <c r="D10" i="11"/>
  <c r="D16" i="12"/>
  <c r="E6" i="6"/>
  <c r="D45" i="9"/>
  <c r="D46"/>
  <c r="L38"/>
  <c r="B14" i="66" s="1"/>
  <c r="B1" s="1"/>
  <c r="O14" i="1"/>
  <c r="O16" s="1"/>
  <c r="M16"/>
  <c r="N16" s="1"/>
  <c r="C29" i="43" s="1"/>
  <c r="AY504" i="3"/>
  <c r="AY537"/>
  <c r="AY73"/>
  <c r="AY144"/>
  <c r="AY57"/>
  <c r="AY262"/>
  <c r="AY349"/>
  <c r="AY409"/>
  <c r="AY96"/>
  <c r="AY171"/>
  <c r="AY233"/>
  <c r="AY365"/>
  <c r="AY329"/>
  <c r="AY471"/>
  <c r="AY131"/>
  <c r="AY138"/>
  <c r="AY206"/>
  <c r="AY316"/>
  <c r="AY520"/>
  <c r="AY29"/>
  <c r="AY249"/>
  <c r="AY367"/>
  <c r="AY453"/>
  <c r="AY166"/>
  <c r="AY225"/>
  <c r="AY413"/>
  <c r="AY184"/>
  <c r="AY319"/>
  <c r="BQ6"/>
  <c r="BT6"/>
  <c r="AY151"/>
  <c r="AY323"/>
  <c r="AY360"/>
  <c r="AY74"/>
  <c r="AY136"/>
  <c r="AY448"/>
  <c r="AY46"/>
  <c r="AY219"/>
  <c r="AY569"/>
  <c r="AY148"/>
  <c r="AY371"/>
  <c r="BA6"/>
  <c r="AY283"/>
  <c r="AY446"/>
  <c r="AY380"/>
  <c r="AY211"/>
  <c r="AY396"/>
  <c r="AY221"/>
  <c r="AY245"/>
  <c r="AY127"/>
  <c r="AY32"/>
  <c r="AY498"/>
  <c r="AY456"/>
  <c r="AY518"/>
  <c r="AY112"/>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73"/>
  <c r="AY426"/>
  <c r="AY462"/>
  <c r="AY196"/>
  <c r="AY551"/>
  <c r="AY373"/>
  <c r="AY51"/>
  <c r="AY165"/>
  <c r="AY541"/>
  <c r="AY301"/>
  <c r="AY94"/>
  <c r="AY570"/>
  <c r="AY167"/>
  <c r="AY466"/>
  <c r="AY511"/>
  <c r="AY255"/>
  <c r="AY439"/>
  <c r="AY496"/>
  <c r="AY536"/>
  <c r="AY521"/>
  <c r="AY180"/>
  <c r="AY474"/>
  <c r="BJ6"/>
  <c r="AY354"/>
  <c r="AY477"/>
  <c r="AY482"/>
  <c r="AY517"/>
  <c r="BE6"/>
  <c r="AY292"/>
  <c r="AY441"/>
  <c r="AY535"/>
  <c r="AY121"/>
  <c r="AY452"/>
  <c r="AY491"/>
  <c r="AY523"/>
  <c r="AY508"/>
  <c r="AY53"/>
  <c r="AY98"/>
  <c r="AY232"/>
  <c r="AY392"/>
  <c r="AY176"/>
  <c r="AY356"/>
  <c r="AY44"/>
  <c r="AY288"/>
  <c r="AY318"/>
  <c r="AY147"/>
  <c r="AY561"/>
  <c r="AY162"/>
  <c r="AY22"/>
  <c r="AY562"/>
  <c r="AY406"/>
  <c r="AY303"/>
  <c r="AY370"/>
  <c r="AY531"/>
  <c r="AY388"/>
  <c r="AY137"/>
  <c r="AY485"/>
  <c r="AY565"/>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68"/>
  <c r="AY421"/>
  <c r="AY502"/>
  <c r="AY331"/>
  <c r="AY377"/>
  <c r="AY362"/>
  <c r="AY110"/>
  <c r="AY270"/>
  <c r="BI6"/>
  <c r="AY205"/>
  <c r="AY298"/>
  <c r="AY164"/>
  <c r="AY403"/>
  <c r="AY469"/>
  <c r="AY514"/>
  <c r="AY177"/>
  <c r="AY454"/>
  <c r="AY263"/>
  <c r="AY499"/>
  <c r="AY524"/>
  <c r="AY391"/>
  <c r="AY231"/>
  <c r="AY507"/>
  <c r="AY300"/>
  <c r="AY487"/>
  <c r="AY252"/>
  <c r="AY571"/>
  <c r="BM6"/>
  <c r="AY509"/>
  <c r="AY260"/>
  <c r="AY554"/>
  <c r="AY423"/>
  <c r="AY539"/>
  <c r="AY228"/>
  <c r="AY532"/>
  <c r="AY18"/>
  <c r="AY564"/>
  <c r="AY334"/>
  <c r="AY195"/>
  <c r="AY475"/>
  <c r="AY235"/>
  <c r="AY60"/>
  <c r="AY440"/>
  <c r="AY240"/>
  <c r="AY190"/>
  <c r="AY108"/>
  <c r="AY71"/>
  <c r="AY506"/>
  <c r="AY223"/>
  <c r="AY483"/>
  <c r="AY63"/>
  <c r="AY559"/>
  <c r="AY344"/>
  <c r="AY185"/>
  <c r="AY328"/>
  <c r="AY375"/>
  <c r="AY358"/>
  <c r="AY447"/>
  <c r="AY351"/>
  <c r="AY153"/>
  <c r="AY90"/>
  <c r="AY299"/>
  <c r="AY174"/>
  <c r="AY78"/>
  <c r="AY480"/>
  <c r="AY208"/>
  <c r="AY199"/>
  <c r="AY20"/>
  <c r="AY553"/>
  <c r="AY503"/>
  <c r="AY399"/>
  <c r="AY247"/>
  <c r="BP6"/>
  <c r="AY415"/>
  <c r="AY244"/>
  <c r="AY107"/>
  <c r="AY500"/>
  <c r="AY239"/>
  <c r="AY431"/>
  <c r="AY24"/>
  <c r="AY86"/>
  <c r="AY493"/>
  <c r="BH6"/>
  <c r="AY544"/>
  <c r="AY465"/>
  <c r="AY437"/>
  <c r="AY321"/>
  <c r="AY282"/>
  <c r="AY76"/>
  <c r="AY359"/>
  <c r="AY197"/>
  <c r="AY394"/>
  <c r="AY341"/>
  <c r="AY254"/>
  <c r="AY25"/>
  <c r="BS6"/>
  <c r="AY337"/>
  <c r="AY257"/>
  <c r="AY183"/>
  <c r="AY172"/>
  <c r="AY123"/>
  <c r="AY311"/>
  <c r="AY374"/>
  <c r="AY280"/>
  <c r="AY117"/>
  <c r="AY28"/>
  <c r="AY408"/>
  <c r="AY361"/>
  <c r="AY291"/>
  <c r="AY106"/>
  <c r="AY126"/>
  <c r="AY47"/>
  <c r="AY100"/>
  <c r="AY530"/>
  <c r="AY549"/>
  <c r="AY87"/>
  <c r="AY69"/>
  <c r="AY97"/>
  <c r="AY88"/>
  <c r="AY109"/>
  <c r="AY26"/>
  <c r="AY198"/>
  <c r="AY129"/>
  <c r="AY142"/>
  <c r="AY529"/>
  <c r="AY77"/>
  <c r="AY104"/>
  <c r="AY34"/>
  <c r="AY145"/>
  <c r="AY158"/>
  <c r="AY259"/>
  <c r="AY218"/>
  <c r="AY248"/>
  <c r="AY290"/>
  <c r="AY368"/>
  <c r="AY309"/>
  <c r="AY472"/>
  <c r="AY443"/>
  <c r="AY13"/>
  <c r="AY103"/>
  <c r="AY21"/>
  <c r="AY52"/>
  <c r="AY191"/>
  <c r="AY204"/>
  <c r="AY92"/>
  <c r="AY31"/>
  <c r="AY118"/>
  <c r="AY234"/>
  <c r="AY209"/>
  <c r="AY317"/>
  <c r="AY416"/>
  <c r="AY397"/>
  <c r="AY422"/>
  <c r="AY49"/>
  <c r="AY170"/>
  <c r="AY149"/>
  <c r="AY146"/>
  <c r="AY381"/>
  <c r="AY214"/>
  <c r="AY379"/>
  <c r="AY324"/>
  <c r="AY326"/>
  <c r="AY476"/>
  <c r="AY463"/>
  <c r="AY39"/>
  <c r="AY178"/>
  <c r="AY116"/>
  <c r="AY135"/>
  <c r="AY258"/>
  <c r="AY294"/>
  <c r="AY366"/>
  <c r="AY372"/>
  <c r="AY315"/>
  <c r="AY550"/>
  <c r="AY548"/>
  <c r="AY62"/>
  <c r="AY168"/>
  <c r="AY269"/>
  <c r="AY256"/>
  <c r="AY376"/>
  <c r="AY464"/>
  <c r="AY389"/>
  <c r="AY81"/>
  <c r="AY155"/>
  <c r="AY295"/>
  <c r="AY302"/>
  <c r="AY342"/>
  <c r="AY450"/>
  <c r="AY194"/>
  <c r="AY122"/>
  <c r="AY279"/>
  <c r="AY307"/>
  <c r="AY16"/>
  <c r="AY457"/>
  <c r="AY438"/>
  <c r="AY412"/>
  <c r="AY278"/>
  <c r="BC6"/>
  <c r="AY336"/>
  <c r="AY201"/>
  <c r="AY253"/>
  <c r="AY543"/>
  <c r="AY352"/>
  <c r="AY330"/>
  <c r="AY213"/>
  <c r="AY84"/>
  <c r="AY327"/>
  <c r="AY133"/>
  <c r="AY404"/>
  <c r="AY357"/>
  <c r="AY285"/>
  <c r="AY68"/>
  <c r="AY497"/>
  <c r="AY563"/>
  <c r="BR6"/>
  <c r="AY17"/>
  <c r="AY220"/>
  <c r="AY505"/>
  <c r="AY355"/>
  <c r="AY484"/>
  <c r="AY15"/>
  <c r="AY540"/>
  <c r="AY492"/>
  <c r="AY390"/>
  <c r="AY385"/>
  <c r="AY222"/>
  <c r="AY163"/>
  <c r="BF6"/>
  <c r="AY287"/>
  <c r="AY186"/>
  <c r="AY417"/>
  <c r="AY325"/>
  <c r="AY242"/>
  <c r="AY66"/>
  <c r="AY546"/>
  <c r="AY519"/>
  <c r="AY489"/>
  <c r="AY461"/>
  <c r="AY152"/>
  <c r="AY527"/>
  <c r="AY458"/>
  <c r="AY140"/>
  <c r="AY552"/>
  <c r="AY407"/>
  <c r="BN6"/>
  <c r="AY268"/>
  <c r="AY27"/>
  <c r="AY320"/>
  <c r="AY193"/>
  <c r="AY314"/>
  <c r="AY378"/>
  <c r="AY430"/>
  <c r="AY14"/>
  <c r="AY229"/>
  <c r="AY156"/>
  <c r="AY369"/>
  <c r="AY266"/>
  <c r="AY85"/>
  <c r="AY424"/>
  <c r="AY224"/>
  <c r="AY120"/>
  <c r="AY111"/>
  <c r="AY558"/>
  <c r="AY335"/>
  <c r="AY227"/>
  <c r="AY200"/>
  <c r="AY38"/>
  <c r="AY445"/>
  <c r="AY304"/>
  <c r="AY271"/>
  <c r="AY114"/>
  <c r="AY187"/>
  <c r="AY414"/>
  <c r="AY427"/>
  <c r="AY383"/>
  <c r="AY217"/>
  <c r="AY45"/>
  <c r="AY182"/>
  <c r="AY83"/>
  <c r="D3" i="6"/>
  <c r="AY486" i="3"/>
  <c r="AY82"/>
  <c r="AY80"/>
  <c r="AY37"/>
  <c r="AY67"/>
  <c r="AY41"/>
  <c r="AY58"/>
  <c r="AY203"/>
  <c r="AY159"/>
  <c r="AY128"/>
  <c r="AY179"/>
  <c r="AY95"/>
  <c r="AY105"/>
  <c r="AY36"/>
  <c r="AY274"/>
  <c r="AY150"/>
  <c r="AY293"/>
  <c r="AY246"/>
  <c r="AY275"/>
  <c r="AY216"/>
  <c r="AY386"/>
  <c r="AY333"/>
  <c r="AY556"/>
  <c r="AY432"/>
  <c r="AY411"/>
  <c r="BL6"/>
  <c r="AY64"/>
  <c r="AY154"/>
  <c r="AY42"/>
  <c r="AY160"/>
  <c r="AY515"/>
  <c r="AY75"/>
  <c r="AY175"/>
  <c r="AY277"/>
  <c r="AY264"/>
  <c r="AY384"/>
  <c r="AY467"/>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35"/>
  <c r="AY91"/>
  <c r="AY124"/>
  <c r="AY449"/>
  <c r="AY525"/>
  <c r="AY273"/>
  <c r="AY428"/>
  <c r="AY494"/>
  <c r="AY526"/>
  <c r="AY566"/>
  <c r="AY48"/>
  <c r="AY528"/>
  <c r="AY99"/>
  <c r="AY236"/>
  <c r="AY481"/>
  <c r="AY516"/>
  <c r="AY207"/>
  <c r="BD6"/>
  <c r="AY510"/>
  <c r="AY567"/>
  <c r="AY40"/>
  <c r="E36" i="36"/>
  <c r="I41" s="1"/>
  <c r="J41" s="1"/>
  <c r="R37"/>
  <c r="I40"/>
  <c r="J40" s="1"/>
  <c r="AC7" i="34"/>
  <c r="V49" s="1"/>
  <c r="I49" s="1"/>
  <c r="W7"/>
  <c r="E48" i="33"/>
  <c r="H48" i="35"/>
  <c r="I52" i="37"/>
  <c r="AB7" i="33"/>
  <c r="T48" s="1"/>
  <c r="G48" s="1"/>
  <c r="U7"/>
  <c r="G41" i="36"/>
  <c r="H41" s="1"/>
  <c r="G40"/>
  <c r="H40" s="1"/>
  <c r="E67" i="40"/>
  <c r="F65"/>
  <c r="AC7" i="33"/>
  <c r="V48" s="1"/>
  <c r="I48" s="1"/>
  <c r="W7"/>
  <c r="F7" i="34"/>
  <c r="E37" i="46"/>
  <c r="C115"/>
  <c r="D113" s="1"/>
  <c r="S6"/>
  <c r="T6" s="1"/>
  <c r="V6" s="1"/>
  <c r="S2"/>
  <c r="T2" s="1"/>
  <c r="V2" s="1"/>
  <c r="S7"/>
  <c r="T7" s="1"/>
  <c r="V7" s="1"/>
  <c r="S5"/>
  <c r="T5" s="1"/>
  <c r="V5" s="1"/>
  <c r="S3"/>
  <c r="T3" s="1"/>
  <c r="V3" s="1"/>
  <c r="S4"/>
  <c r="T4" s="1"/>
  <c r="V4" s="1"/>
  <c r="AC12" i="39"/>
  <c r="W12"/>
  <c r="AB12" i="40"/>
  <c r="U12"/>
  <c r="S12" i="39"/>
  <c r="AA12"/>
  <c r="AA12" i="40"/>
  <c r="S12"/>
  <c r="W12"/>
  <c r="AC12"/>
  <c r="AB12" i="39"/>
  <c r="U12"/>
  <c r="G35" i="46"/>
  <c r="I35" s="1"/>
  <c r="E35"/>
  <c r="G38"/>
  <c r="I38" s="1"/>
  <c r="G34"/>
  <c r="I34" s="1"/>
  <c r="C27"/>
  <c r="J28" i="44"/>
  <c r="J31" s="1"/>
  <c r="J26"/>
  <c r="J20"/>
  <c r="C34"/>
  <c r="C40"/>
  <c r="C52" i="15"/>
  <c r="C47" s="1"/>
  <c r="C10"/>
  <c r="C5" s="1"/>
  <c r="J26"/>
  <c r="J24"/>
  <c r="J18"/>
  <c r="C17"/>
  <c r="F7" i="67"/>
  <c r="F41" i="15"/>
  <c r="L52" i="44"/>
  <c r="F21" i="43" l="1"/>
  <c r="C23" s="1"/>
  <c r="D21" s="1"/>
  <c r="F26" i="44"/>
  <c r="C26" s="1"/>
  <c r="F26" i="12"/>
  <c r="C27" s="1"/>
  <c r="D26" s="1"/>
  <c r="C32" s="1"/>
  <c r="D30" s="1"/>
  <c r="K27" i="6"/>
  <c r="M19"/>
  <c r="I19" s="1"/>
  <c r="H19" s="1"/>
  <c r="U7" i="34"/>
  <c r="F72" i="39"/>
  <c r="G70"/>
  <c r="F68" i="15"/>
  <c r="J29"/>
  <c r="P14" i="1"/>
  <c r="P16" s="1"/>
  <c r="C13" i="12" s="1"/>
  <c r="C14" s="1"/>
  <c r="S16" i="1"/>
  <c r="T13" s="1"/>
  <c r="B2" i="21"/>
  <c r="R49" i="33"/>
  <c r="C49" s="1"/>
  <c r="B3" s="1"/>
  <c r="C26" i="46"/>
  <c r="B2" s="1"/>
  <c r="C13" i="43"/>
  <c r="L16" i="1"/>
  <c r="D19" i="12"/>
  <c r="C19" s="1"/>
  <c r="C16"/>
  <c r="E63" i="40"/>
  <c r="D19" i="6"/>
  <c r="D25"/>
  <c r="D13"/>
  <c r="H24"/>
  <c r="D23"/>
  <c r="D28"/>
  <c r="D8"/>
  <c r="D24"/>
  <c r="D22"/>
  <c r="D12"/>
  <c r="H25"/>
  <c r="D5"/>
  <c r="H22"/>
  <c r="H26"/>
  <c r="F46" i="9"/>
  <c r="E45"/>
  <c r="C22" i="4"/>
  <c r="D21" i="6"/>
  <c r="D10"/>
  <c r="H21"/>
  <c r="D6"/>
  <c r="D14"/>
  <c r="D20"/>
  <c r="H23"/>
  <c r="K38" i="9"/>
  <c r="C14" i="66" s="1"/>
  <c r="B2" s="1"/>
  <c r="D11" i="6"/>
  <c r="H20"/>
  <c r="D9"/>
  <c r="D29"/>
  <c r="D15"/>
  <c r="D26"/>
  <c r="E46" i="9"/>
  <c r="F45"/>
  <c r="C7" i="66"/>
  <c r="C8"/>
  <c r="D13" i="11"/>
  <c r="C13" s="1"/>
  <c r="D22" i="12"/>
  <c r="C22" s="1"/>
  <c r="C20" s="1"/>
  <c r="I27" i="6"/>
  <c r="S19"/>
  <c r="S27" s="1"/>
  <c r="G52" i="33"/>
  <c r="H52" s="1"/>
  <c r="G53"/>
  <c r="H53" s="1"/>
  <c r="E52"/>
  <c r="F52" s="1"/>
  <c r="E53"/>
  <c r="F53" s="1"/>
  <c r="C37" i="36"/>
  <c r="B3" s="1"/>
  <c r="B2" s="1"/>
  <c r="C36"/>
  <c r="S7" i="34"/>
  <c r="AA7"/>
  <c r="R49" s="1"/>
  <c r="I52" i="33"/>
  <c r="J52" s="1"/>
  <c r="I53"/>
  <c r="J53" s="1"/>
  <c r="F67" i="40"/>
  <c r="G65"/>
  <c r="J52" i="37"/>
  <c r="I48" i="35"/>
  <c r="I53" i="34"/>
  <c r="J53" s="1"/>
  <c r="E40" i="36"/>
  <c r="F40" s="1"/>
  <c r="E41"/>
  <c r="F41" s="1"/>
  <c r="G53" i="34"/>
  <c r="H53" s="1"/>
  <c r="G54"/>
  <c r="H54" s="1"/>
  <c r="E4" i="67"/>
  <c r="Q69" i="44"/>
  <c r="L58"/>
  <c r="L61" s="1"/>
  <c r="L47" s="1"/>
  <c r="C32" i="15"/>
  <c r="C38"/>
  <c r="B5" i="11"/>
  <c r="B3"/>
  <c r="B4"/>
  <c r="C59" i="15"/>
  <c r="C65"/>
  <c r="Q49" i="44"/>
  <c r="Q55" s="1"/>
  <c r="Q67"/>
  <c r="Q58"/>
  <c r="B7" i="67"/>
  <c r="E7"/>
  <c r="M27" i="6" l="1"/>
  <c r="H70" i="39"/>
  <c r="G72"/>
  <c r="T8" i="1"/>
  <c r="T10"/>
  <c r="T9"/>
  <c r="T7"/>
  <c r="C17" i="12"/>
  <c r="C18" s="1"/>
  <c r="C23" s="1"/>
  <c r="T12" i="1"/>
  <c r="T6"/>
  <c r="T11"/>
  <c r="C48" i="33"/>
  <c r="R26" i="6"/>
  <c r="B2" i="33"/>
  <c r="E3" i="67"/>
  <c r="H27" i="6"/>
  <c r="R24"/>
  <c r="D16"/>
  <c r="R23"/>
  <c r="D30"/>
  <c r="D7" i="66"/>
  <c r="D8"/>
  <c r="R20" i="6"/>
  <c r="R7" i="1" s="1"/>
  <c r="A20" i="64"/>
  <c r="N5" i="54"/>
  <c r="B43" i="63" s="1"/>
  <c r="A6" i="64"/>
  <c r="A20" i="51"/>
  <c r="B15" i="63" s="1"/>
  <c r="A6" i="51"/>
  <c r="B7" i="63" s="1"/>
  <c r="D27" i="6"/>
  <c r="D31" s="1"/>
  <c r="R19"/>
  <c r="R6" i="1" s="1"/>
  <c r="R21" i="6"/>
  <c r="R22"/>
  <c r="R25"/>
  <c r="C14" i="43"/>
  <c r="C17"/>
  <c r="H65" i="40"/>
  <c r="G67"/>
  <c r="R50" i="34"/>
  <c r="E49"/>
  <c r="J48" i="35"/>
  <c r="K52" i="37"/>
  <c r="B2" i="67"/>
  <c r="D4" i="46"/>
  <c r="B4"/>
  <c r="B3"/>
  <c r="Q68" i="44"/>
  <c r="Q77" s="1"/>
  <c r="Q59"/>
  <c r="Q64" s="1"/>
  <c r="C14" i="15"/>
  <c r="C16" i="44"/>
  <c r="F35" i="15"/>
  <c r="M21"/>
  <c r="H72" i="39" l="1"/>
  <c r="I70"/>
  <c r="C17" i="44"/>
  <c r="C20"/>
  <c r="C15" i="15"/>
  <c r="C18"/>
  <c r="T16" i="1"/>
  <c r="C34" i="15"/>
  <c r="F62"/>
  <c r="C61" s="1"/>
  <c r="J20"/>
  <c r="R16" i="1"/>
  <c r="C18" i="43"/>
  <c r="C19" s="1"/>
  <c r="C25" s="1"/>
  <c r="C24" s="1"/>
  <c r="R27" i="6"/>
  <c r="I6"/>
  <c r="I5"/>
  <c r="C50" i="34"/>
  <c r="B3" s="1"/>
  <c r="B2" s="1"/>
  <c r="C49"/>
  <c r="H67" i="40"/>
  <c r="I65"/>
  <c r="L52" i="37"/>
  <c r="K48" i="35"/>
  <c r="E54" i="34"/>
  <c r="F54" s="1"/>
  <c r="E53"/>
  <c r="F53" s="1"/>
  <c r="I54"/>
  <c r="J54" s="1"/>
  <c r="B3" i="67"/>
  <c r="B4"/>
  <c r="I72" i="39" l="1"/>
  <c r="J70"/>
  <c r="C21" i="44"/>
  <c r="C22" s="1"/>
  <c r="C28" s="1"/>
  <c r="C19" i="15"/>
  <c r="C20" s="1"/>
  <c r="C26" s="1"/>
  <c r="C22" i="43"/>
  <c r="C21" s="1"/>
  <c r="C28" s="1"/>
  <c r="C30" s="1"/>
  <c r="C32" s="1"/>
  <c r="B2" s="1"/>
  <c r="B3" s="1"/>
  <c r="C33" i="15"/>
  <c r="C31" s="1"/>
  <c r="I67" i="40"/>
  <c r="J65"/>
  <c r="L48" i="35"/>
  <c r="M52" i="37"/>
  <c r="J72" i="39" l="1"/>
  <c r="K70"/>
  <c r="C25" i="44"/>
  <c r="C31" s="1"/>
  <c r="Q51" s="1"/>
  <c r="C23" i="15"/>
  <c r="C29" s="1"/>
  <c r="B5" i="43"/>
  <c r="B4"/>
  <c r="C60" i="15"/>
  <c r="C58" s="1"/>
  <c r="J67" i="40"/>
  <c r="K65"/>
  <c r="N52" i="37"/>
  <c r="M48" i="35"/>
  <c r="K72" i="39" l="1"/>
  <c r="L70"/>
  <c r="J21" i="44"/>
  <c r="J19" s="1"/>
  <c r="J16"/>
  <c r="J15" s="1"/>
  <c r="J25" s="1"/>
  <c r="C35"/>
  <c r="C33" s="1"/>
  <c r="C15"/>
  <c r="C39" s="1"/>
  <c r="C38"/>
  <c r="J59" i="15"/>
  <c r="J60" s="1"/>
  <c r="Q49" s="1"/>
  <c r="C36"/>
  <c r="J19"/>
  <c r="J17" s="1"/>
  <c r="C13"/>
  <c r="C56"/>
  <c r="C63" s="1"/>
  <c r="Q50"/>
  <c r="J14"/>
  <c r="L57"/>
  <c r="L60" s="1"/>
  <c r="N48" i="35"/>
  <c r="O52" i="37"/>
  <c r="J7" s="1"/>
  <c r="F7"/>
  <c r="H7"/>
  <c r="L65" i="40"/>
  <c r="K67"/>
  <c r="M70" i="39" l="1"/>
  <c r="L72"/>
  <c r="C32" i="44"/>
  <c r="C42" s="1"/>
  <c r="Q71" s="1"/>
  <c r="J24"/>
  <c r="J18" s="1"/>
  <c r="J27" s="1"/>
  <c r="C43"/>
  <c r="Q72"/>
  <c r="J22" i="15"/>
  <c r="J13"/>
  <c r="J23" s="1"/>
  <c r="J35"/>
  <c r="Q71"/>
  <c r="C55"/>
  <c r="C64" s="1"/>
  <c r="C57" s="1"/>
  <c r="C66" s="1"/>
  <c r="C67" s="1"/>
  <c r="C70" s="1"/>
  <c r="C37"/>
  <c r="C30" s="1"/>
  <c r="C39" s="1"/>
  <c r="L46"/>
  <c r="Q58"/>
  <c r="Q67"/>
  <c r="L67" i="40"/>
  <c r="M65"/>
  <c r="AA7" i="37"/>
  <c r="R42" s="1"/>
  <c r="S7"/>
  <c r="U7"/>
  <c r="AB7"/>
  <c r="T42" s="1"/>
  <c r="G42" s="1"/>
  <c r="W7"/>
  <c r="AC7"/>
  <c r="V42" s="1"/>
  <c r="I42" s="1"/>
  <c r="O48" i="35"/>
  <c r="F7" s="1"/>
  <c r="H7"/>
  <c r="L51" i="15"/>
  <c r="C44" i="44" l="1"/>
  <c r="C45" s="1"/>
  <c r="B2" s="1"/>
  <c r="B5" s="1"/>
  <c r="J7" i="35"/>
  <c r="M72" i="39"/>
  <c r="N70"/>
  <c r="N72" s="1"/>
  <c r="J9" s="1"/>
  <c r="Q70" i="44"/>
  <c r="J16" i="15"/>
  <c r="J25" s="1"/>
  <c r="Q68"/>
  <c r="J39"/>
  <c r="J40" s="1"/>
  <c r="C40"/>
  <c r="Q70"/>
  <c r="Q69" s="1"/>
  <c r="AB7" i="35"/>
  <c r="T38" s="1"/>
  <c r="G38" s="1"/>
  <c r="U7"/>
  <c r="S7"/>
  <c r="AA7"/>
  <c r="R38" s="1"/>
  <c r="N65" i="40"/>
  <c r="N67" s="1"/>
  <c r="M67"/>
  <c r="AC7" i="35"/>
  <c r="V38" s="1"/>
  <c r="I38" s="1"/>
  <c r="W7"/>
  <c r="I46" i="37"/>
  <c r="J46" s="1"/>
  <c r="G46"/>
  <c r="H46" s="1"/>
  <c r="G47"/>
  <c r="H47" s="1"/>
  <c r="R43"/>
  <c r="E42"/>
  <c r="B3" i="44" l="1"/>
  <c r="B4"/>
  <c r="H9" i="39"/>
  <c r="U9" s="1"/>
  <c r="F9"/>
  <c r="AA9" s="1"/>
  <c r="R49" s="1"/>
  <c r="AC9"/>
  <c r="V49" s="1"/>
  <c r="I49" s="1"/>
  <c r="W9"/>
  <c r="Q48" i="15"/>
  <c r="Q54" s="1"/>
  <c r="Q66"/>
  <c r="Q76" s="1"/>
  <c r="C43"/>
  <c r="Q57"/>
  <c r="Q63" s="1"/>
  <c r="J42"/>
  <c r="J43" s="1"/>
  <c r="C46"/>
  <c r="B2"/>
  <c r="E46" i="37"/>
  <c r="F46" s="1"/>
  <c r="E47"/>
  <c r="F47" s="1"/>
  <c r="I47"/>
  <c r="J47" s="1"/>
  <c r="E38" i="35"/>
  <c r="R39"/>
  <c r="C43" i="37"/>
  <c r="B3" s="1"/>
  <c r="B2" s="1"/>
  <c r="C42"/>
  <c r="I42" i="35"/>
  <c r="J42" s="1"/>
  <c r="I43"/>
  <c r="J43" s="1"/>
  <c r="H9" i="40"/>
  <c r="J9"/>
  <c r="F9"/>
  <c r="G43" i="35"/>
  <c r="H43" s="1"/>
  <c r="G42"/>
  <c r="H42" s="1"/>
  <c r="S9" i="39" l="1"/>
  <c r="AB9"/>
  <c r="T49" s="1"/>
  <c r="G49" s="1"/>
  <c r="G54" s="1"/>
  <c r="H54" s="1"/>
  <c r="I53"/>
  <c r="J53" s="1"/>
  <c r="E49"/>
  <c r="D10" i="12"/>
  <c r="C6" s="1"/>
  <c r="B3" i="15"/>
  <c r="D8" i="12" s="1"/>
  <c r="S9" i="40"/>
  <c r="AA9"/>
  <c r="R44" s="1"/>
  <c r="U9"/>
  <c r="AB9"/>
  <c r="T44" s="1"/>
  <c r="G44" s="1"/>
  <c r="E43" i="35"/>
  <c r="F43" s="1"/>
  <c r="E42"/>
  <c r="F42" s="1"/>
  <c r="W9" i="40"/>
  <c r="AC9"/>
  <c r="V44" s="1"/>
  <c r="I44" s="1"/>
  <c r="C38" i="35"/>
  <c r="C39"/>
  <c r="B3" s="1"/>
  <c r="B2" s="1"/>
  <c r="R50" i="39" l="1"/>
  <c r="C49" s="1"/>
  <c r="G53"/>
  <c r="H53" s="1"/>
  <c r="E54"/>
  <c r="F54" s="1"/>
  <c r="E53"/>
  <c r="F53" s="1"/>
  <c r="I54"/>
  <c r="J54" s="1"/>
  <c r="C24" i="12"/>
  <c r="C29"/>
  <c r="G49" i="40"/>
  <c r="H49" s="1"/>
  <c r="G48"/>
  <c r="H48" s="1"/>
  <c r="E44"/>
  <c r="I49" s="1"/>
  <c r="J49" s="1"/>
  <c r="R45"/>
  <c r="I48"/>
  <c r="J48" s="1"/>
  <c r="C50" i="39" l="1"/>
  <c r="B65" s="1"/>
  <c r="F65" s="1"/>
  <c r="C28" i="12"/>
  <c r="C26" s="1"/>
  <c r="C31" s="1"/>
  <c r="C30" s="1"/>
  <c r="C35"/>
  <c r="C33" s="1"/>
  <c r="C44" i="40"/>
  <c r="C45"/>
  <c r="E48"/>
  <c r="F48" s="1"/>
  <c r="E49"/>
  <c r="F49" s="1"/>
  <c r="B61" i="39" l="1"/>
  <c r="F61" s="1"/>
  <c r="B62"/>
  <c r="F62" s="1"/>
  <c r="B67"/>
  <c r="F67" s="1"/>
  <c r="B66"/>
  <c r="F66" s="1"/>
  <c r="B60"/>
  <c r="F60" s="1"/>
  <c r="B59"/>
  <c r="F59" s="1"/>
  <c r="B58"/>
  <c r="F58" s="1"/>
  <c r="B64"/>
  <c r="F64" s="1"/>
  <c r="B63"/>
  <c r="F63" s="1"/>
  <c r="C36" i="12"/>
  <c r="B2" s="1"/>
  <c r="B3" s="1"/>
  <c r="B61" i="40"/>
  <c r="F61" s="1"/>
  <c r="B53"/>
  <c r="F53" s="1"/>
  <c r="B58"/>
  <c r="F58" s="1"/>
  <c r="B57"/>
  <c r="F57" s="1"/>
  <c r="B59"/>
  <c r="F59" s="1"/>
  <c r="F63"/>
  <c r="B2" s="1"/>
  <c r="B54"/>
  <c r="F54" s="1"/>
  <c r="B56"/>
  <c r="F56" s="1"/>
  <c r="B55"/>
  <c r="F55" s="1"/>
  <c r="B60"/>
  <c r="F60" s="1"/>
  <c r="B62"/>
  <c r="F62" s="1"/>
  <c r="C19" i="9"/>
  <c r="C20"/>
  <c r="F68" i="39" l="1"/>
  <c r="B2" s="1"/>
  <c r="B5" s="1"/>
  <c r="L43" i="9"/>
  <c r="B5" i="12"/>
  <c r="B4"/>
  <c r="B5" i="40"/>
  <c r="B4"/>
  <c r="B3"/>
  <c r="D19" i="9"/>
  <c r="C21"/>
  <c r="B3" i="39" l="1"/>
  <c r="B4"/>
  <c r="L44" i="9"/>
  <c r="G19"/>
  <c r="D22"/>
  <c r="D20"/>
  <c r="D21"/>
  <c r="G22" l="1"/>
  <c r="H8" i="70"/>
  <c r="G20" i="9"/>
  <c r="G21"/>
  <c r="N43"/>
  <c r="C32"/>
  <c r="C35" s="1"/>
  <c r="F42" s="1"/>
  <c r="C33" l="1"/>
  <c r="N38" s="1"/>
  <c r="K28" s="1"/>
  <c r="C34"/>
  <c r="M38" s="1"/>
  <c r="K27" s="1"/>
  <c r="C42"/>
  <c r="C44" s="1"/>
  <c r="G14" i="66" s="1"/>
  <c r="O43" i="9"/>
  <c r="O38"/>
  <c r="K26" s="1"/>
  <c r="R5" i="54"/>
  <c r="B48" i="63" s="1"/>
  <c r="E42" i="9" l="1"/>
  <c r="P5" i="54" s="1"/>
  <c r="B46" i="63" s="1"/>
  <c r="D14" i="66"/>
  <c r="N68" i="9"/>
  <c r="D63"/>
  <c r="C96" s="1"/>
  <c r="C91" s="1"/>
  <c r="D42"/>
  <c r="Q5" i="54" s="1"/>
  <c r="B47" i="63" s="1"/>
  <c r="D44" i="9"/>
  <c r="E44"/>
  <c r="O39"/>
  <c r="R6" i="54" s="1"/>
  <c r="B50" i="63" s="1"/>
  <c r="K25" i="9"/>
  <c r="F44"/>
  <c r="N69"/>
  <c r="M86" s="1"/>
  <c r="N86" s="1"/>
  <c r="K29"/>
  <c r="K30" s="1"/>
  <c r="F14" i="66" l="1"/>
  <c r="E14"/>
  <c r="D77" i="9"/>
  <c r="N75" s="1"/>
  <c r="D71"/>
  <c r="D66" s="1"/>
  <c r="N72" s="1"/>
  <c r="C111"/>
  <c r="C104" s="1"/>
  <c r="C103"/>
  <c r="D70"/>
  <c r="C90"/>
  <c r="C97" s="1"/>
  <c r="C98" s="1"/>
  <c r="E98" s="1"/>
  <c r="E99" s="1"/>
  <c r="C82"/>
  <c r="C81" s="1"/>
  <c r="C85" s="1"/>
  <c r="C86" s="1"/>
  <c r="D72" s="1"/>
  <c r="M87"/>
  <c r="N87" s="1"/>
  <c r="M83"/>
  <c r="N83" s="1"/>
  <c r="M84"/>
  <c r="N84" s="1"/>
  <c r="M85"/>
  <c r="N85" s="1"/>
  <c r="M88"/>
  <c r="N88" s="1"/>
  <c r="E23" i="66" l="1"/>
  <c r="F23"/>
  <c r="C113" i="9"/>
  <c r="C114" s="1"/>
  <c r="E114" s="1"/>
  <c r="E115" s="1"/>
  <c r="N89"/>
  <c r="O89" s="1"/>
  <c r="C99"/>
  <c r="C115" l="1"/>
  <c r="D76" s="1"/>
  <c r="D74" s="1"/>
  <c r="N74" s="1"/>
  <c r="O77" s="1"/>
  <c r="O78" s="1"/>
  <c r="Q77" l="1"/>
  <c r="O79"/>
  <c r="O81" s="1"/>
  <c r="O80" l="1"/>
  <c r="D17" i="66" l="1"/>
  <c r="F17" s="1"/>
  <c r="G17" l="1"/>
  <c r="E17"/>
  <c r="H10" i="70" l="1"/>
  <c r="D16" i="66" l="1"/>
  <c r="F16" l="1"/>
  <c r="E16"/>
  <c r="G16"/>
  <c r="H9" i="70" l="1"/>
  <c r="H12" s="1"/>
  <c r="D15" i="66" l="1"/>
  <c r="G15" l="1"/>
  <c r="B6" s="1"/>
  <c r="E15"/>
  <c r="F15"/>
  <c r="B5"/>
  <c r="C6" l="1"/>
  <c r="D6"/>
  <c r="C5"/>
  <c r="D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<sst xmlns="http://schemas.openxmlformats.org/spreadsheetml/2006/main" count="7883" uniqueCount="3386">
  <si>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</si>
  <si>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</si>
  <si>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</si>
  <si>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</si>
  <si>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</si>
  <si>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</si>
  <si>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</si>
  <si>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</si>
  <si>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</si>
  <si>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</si>
  <si>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</si>
  <si>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</si>
  <si>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</si>
  <si>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</si>
  <si>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</si>
  <si>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</si>
  <si>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</si>
  <si>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</si>
  <si>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</si>
  <si>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</si>
  <si>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</si>
  <si>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</si>
  <si>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</si>
  <si>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</si>
  <si>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</si>
  <si>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</si>
  <si>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</si>
  <si>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</si>
  <si>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</si>
  <si>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</si>
  <si>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</si>
  <si>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</si>
  <si>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</si>
  <si>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</si>
  <si>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</si>
  <si>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</si>
  <si>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</si>
  <si>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</si>
  <si>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</si>
  <si>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</si>
  <si>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</si>
  <si>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</si>
  <si>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</si>
  <si>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</si>
  <si>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</si>
  <si>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</si>
  <si>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</si>
  <si>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</si>
  <si>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</si>
  <si>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</si>
  <si>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</si>
  <si>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</si>
  <si>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</si>
  <si>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</si>
  <si>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</si>
  <si>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</si>
  <si>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</si>
  <si>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</si>
  <si>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</si>
  <si>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</si>
  <si>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</si>
  <si>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</si>
  <si>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</si>
  <si>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</si>
  <si>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</si>
  <si>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</si>
  <si>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</si>
  <si>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</si>
  <si>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</si>
  <si>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</si>
  <si>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</si>
  <si>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</si>
  <si>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</si>
  <si>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</si>
  <si>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</si>
  <si>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</si>
  <si>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</si>
  <si>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</si>
  <si>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</si>
  <si>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</si>
  <si>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</si>
  <si>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</si>
  <si>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</si>
  <si>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</si>
  <si>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</si>
  <si>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</si>
  <si>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</si>
  <si>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</si>
  <si>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</si>
  <si>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</si>
  <si>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</si>
  <si>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</si>
  <si>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</si>
  <si>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</si>
  <si>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</si>
  <si>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</si>
  <si>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</si>
  <si>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</si>
  <si>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</si>
  <si>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</si>
  <si>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</si>
  <si>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</si>
  <si>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</si>
  <si>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</si>
  <si>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</si>
  <si>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</si>
  <si>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</si>
  <si>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</si>
  <si>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</si>
  <si>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</si>
  <si>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</si>
  <si>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</si>
  <si>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</si>
  <si>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</si>
  <si>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</si>
  <si>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</si>
  <si>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</si>
  <si>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</si>
  <si>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</si>
  <si>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</si>
  <si>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</si>
  <si>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</si>
  <si>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</si>
  <si>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</si>
  <si>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</si>
  <si>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</si>
  <si>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</si>
  <si>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</si>
  <si>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</si>
  <si>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</si>
  <si>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</si>
  <si>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</si>
  <si>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</si>
  <si>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</si>
  <si>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</si>
  <si>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</si>
  <si>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</si>
  <si>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</si>
  <si>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</si>
  <si>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</si>
  <si>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</si>
  <si>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</si>
  <si>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</si>
  <si>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</si>
  <si>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</si>
  <si>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</si>
  <si>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</si>
  <si>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</si>
  <si>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</si>
  <si>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</si>
  <si>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</si>
  <si>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</si>
  <si>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</si>
  <si>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</si>
  <si>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</si>
  <si>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</si>
  <si>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</si>
  <si>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</si>
  <si>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</si>
  <si>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</si>
  <si>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</si>
  <si>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</si>
  <si>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</si>
  <si>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</si>
  <si>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</si>
  <si>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</si>
  <si>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</si>
  <si>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</si>
  <si>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</si>
  <si>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</si>
  <si>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</si>
  <si>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</si>
  <si>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</si>
  <si>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</si>
  <si>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</si>
  <si>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</si>
  <si>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</si>
  <si>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</si>
  <si>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</si>
  <si>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</si>
  <si>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</si>
  <si>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</si>
  <si>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</si>
  <si>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</si>
  <si>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</si>
  <si>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</si>
  <si>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</si>
  <si>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</si>
  <si>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</si>
  <si>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</si>
  <si>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</si>
  <si>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</si>
  <si>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</si>
  <si>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</si>
  <si>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</si>
  <si>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</si>
  <si>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</si>
  <si>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</si>
  <si>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</si>
  <si>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</si>
  <si>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</si>
  <si>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</si>
  <si>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</si>
  <si>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</si>
  <si>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</si>
  <si>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</si>
  <si>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</si>
  <si>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</si>
  <si>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</si>
  <si>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</si>
  <si>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</si>
  <si>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</si>
  <si>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</si>
  <si>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</si>
  <si>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</si>
  <si>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</si>
  <si>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</si>
  <si>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</si>
  <si>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</si>
  <si>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</si>
  <si>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</si>
  <si>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</si>
  <si>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</si>
  <si>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</si>
  <si>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</si>
  <si>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</si>
  <si>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</si>
  <si>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</si>
  <si>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</si>
  <si>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</si>
  <si>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</si>
  <si>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</si>
  <si>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</si>
  <si>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</si>
  <si>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</si>
  <si>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</si>
  <si>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</si>
  <si>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</si>
  <si>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</si>
  <si>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</si>
  <si>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</si>
  <si>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</si>
  <si>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</si>
  <si>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</si>
  <si>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</si>
  <si>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</si>
  <si>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</si>
  <si>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</si>
  <si>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</si>
  <si>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</si>
  <si>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</si>
  <si>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</si>
  <si>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</si>
  <si>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</si>
  <si>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</si>
  <si>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</si>
  <si>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</si>
  <si>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</si>
  <si>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</si>
  <si>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</si>
  <si>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</si>
  <si>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</si>
  <si>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</si>
  <si>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</si>
  <si>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</si>
  <si>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</si>
  <si>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</si>
  <si>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</si>
  <si>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</si>
  <si>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</si>
  <si>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</si>
  <si>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</si>
  <si>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</si>
  <si>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</si>
  <si>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</si>
  <si>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</si>
  <si>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</si>
  <si>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</si>
  <si>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</si>
  <si>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</si>
  <si>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</si>
  <si>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</si>
  <si>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</si>
  <si>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</si>
  <si>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</si>
  <si>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</si>
  <si>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</si>
  <si>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</si>
  <si>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</si>
  <si>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</si>
  <si>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</si>
  <si>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</si>
  <si>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</si>
  <si>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</si>
  <si>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</si>
  <si>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</si>
  <si>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</si>
  <si>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</si>
  <si>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</si>
  <si>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</si>
  <si>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</si>
  <si>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</si>
  <si>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</si>
  <si>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</si>
  <si>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</si>
  <si>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</si>
  <si>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</si>
  <si>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</si>
  <si>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</si>
  <si>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</si>
  <si>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</si>
  <si>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</si>
  <si>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</si>
  <si>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</si>
  <si>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</si>
  <si>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</si>
  <si>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</si>
  <si>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</si>
  <si>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</si>
  <si>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</si>
  <si>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</si>
  <si>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</si>
  <si>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</si>
  <si>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</si>
  <si>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</si>
  <si>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</si>
  <si>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</si>
  <si>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</si>
  <si>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</si>
  <si>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</si>
  <si>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</si>
  <si>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</si>
  <si>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</si>
  <si>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</si>
  <si>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</si>
  <si>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</si>
  <si>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</si>
  <si>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</si>
  <si>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</si>
  <si>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</si>
  <si>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</si>
  <si>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</si>
  <si>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</si>
  <si>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</si>
  <si>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</si>
  <si>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</si>
  <si>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</si>
  <si>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</si>
  <si>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</si>
  <si>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</si>
  <si>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</si>
  <si>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</si>
  <si>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</si>
  <si>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</si>
  <si>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</si>
  <si>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</si>
  <si>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</si>
  <si>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</si>
  <si>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</si>
  <si>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</si>
  <si>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</si>
  <si>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</si>
  <si>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</si>
  <si>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</si>
  <si>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</si>
  <si>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</si>
  <si>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</si>
  <si>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</si>
  <si>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</si>
  <si>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</si>
  <si>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</si>
  <si>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</si>
  <si>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</si>
  <si>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</si>
  <si>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</si>
  <si>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</si>
  <si>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</si>
  <si>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</si>
  <si>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</si>
  <si>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</si>
  <si>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</si>
  <si>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</si>
  <si>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</si>
  <si>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</si>
  <si>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</si>
  <si>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</si>
  <si>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</si>
  <si>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</si>
  <si>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</si>
  <si>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</si>
  <si>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</si>
  <si>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</si>
  <si>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</si>
  <si>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</si>
  <si>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</si>
  <si>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</si>
  <si>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</si>
  <si>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</si>
  <si>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</si>
  <si>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</si>
  <si>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</si>
  <si>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</si>
  <si>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</si>
  <si>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</si>
  <si>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</si>
  <si>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</si>
  <si>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</si>
  <si>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</si>
  <si>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</si>
  <si>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</si>
  <si>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</si>
  <si>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</si>
  <si>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</si>
  <si>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</si>
  <si>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</si>
  <si>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</si>
  <si>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</si>
  <si>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</si>
  <si>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</si>
  <si>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</si>
  <si>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</si>
  <si>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</si>
  <si>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</si>
  <si>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</si>
  <si>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</si>
  <si>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</si>
  <si>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</si>
  <si>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</si>
  <si>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</si>
  <si>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</si>
  <si>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</si>
  <si>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</si>
  <si>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</si>
  <si>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</si>
  <si>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</si>
  <si>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</si>
  <si>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</si>
  <si>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</si>
  <si>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</si>
  <si>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</si>
  <si>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</si>
  <si>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</si>
  <si>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</si>
  <si>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</si>
  <si>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</si>
  <si>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</si>
  <si>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</si>
  <si>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</si>
  <si>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</si>
  <si>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</si>
  <si>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</si>
  <si>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</si>
  <si>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</si>
  <si>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</si>
  <si>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</si>
  <si>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</si>
  <si>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</si>
  <si>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</si>
  <si>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</si>
  <si>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</si>
  <si>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</si>
  <si>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</si>
  <si>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</si>
  <si>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</si>
  <si>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</si>
  <si>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</si>
  <si>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</si>
  <si>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</si>
  <si>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</si>
  <si>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</si>
  <si>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</si>
  <si>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</si>
  <si>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</si>
  <si>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</si>
  <si>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</si>
  <si>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</si>
  <si>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</si>
  <si>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</si>
  <si>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</si>
  <si>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</si>
  <si>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</si>
  <si>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</si>
  <si>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</si>
  <si>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</si>
  <si>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</si>
  <si>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</si>
  <si>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</si>
  <si>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</si>
  <si>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</si>
  <si>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</si>
  <si>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</si>
  <si>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</si>
  <si>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</si>
  <si>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</si>
  <si>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</si>
  <si>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</si>
  <si>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</si>
  <si>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</si>
  <si>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</si>
  <si>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</si>
  <si>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</si>
  <si>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</si>
  <si>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</si>
  <si>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</si>
  <si>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</si>
  <si>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</si>
  <si>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</si>
  <si>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</si>
  <si>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</si>
  <si>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</si>
  <si>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</si>
  <si>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</si>
  <si>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</si>
  <si>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</si>
  <si>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</si>
  <si>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</si>
  <si>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</si>
  <si>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</si>
  <si>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</si>
  <si>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</si>
  <si>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</si>
  <si>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</si>
  <si>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</si>
  <si>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</si>
  <si>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</si>
  <si>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</si>
  <si>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</si>
  <si>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</si>
  <si>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</si>
  <si>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</si>
  <si>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</si>
  <si>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</si>
  <si>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</si>
  <si>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</si>
  <si>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</si>
  <si>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</si>
  <si>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</si>
  <si>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</si>
  <si>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</si>
  <si>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</si>
  <si>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</si>
  <si>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</si>
  <si>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</si>
  <si>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</si>
  <si>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</si>
  <si>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</si>
  <si>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</si>
  <si>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</si>
  <si>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</si>
  <si>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</si>
  <si>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</si>
  <si>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</si>
  <si>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</si>
  <si>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</si>
  <si>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</si>
  <si>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</si>
  <si>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</si>
  <si>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</si>
  <si>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</si>
  <si>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</si>
  <si>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</si>
  <si>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</si>
  <si>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</si>
  <si>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</si>
  <si>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</si>
  <si>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</si>
  <si>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</si>
  <si>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</si>
  <si>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</si>
  <si>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</si>
  <si>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</si>
  <si>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</si>
  <si>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</si>
  <si>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</si>
  <si>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</si>
  <si>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</si>
  <si>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</si>
  <si>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</si>
  <si>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</si>
  <si>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</si>
  <si>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</si>
  <si>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</si>
  <si>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</si>
  <si>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</si>
  <si>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</si>
  <si>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</si>
  <si>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</si>
  <si>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</si>
  <si>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</si>
  <si>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</si>
  <si>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</si>
  <si>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</si>
  <si>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</si>
  <si>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</si>
  <si>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</si>
  <si>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</si>
  <si>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</si>
  <si>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</si>
  <si>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</si>
  <si>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</si>
  <si>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</si>
  <si>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</si>
  <si>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</si>
  <si>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</si>
  <si>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</si>
  <si>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</si>
  <si>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</si>
  <si>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</si>
  <si>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</si>
  <si>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</si>
  <si>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</si>
  <si>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</si>
  <si>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</si>
  <si>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</si>
  <si>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</si>
  <si>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</si>
  <si>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</si>
  <si>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</si>
  <si>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</si>
  <si>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</si>
  <si>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</si>
  <si>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</si>
  <si>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</si>
  <si>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</si>
  <si>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</si>
  <si>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</si>
  <si>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</si>
  <si>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</si>
  <si>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</si>
  <si>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</si>
  <si>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</si>
  <si>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</si>
  <si>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</si>
  <si>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</si>
  <si>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</si>
  <si>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</si>
  <si>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</si>
  <si>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</si>
  <si>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</si>
  <si>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</si>
  <si>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</si>
  <si>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</si>
  <si>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</si>
  <si>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</si>
  <si>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</si>
  <si>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</si>
  <si>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</si>
  <si>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</si>
  <si>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</si>
  <si>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</si>
  <si>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</si>
  <si>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</si>
  <si>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</si>
  <si>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</si>
  <si>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</si>
  <si>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</si>
  <si>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</si>
  <si>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</si>
  <si>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</si>
  <si>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</si>
  <si>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</si>
  <si>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</si>
  <si>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</si>
  <si>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</si>
  <si>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</si>
  <si>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</si>
  <si>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</si>
  <si>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</si>
  <si>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</si>
  <si>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</si>
  <si>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</si>
  <si>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</si>
  <si>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</si>
  <si>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</si>
  <si>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</si>
  <si>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</si>
  <si>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</si>
  <si>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</si>
  <si>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</si>
  <si>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</si>
  <si>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</si>
  <si>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</si>
  <si>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</si>
  <si>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</si>
  <si>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</si>
  <si>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</si>
  <si>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</si>
  <si>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</si>
  <si>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</si>
  <si>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</si>
  <si>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</si>
  <si>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</si>
  <si>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</si>
  <si>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</si>
  <si>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</si>
  <si>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</si>
  <si>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</si>
  <si>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</si>
  <si>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</si>
  <si>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</si>
  <si>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</si>
  <si>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</si>
  <si>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</si>
  <si>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</si>
  <si>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</si>
  <si>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</si>
  <si>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</si>
  <si>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</si>
  <si>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</si>
  <si>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</si>
  <si>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</si>
  <si>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</si>
  <si>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</si>
  <si>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</si>
  <si>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</si>
  <si>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</si>
  <si>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</si>
  <si>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</si>
  <si>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</si>
  <si>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</si>
  <si>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</si>
  <si>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</si>
  <si>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</si>
  <si>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</si>
  <si>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</si>
  <si>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</si>
  <si>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</si>
  <si>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</si>
  <si>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</si>
  <si>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</si>
  <si>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</si>
  <si>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</si>
  <si>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</si>
  <si>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</si>
  <si>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</si>
  <si>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</si>
  <si>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</si>
  <si>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</si>
  <si>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</si>
  <si>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</si>
  <si>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</si>
  <si>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</si>
  <si>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</si>
  <si>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</si>
  <si>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</si>
  <si>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</si>
  <si>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</si>
  <si>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</si>
  <si>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</si>
  <si>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</si>
  <si>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</si>
  <si>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</si>
  <si>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</si>
  <si>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</si>
  <si>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</si>
  <si>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</si>
  <si>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</si>
  <si>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</si>
  <si>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</si>
  <si>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</si>
  <si>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</si>
  <si>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</si>
  <si>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</si>
  <si>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</si>
  <si>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</si>
  <si>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</si>
  <si>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</si>
  <si>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</si>
  <si>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</si>
  <si>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</si>
  <si>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</si>
  <si>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</si>
  <si>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</si>
  <si>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</si>
  <si>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</si>
  <si>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</si>
  <si>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</si>
  <si>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</si>
  <si>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</si>
  <si>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</si>
  <si>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</si>
  <si>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</si>
  <si>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</si>
  <si>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</si>
  <si>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</si>
  <si>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</si>
  <si>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</si>
  <si>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</si>
  <si>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</si>
  <si>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</si>
  <si>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</si>
  <si>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</si>
  <si>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</si>
  <si>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</si>
  <si>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</si>
  <si>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</si>
  <si>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</si>
  <si>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</si>
  <si>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</si>
  <si>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</si>
  <si>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</si>
  <si>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</si>
  <si>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</si>
  <si>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</si>
  <si>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</si>
  <si>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</si>
  <si>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</si>
  <si>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</si>
  <si>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</si>
  <si>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</si>
  <si>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</si>
  <si>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</si>
  <si>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</si>
  <si>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</si>
  <si>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</si>
  <si>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</si>
  <si>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</si>
  <si>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</si>
  <si>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</si>
  <si>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</si>
  <si>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</si>
  <si>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</si>
  <si>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</si>
  <si>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</si>
  <si>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</si>
  <si>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</si>
  <si>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</si>
  <si>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</si>
  <si>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</si>
  <si>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</si>
  <si>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</si>
  <si>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</si>
  <si>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</si>
  <si>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</si>
  <si>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</si>
  <si>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</si>
  <si>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</si>
  <si>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</si>
  <si>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</si>
  <si>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</si>
  <si>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</si>
  <si>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</si>
  <si>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</si>
  <si>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</si>
  <si>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</si>
  <si>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</si>
  <si>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</si>
  <si>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</si>
  <si>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</si>
  <si>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</si>
  <si>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</si>
  <si>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</si>
  <si>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</si>
  <si>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</si>
  <si>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</si>
  <si>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</si>
  <si>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</si>
  <si>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</si>
  <si>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</si>
  <si>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</si>
  <si>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</si>
  <si>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</si>
  <si>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</si>
  <si>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</si>
  <si>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</si>
  <si>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</si>
  <si>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</si>
  <si>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</si>
  <si>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</si>
  <si>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</si>
  <si>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</si>
  <si>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</si>
  <si>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</si>
  <si>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</si>
  <si>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</si>
  <si>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</si>
  <si>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</si>
  <si>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</si>
  <si>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</si>
  <si>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</si>
  <si>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</si>
  <si>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</si>
  <si>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</si>
  <si>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</si>
  <si>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</si>
  <si>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</si>
  <si>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</si>
  <si>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</si>
  <si>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</si>
  <si>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</si>
  <si>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</si>
  <si>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</si>
  <si>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</si>
  <si>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</si>
  <si>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</si>
  <si>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</si>
  <si>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</si>
  <si>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</si>
  <si>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</si>
  <si>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</si>
  <si>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</si>
  <si>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</si>
  <si>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</si>
  <si>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</si>
  <si>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</si>
  <si>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</si>
  <si>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</si>
  <si>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</si>
  <si>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</si>
  <si>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</si>
  <si>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</si>
  <si>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</si>
  <si>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</si>
  <si>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</si>
  <si>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</si>
  <si>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</si>
  <si>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</si>
  <si>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</si>
  <si>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</si>
  <si>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</si>
  <si>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</si>
  <si>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</si>
  <si>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</si>
  <si>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</si>
  <si>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</si>
  <si>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</si>
  <si>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</si>
  <si>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</si>
  <si>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</si>
  <si>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</si>
  <si>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</si>
  <si>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</si>
  <si>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</si>
  <si>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</si>
  <si>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</si>
  <si>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</si>
  <si>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</si>
  <si>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</si>
  <si>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</si>
  <si>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</si>
  <si>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</si>
  <si>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</si>
  <si>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</si>
  <si>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</si>
  <si>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</si>
  <si>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</si>
  <si>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</si>
  <si>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</si>
  <si>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</si>
  <si>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</si>
  <si>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</si>
  <si>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</si>
  <si>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</si>
  <si>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</si>
  <si>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</si>
  <si>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</si>
  <si>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</si>
  <si>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</si>
  <si>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</si>
  <si>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</si>
  <si>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</si>
  <si>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</si>
  <si>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</si>
  <si>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</si>
  <si>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</si>
  <si>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</si>
  <si>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</si>
  <si>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</si>
  <si>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</si>
  <si>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</si>
  <si>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</si>
  <si>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</si>
  <si>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</si>
  <si>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</si>
  <si>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</si>
  <si>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</si>
  <si>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</si>
  <si>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</si>
  <si>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</si>
  <si>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</si>
  <si>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</si>
  <si>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</si>
  <si>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</si>
  <si>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</si>
  <si>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</si>
  <si>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</si>
  <si>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</si>
  <si>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</si>
  <si>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</si>
  <si>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</si>
  <si>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</si>
  <si>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</si>
  <si>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</si>
  <si>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</si>
  <si>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</si>
  <si>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</si>
  <si>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</si>
  <si>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</si>
  <si>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</si>
  <si>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</si>
  <si>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</si>
  <si>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</si>
  <si>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</si>
  <si>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</si>
  <si>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</si>
  <si>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</si>
  <si>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</si>
  <si>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</si>
  <si>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</si>
  <si>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</si>
  <si>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</si>
  <si>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</si>
  <si>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</si>
  <si>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</si>
  <si>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</si>
  <si>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</si>
  <si>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</si>
  <si>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</si>
  <si>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</si>
  <si>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</si>
  <si>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</si>
  <si>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</si>
  <si>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</si>
  <si>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</si>
  <si>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</si>
  <si>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</si>
  <si>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</si>
  <si>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</si>
  <si>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</si>
  <si>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</si>
  <si>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</si>
  <si>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</si>
  <si>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</si>
  <si>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</si>
  <si>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</si>
  <si>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</si>
  <si>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</si>
  <si>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</si>
  <si>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</si>
  <si>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</si>
  <si>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</si>
  <si>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</si>
  <si>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</si>
  <si>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</si>
  <si>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</si>
  <si>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</si>
  <si>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</si>
  <si>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</si>
  <si>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</si>
  <si>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</si>
  <si>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</si>
  <si>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</si>
  <si>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</si>
  <si>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</si>
  <si>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</si>
  <si>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</si>
  <si>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</si>
  <si>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</si>
  <si>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</si>
  <si>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</si>
  <si>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</si>
  <si>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</si>
  <si>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</si>
  <si>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</si>
  <si>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</si>
  <si>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</si>
  <si>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</si>
  <si>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</si>
  <si>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</si>
  <si>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</si>
  <si>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</si>
  <si>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</si>
  <si>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</si>
  <si>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</si>
  <si>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</si>
  <si>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</si>
  <si>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</si>
  <si>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</si>
  <si>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</si>
  <si>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</si>
  <si>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</si>
  <si>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</si>
  <si>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</si>
  <si>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</si>
  <si>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</si>
  <si>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</si>
  <si>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</si>
  <si>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</si>
  <si>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</si>
  <si>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</si>
  <si>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</si>
  <si>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</si>
  <si>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</si>
  <si>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</si>
  <si>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</si>
  <si>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</si>
  <si>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</si>
  <si>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</si>
  <si>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</si>
  <si>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</si>
  <si>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</si>
  <si>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</si>
  <si>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</si>
  <si>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</si>
  <si>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</si>
  <si>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</si>
  <si>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</si>
  <si>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</si>
  <si>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</si>
  <si>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</si>
  <si>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</si>
  <si>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</si>
  <si>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</si>
  <si>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</si>
  <si>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</si>
  <si>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</si>
  <si>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</si>
  <si>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</si>
  <si>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</si>
  <si>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</si>
  <si>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</si>
  <si>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</si>
  <si>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</si>
  <si>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</si>
  <si>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</si>
  <si>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</si>
  <si>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</si>
  <si>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</si>
  <si>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</si>
  <si>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</si>
  <si>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</si>
  <si>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</si>
  <si>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</si>
  <si>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</si>
  <si>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</si>
  <si>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</si>
  <si>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</si>
  <si>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</si>
  <si>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</si>
  <si>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</si>
  <si>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</si>
  <si>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</si>
  <si>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</si>
  <si>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</si>
  <si>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</si>
  <si>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</si>
  <si>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</si>
  <si>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</si>
  <si>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</si>
  <si>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</si>
  <si>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</si>
  <si>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</si>
  <si>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</si>
  <si>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</si>
  <si>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</si>
  <si>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</si>
  <si>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</si>
  <si>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</si>
  <si>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</si>
  <si>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</si>
  <si>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</si>
  <si>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</si>
  <si>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</si>
  <si>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</si>
  <si>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</si>
  <si>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</si>
  <si>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</si>
  <si>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</si>
  <si>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</si>
  <si>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</si>
  <si>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</si>
  <si>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</si>
  <si>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</si>
  <si>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</si>
  <si>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</si>
  <si>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</si>
  <si>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</si>
  <si>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</si>
  <si>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</si>
  <si>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</si>
  <si>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</si>
  <si>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</si>
  <si>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</si>
  <si>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</si>
  <si>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</si>
  <si>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</si>
  <si>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</si>
  <si>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</si>
  <si>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</si>
  <si>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</si>
  <si>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</si>
  <si>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</si>
  <si>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</si>
  <si>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</si>
  <si>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</si>
  <si>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</si>
  <si>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</si>
  <si>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</si>
  <si>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</si>
  <si>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</si>
  <si>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</si>
  <si>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</si>
  <si>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</si>
  <si>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</si>
  <si>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</si>
  <si>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</si>
  <si>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</si>
  <si>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</si>
  <si>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</si>
  <si>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</si>
  <si>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</si>
  <si>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</si>
  <si>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</si>
  <si>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</si>
  <si>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</si>
  <si>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</si>
  <si>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</si>
  <si>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</si>
  <si>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</si>
  <si>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</si>
  <si>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</si>
  <si>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</si>
  <si>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</si>
  <si>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</si>
  <si>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</si>
  <si>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</si>
  <si>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</si>
  <si>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</si>
  <si>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</si>
  <si>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</si>
  <si>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</si>
  <si>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</si>
  <si>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</si>
  <si>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</si>
  <si>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</si>
  <si>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</si>
  <si>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</si>
  <si>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</si>
  <si>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</si>
  <si>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</si>
  <si>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</si>
  <si>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</si>
  <si>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</si>
  <si>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</si>
  <si>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</si>
  <si>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</si>
  <si>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</si>
  <si>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</si>
  <si>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</si>
  <si>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</si>
  <si>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</si>
  <si>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</si>
  <si>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</si>
  <si>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</si>
  <si>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</si>
  <si>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</si>
  <si>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</si>
  <si>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</si>
  <si>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</si>
  <si>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</si>
  <si>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</si>
  <si>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</si>
  <si>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</si>
  <si>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</si>
  <si>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</si>
  <si>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</si>
  <si>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</si>
  <si>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</si>
  <si>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</si>
  <si>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</si>
  <si>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</si>
  <si>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</si>
  <si>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</si>
  <si>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</si>
  <si>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</si>
  <si>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</si>
  <si>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</si>
  <si>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</si>
  <si>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</si>
  <si>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</si>
  <si>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</si>
  <si>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</si>
  <si>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</si>
  <si>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</si>
  <si>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</si>
  <si>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</si>
  <si>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</si>
  <si>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</si>
  <si>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</si>
  <si>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</si>
  <si>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</si>
  <si>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</si>
  <si>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</si>
  <si>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</si>
  <si>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</si>
  <si>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</si>
  <si>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</si>
  <si>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</si>
  <si>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</si>
  <si>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</si>
  <si>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</si>
  <si>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</si>
  <si>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</si>
  <si>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</si>
  <si>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</si>
  <si>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</si>
  <si>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</si>
  <si>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</si>
  <si>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</si>
  <si>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</si>
  <si>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</si>
  <si>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</si>
  <si>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</si>
  <si>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</si>
  <si>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</si>
  <si>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</si>
  <si>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</si>
  <si>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</si>
  <si>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</si>
  <si>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</si>
  <si>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</si>
  <si>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</si>
  <si>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</si>
  <si>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</si>
  <si>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</si>
  <si>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</si>
  <si>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</si>
  <si>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</si>
  <si>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</si>
  <si>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</si>
  <si>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</si>
  <si>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</si>
  <si>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</si>
  <si>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</si>
  <si>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</si>
  <si>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</si>
  <si>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</si>
  <si>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</si>
  <si>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</si>
  <si>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</si>
  <si>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</si>
  <si>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</si>
  <si>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</si>
  <si>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</si>
  <si>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</si>
  <si>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</si>
  <si>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</si>
  <si>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</si>
  <si>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</si>
  <si>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</si>
  <si>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</si>
  <si>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</si>
  <si>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</si>
  <si>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</si>
  <si>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</si>
  <si>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</si>
  <si>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</si>
  <si>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</si>
  <si>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</si>
  <si>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</si>
  <si>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</si>
  <si>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</si>
  <si>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</si>
  <si>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</si>
  <si>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</si>
  <si>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</si>
  <si>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</si>
  <si>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</si>
  <si>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</si>
  <si>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</si>
  <si>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</si>
  <si>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</si>
  <si>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</si>
  <si>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</si>
  <si>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</si>
  <si>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</si>
  <si>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</si>
  <si>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</si>
  <si>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</si>
  <si>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</si>
  <si>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</si>
  <si>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</si>
  <si>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</si>
  <si>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</si>
  <si>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</si>
  <si>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</si>
  <si>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</si>
  <si>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</si>
  <si>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</si>
  <si>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</si>
  <si>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</si>
  <si>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</si>
  <si>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</si>
  <si>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</si>
  <si>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</si>
  <si>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</si>
  <si>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</si>
  <si>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</si>
  <si>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</si>
  <si>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</si>
  <si>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</si>
  <si>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</si>
  <si>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</si>
  <si>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</si>
  <si>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</si>
  <si>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</si>
  <si>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</si>
  <si>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</si>
  <si>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</si>
  <si>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</si>
  <si>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</si>
  <si>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</si>
  <si>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</si>
  <si>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</si>
  <si>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</si>
  <si>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</si>
  <si>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</si>
  <si>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</si>
  <si>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</si>
  <si>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</si>
  <si>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</si>
  <si>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</si>
  <si>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</si>
  <si>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</si>
  <si>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</si>
  <si>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</si>
  <si>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</si>
  <si>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</si>
  <si>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</si>
  <si>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</si>
  <si>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</si>
  <si>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</si>
  <si>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</si>
  <si>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</si>
  <si>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</si>
  <si>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</si>
  <si>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</si>
  <si>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</si>
  <si>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</si>
  <si>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</si>
  <si>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</si>
  <si>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</si>
  <si>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</si>
  <si>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</si>
  <si>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</si>
  <si>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</si>
  <si>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</si>
  <si>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</si>
  <si>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</si>
  <si>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</si>
  <si>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</si>
  <si>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</si>
  <si>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</si>
  <si>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</si>
  <si>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</si>
  <si>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</si>
  <si>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</si>
  <si>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</si>
  <si>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</si>
  <si>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</si>
  <si>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</si>
  <si>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</si>
  <si>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</si>
  <si>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</si>
  <si>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</si>
  <si>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</si>
  <si>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</si>
  <si>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</si>
  <si>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</si>
  <si>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</si>
  <si>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</si>
  <si>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</si>
  <si>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</si>
  <si>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</si>
  <si>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</si>
  <si>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</si>
  <si>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</si>
  <si>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</si>
  <si>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</si>
  <si>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</si>
  <si>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</si>
  <si>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</si>
  <si>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</si>
  <si>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</si>
  <si>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</si>
  <si>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</si>
  <si>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</si>
  <si>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</si>
  <si>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</si>
  <si>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</si>
  <si>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</si>
  <si>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</si>
  <si>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</si>
  <si>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</si>
  <si>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</si>
  <si>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</si>
  <si>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</si>
  <si>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</si>
  <si>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</si>
  <si>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</si>
  <si>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</si>
  <si>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</si>
  <si>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</si>
  <si>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</si>
  <si>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</si>
  <si>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</si>
  <si>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</si>
  <si>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</si>
  <si>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</si>
  <si>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</si>
  <si>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</si>
  <si>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</si>
  <si>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</si>
  <si>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</si>
  <si>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</si>
  <si>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</si>
  <si>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</si>
  <si>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</si>
  <si>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</si>
  <si>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</si>
  <si>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</si>
  <si>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</si>
  <si>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</si>
  <si>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</si>
  <si>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</si>
  <si>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</si>
  <si>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</si>
  <si>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</si>
  <si>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</si>
  <si>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</si>
  <si>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</si>
  <si>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</si>
  <si>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</si>
  <si>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</si>
  <si>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</si>
  <si>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</si>
  <si>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</si>
  <si>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</si>
  <si>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</si>
  <si>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</si>
  <si>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</si>
  <si>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</si>
  <si>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</si>
  <si>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</si>
  <si>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</si>
  <si>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</si>
  <si>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</si>
  <si>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</si>
  <si>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</si>
  <si>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</si>
  <si>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</si>
  <si>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</si>
  <si>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</si>
  <si>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</si>
  <si>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</si>
  <si>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</si>
  <si>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</si>
  <si>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</si>
  <si>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</si>
  <si>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</si>
  <si>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</si>
  <si>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</si>
  <si>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</si>
  <si>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</si>
  <si>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</si>
  <si>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</si>
  <si>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</si>
  <si>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</si>
  <si>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</si>
  <si>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</si>
  <si>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</si>
  <si>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</si>
  <si>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</si>
  <si>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</si>
  <si>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</si>
  <si>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</si>
  <si>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</si>
  <si>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</si>
  <si>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</si>
  <si>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</si>
  <si>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</si>
  <si>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</si>
  <si>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</si>
  <si>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</si>
  <si>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</si>
  <si>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</si>
  <si>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</si>
  <si>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</si>
  <si>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</si>
  <si>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</si>
  <si>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</si>
  <si>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</si>
  <si>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</si>
  <si>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</si>
  <si>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</si>
  <si>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</si>
  <si>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</si>
  <si>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</si>
  <si>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</si>
  <si>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</si>
  <si>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</si>
  <si>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</si>
  <si>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</si>
  <si>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</si>
  <si>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</si>
  <si>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</si>
  <si>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</si>
  <si>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</si>
  <si>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</si>
  <si>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</si>
  <si>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</si>
  <si>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</si>
  <si>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</si>
  <si>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</si>
  <si>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</si>
  <si>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</si>
  <si>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</si>
  <si>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</si>
  <si>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</si>
  <si>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</si>
  <si>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</si>
  <si>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</si>
  <si>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</si>
  <si>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</si>
  <si>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</si>
  <si>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</si>
  <si>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</si>
  <si>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</si>
  <si>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</si>
  <si>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</si>
  <si>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</si>
  <si>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</si>
  <si>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</si>
  <si>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</si>
  <si>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</si>
  <si>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</si>
  <si>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</si>
  <si>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</si>
  <si>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</si>
  <si>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</si>
  <si>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</si>
  <si>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</si>
  <si>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</si>
  <si>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</si>
  <si>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</si>
  <si>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</si>
  <si>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</si>
  <si>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</si>
  <si>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</si>
  <si>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</si>
  <si>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</si>
  <si>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</si>
  <si>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</si>
  <si>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</si>
  <si>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</si>
  <si>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</si>
  <si>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</si>
  <si>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</si>
  <si>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</si>
  <si>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</si>
  <si>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</si>
  <si>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</si>
  <si>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</si>
  <si>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</si>
  <si>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</si>
  <si>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</si>
  <si>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</si>
  <si>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</si>
  <si>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</si>
  <si>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</si>
  <si>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</si>
  <si>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</si>
  <si>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</si>
  <si>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</si>
  <si>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</si>
  <si>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</si>
  <si>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</si>
  <si>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</si>
  <si>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</si>
  <si>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</si>
  <si>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</si>
  <si>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</si>
  <si>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</si>
  <si>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</si>
  <si>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</si>
  <si>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</si>
  <si>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</si>
  <si>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</si>
  <si>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</si>
  <si>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</si>
  <si>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</si>
  <si>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</si>
  <si>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</si>
  <si>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</si>
  <si>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</si>
  <si>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</si>
  <si>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</si>
  <si>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</si>
  <si>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</si>
  <si>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</si>
  <si>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</si>
  <si>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</si>
  <si>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</si>
  <si>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</si>
  <si>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</si>
  <si>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</si>
  <si>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</si>
  <si>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</si>
  <si>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</si>
  <si>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</si>
  <si>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</si>
  <si>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</si>
  <si>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</si>
  <si>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</si>
  <si>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</si>
  <si>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</si>
  <si>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</si>
  <si>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</si>
  <si>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</si>
  <si>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</si>
  <si>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</si>
  <si>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</si>
  <si>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</si>
  <si>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</si>
  <si>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</si>
  <si>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</si>
  <si>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</si>
  <si>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</si>
  <si>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</si>
  <si>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</si>
  <si>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</si>
  <si>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</si>
  <si>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</si>
  <si>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</si>
  <si>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</si>
  <si>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</si>
  <si>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</si>
  <si>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</si>
  <si>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</si>
  <si>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</si>
  <si>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</si>
  <si>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</si>
  <si>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</si>
  <si>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</si>
  <si>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</si>
  <si>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</si>
  <si>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</si>
  <si>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</si>
  <si>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</si>
  <si>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</si>
  <si>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</si>
  <si>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</si>
  <si>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</si>
  <si>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</si>
  <si>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</si>
  <si>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</si>
  <si>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</si>
  <si>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</si>
  <si>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</si>
  <si>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</si>
  <si>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</si>
  <si>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</si>
  <si>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</si>
  <si>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</si>
  <si>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</si>
  <si>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</si>
  <si>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</si>
  <si>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</si>
  <si>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</si>
  <si>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</si>
  <si>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</si>
  <si>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</si>
  <si>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</si>
  <si>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</si>
  <si>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</si>
  <si>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</si>
  <si>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</si>
  <si>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</si>
  <si>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</si>
  <si>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</si>
  <si>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</si>
  <si>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</si>
  <si>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</si>
  <si>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</si>
  <si>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</si>
  <si>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</si>
  <si>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</si>
  <si>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</si>
  <si>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</si>
  <si>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</si>
  <si>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</si>
  <si>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</si>
  <si>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</si>
  <si>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</si>
  <si>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</si>
  <si>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</si>
  <si>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</si>
  <si>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</si>
  <si>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</si>
  <si>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</si>
  <si>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</si>
  <si>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</si>
  <si>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</si>
  <si>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</si>
  <si>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</si>
  <si>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</si>
  <si>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</si>
  <si>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</si>
  <si>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</si>
  <si>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</si>
  <si>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</si>
  <si>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</si>
  <si>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</si>
  <si>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</si>
  <si>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</si>
  <si>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</si>
  <si>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</si>
  <si>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</si>
  <si>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</si>
  <si>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</si>
  <si>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</si>
  <si>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</si>
  <si>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</si>
  <si>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</si>
  <si>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</si>
  <si>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</si>
  <si>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</si>
  <si>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</si>
  <si>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</si>
  <si>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</si>
  <si>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</si>
  <si>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</si>
  <si>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</si>
  <si>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</si>
  <si>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</si>
  <si>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</si>
  <si>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</si>
  <si>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</si>
  <si>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</si>
  <si>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</si>
  <si>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</si>
  <si>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</si>
  <si>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</si>
  <si>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</si>
  <si>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</si>
  <si>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</si>
  <si>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</si>
  <si>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</si>
  <si>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</si>
  <si>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</si>
  <si>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</si>
  <si>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</si>
  <si>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</si>
  <si>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</si>
  <si>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</si>
  <si>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</si>
  <si>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</si>
  <si>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</si>
  <si>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</si>
  <si>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</si>
  <si>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</si>
  <si>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</si>
  <si>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</si>
  <si>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</si>
  <si>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</si>
  <si>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</si>
  <si>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</si>
  <si>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</si>
  <si>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</si>
  <si>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</si>
  <si>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</si>
  <si>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</si>
  <si>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</si>
  <si>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</si>
  <si>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</si>
  <si>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</si>
  <si>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</si>
  <si>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</si>
  <si>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</si>
  <si>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</si>
  <si>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</si>
  <si>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</si>
  <si>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</si>
  <si>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</si>
  <si>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</si>
  <si>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</si>
  <si>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</si>
  <si>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</si>
  <si>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</si>
  <si>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</si>
  <si>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</si>
  <si>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</si>
  <si>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</si>
  <si>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</si>
  <si>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</si>
  <si>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</si>
  <si>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</si>
  <si>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</si>
  <si>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</si>
  <si>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</si>
  <si>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</si>
  <si>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</si>
  <si>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</si>
  <si>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</si>
  <si>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</si>
  <si>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</si>
  <si>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</si>
  <si>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</si>
  <si>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</si>
  <si>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</si>
  <si>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</si>
  <si>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</si>
  <si>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</si>
  <si>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</si>
  <si>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</si>
  <si>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</si>
  <si>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</si>
  <si>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</si>
  <si>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</si>
  <si>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</si>
  <si>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</si>
  <si>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</si>
  <si>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</si>
  <si>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</si>
  <si>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</si>
  <si>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</si>
  <si>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</si>
  <si>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</si>
  <si>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</si>
  <si>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</si>
  <si>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</si>
  <si>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</si>
  <si>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</si>
  <si>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</si>
  <si>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</si>
  <si>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</si>
  <si>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</si>
  <si>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</si>
  <si>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</si>
  <si>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</si>
  <si>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</si>
  <si>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</si>
  <si>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</si>
  <si>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</si>
  <si>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</si>
  <si>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</si>
  <si>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</si>
  <si>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</si>
  <si>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</si>
  <si>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</si>
  <si>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</si>
  <si>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</si>
  <si>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</si>
  <si>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</si>
  <si>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</si>
  <si>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</si>
  <si>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</si>
  <si>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</si>
  <si>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</si>
  <si>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</si>
  <si>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</si>
  <si>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</si>
  <si>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</si>
  <si>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</si>
  <si>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</si>
  <si>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</si>
  <si>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</si>
  <si>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</si>
  <si>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</si>
  <si>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</si>
  <si>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</si>
  <si>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</si>
  <si>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</si>
  <si>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</si>
  <si>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</si>
  <si>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</si>
  <si>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</si>
  <si>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</si>
  <si>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</si>
  <si>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</si>
  <si>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</si>
  <si>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</si>
  <si>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</si>
  <si>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</si>
  <si>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</si>
  <si>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</si>
  <si>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</si>
  <si>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</si>
  <si>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</si>
  <si>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</si>
  <si>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</si>
  <si>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</si>
  <si>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</si>
  <si>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</si>
  <si>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</si>
  <si>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</si>
  <si>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</si>
  <si>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</si>
  <si>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</si>
  <si>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</si>
  <si>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</si>
  <si>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</si>
  <si>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</si>
  <si>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</si>
  <si>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</si>
  <si>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</si>
  <si>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</si>
  <si>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</si>
  <si>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</si>
  <si>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</si>
  <si>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</si>
  <si>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</si>
  <si>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</si>
  <si>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</si>
  <si>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</si>
  <si>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</si>
  <si>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</si>
  <si>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</si>
  <si>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</si>
  <si>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</si>
  <si>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</si>
  <si>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</si>
  <si>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</si>
  <si>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</si>
  <si>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</si>
  <si>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</si>
  <si>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</si>
  <si>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</si>
  <si>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</si>
  <si>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</si>
  <si>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</si>
  <si>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</si>
  <si>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</si>
  <si>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</si>
  <si>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</si>
  <si>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</si>
  <si>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</si>
  <si>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</si>
  <si>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</si>
  <si>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</si>
  <si>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</si>
  <si>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</si>
  <si>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</si>
  <si>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</si>
  <si>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</si>
  <si>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</si>
  <si>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</si>
  <si>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</si>
  <si>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</si>
  <si>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</si>
  <si>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</si>
  <si>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</si>
  <si>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</si>
  <si>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</si>
  <si>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</si>
  <si>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</si>
  <si>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</si>
  <si>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</si>
  <si>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</si>
  <si>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</si>
  <si>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</si>
  <si>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</si>
  <si>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</si>
  <si>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</si>
  <si>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</si>
  <si>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</si>
  <si>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</si>
  <si>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</si>
  <si>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</si>
  <si>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</si>
  <si>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</si>
  <si>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</si>
  <si>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</si>
  <si>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</si>
  <si>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</si>
  <si>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</si>
  <si>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</si>
  <si>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</si>
  <si>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</si>
  <si>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</si>
  <si>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</si>
  <si>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</si>
  <si>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</si>
  <si>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</si>
  <si>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</si>
  <si>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</si>
  <si>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</si>
  <si>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</si>
  <si>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</si>
  <si>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</si>
  <si>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</si>
  <si>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</si>
  <si>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</si>
  <si>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</si>
  <si>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</si>
  <si>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</si>
  <si>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</si>
  <si>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</si>
  <si>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</si>
  <si>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</si>
  <si>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</si>
  <si>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</si>
  <si>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</si>
  <si>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</si>
  <si>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</si>
  <si>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</si>
  <si>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</si>
  <si>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</si>
  <si>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</si>
  <si>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</si>
  <si>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</si>
  <si>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</si>
  <si>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</si>
  <si>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</si>
  <si>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</si>
  <si>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</si>
  <si>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</si>
  <si>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</si>
  <si>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</si>
  <si>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</si>
  <si>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</si>
  <si>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</si>
  <si>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</si>
  <si>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</si>
  <si>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</si>
  <si>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</si>
  <si>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</si>
  <si>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</si>
  <si>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</si>
  <si>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</si>
  <si>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</si>
  <si>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</si>
  <si>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</si>
  <si>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</si>
  <si>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</si>
  <si>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</si>
  <si>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</si>
  <si>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</si>
  <si>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</si>
  <si>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</si>
  <si>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</si>
  <si>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</si>
  <si>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</si>
  <si>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</si>
  <si>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</si>
  <si>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</si>
  <si>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</si>
  <si>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</si>
  <si>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</si>
  <si>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</si>
  <si>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</si>
  <si>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</si>
  <si>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</si>
  <si>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</si>
  <si>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</si>
  <si>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</si>
  <si>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</si>
  <si>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</si>
  <si>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</si>
  <si>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</si>
  <si>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</si>
  <si>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</si>
  <si>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</si>
  <si>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</si>
  <si>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</si>
  <si>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</si>
  <si>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</si>
  <si>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</si>
  <si>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</si>
  <si>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</si>
  <si>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</si>
  <si>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</si>
  <si>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</si>
  <si>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</si>
  <si>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</si>
  <si>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</si>
  <si>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</si>
  <si>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</si>
  <si>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</si>
  <si>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</si>
  <si>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</si>
  <si>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</si>
  <si>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</si>
  <si>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</si>
  <si>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</si>
  <si>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</si>
  <si>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</si>
  <si>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</si>
  <si>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</si>
  <si>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</si>
  <si>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</si>
  <si>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</si>
  <si>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</si>
  <si>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</si>
  <si>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</si>
  <si>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</si>
  <si>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</si>
  <si>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</si>
  <si>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</si>
  <si>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</si>
  <si>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</si>
  <si>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</si>
  <si>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</si>
  <si>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</si>
  <si>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</si>
  <si>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</si>
  <si>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</si>
  <si>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</si>
  <si>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</si>
  <si>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</si>
  <si>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</si>
  <si>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</si>
  <si>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</si>
  <si>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</si>
  <si>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</si>
  <si>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</si>
  <si>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</si>
  <si>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</si>
  <si>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</si>
  <si>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</si>
  <si>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</si>
  <si>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</si>
  <si>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</si>
  <si>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</si>
  <si>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</si>
  <si>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</si>
  <si>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</si>
  <si>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</si>
  <si>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</si>
  <si>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</si>
  <si>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</si>
  <si>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</si>
  <si>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</si>
  <si>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</si>
  <si>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</si>
  <si>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</si>
  <si>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</si>
  <si>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</si>
  <si>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</si>
  <si>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</si>
  <si>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</si>
  <si>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</si>
  <si>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</si>
  <si>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</si>
  <si>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</si>
  <si>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</si>
  <si>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</si>
  <si>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</si>
  <si>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</si>
  <si>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</si>
  <si>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</si>
  <si>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</si>
  <si>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</si>
  <si>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</si>
  <si>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</si>
  <si>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</si>
  <si>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</si>
  <si>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</si>
  <si>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</si>
  <si>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</si>
  <si>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</si>
  <si>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</si>
  <si>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</si>
  <si>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</si>
  <si>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</si>
  <si>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</si>
  <si>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</si>
  <si>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</si>
  <si>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</si>
  <si>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</si>
  <si>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</si>
  <si>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</si>
  <si>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</si>
  <si>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</si>
  <si>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</si>
  <si>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</si>
  <si>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</si>
  <si>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</si>
  <si>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</si>
  <si>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</si>
  <si>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</si>
  <si>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</si>
  <si>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</si>
  <si>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</si>
  <si>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</si>
  <si>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</si>
  <si>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</si>
  <si>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</si>
  <si>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</si>
  <si>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</si>
  <si>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</si>
  <si>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</si>
  <si>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</si>
  <si>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</si>
  <si>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</si>
  <si>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</si>
  <si>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</si>
  <si>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</si>
  <si>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</si>
  <si>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</si>
  <si>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</si>
  <si>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</si>
  <si>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</si>
  <si>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</si>
  <si>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</si>
  <si>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</si>
  <si>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</si>
  <si>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</si>
  <si>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</si>
  <si>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</si>
  <si>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</si>
  <si>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</si>
  <si>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</si>
  <si>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</si>
  <si>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</si>
  <si>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</si>
  <si>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</si>
  <si>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</si>
  <si>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</si>
  <si>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</si>
  <si>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</si>
  <si>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</si>
  <si>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</si>
  <si>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</si>
  <si>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</si>
  <si>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</si>
  <si>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</si>
  <si>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</si>
  <si>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</si>
  <si>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</si>
  <si>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</si>
  <si>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</si>
  <si>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</si>
  <si>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</si>
  <si>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</si>
  <si>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</si>
  <si>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</si>
  <si>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</si>
  <si>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</si>
  <si>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</si>
  <si>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</si>
  <si>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</si>
  <si>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</si>
  <si>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</si>
  <si>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</si>
  <si>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</si>
  <si>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</si>
  <si>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</si>
  <si>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</si>
  <si>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</si>
  <si>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</si>
  <si>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</si>
  <si>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</si>
  <si>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</si>
  <si>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</si>
  <si>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</si>
  <si>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</si>
  <si>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</si>
  <si>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</si>
  <si>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</si>
  <si>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</si>
  <si>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</si>
  <si>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</si>
  <si>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</si>
  <si>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</si>
  <si>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</si>
  <si>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</si>
  <si>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</si>
  <si>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</si>
  <si>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</si>
  <si>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</si>
  <si>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</si>
  <si>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</si>
  <si>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</si>
  <si>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</si>
  <si>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</si>
  <si>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</si>
  <si>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</si>
  <si>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</si>
  <si>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</si>
  <si>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</si>
  <si>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</si>
  <si>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</si>
  <si>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</si>
  <si>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</si>
  <si>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</si>
  <si>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</si>
  <si>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</si>
  <si>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</si>
  <si>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</si>
  <si>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</si>
  <si>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</si>
  <si>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</si>
  <si>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</si>
  <si>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</si>
  <si>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</si>
  <si>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</si>
  <si>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</si>
  <si>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</si>
  <si>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</si>
  <si>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</si>
  <si>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</si>
  <si>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</si>
  <si>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</si>
  <si>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</si>
  <si>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</si>
  <si>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</si>
  <si>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</si>
  <si>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</si>
  <si>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</si>
  <si>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</si>
  <si>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</si>
  <si>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</si>
  <si>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</si>
  <si>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</si>
  <si>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</si>
  <si>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</si>
  <si>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</si>
  <si>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</si>
  <si>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</si>
  <si>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</si>
  <si>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</si>
  <si>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</si>
  <si>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</si>
  <si>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</si>
  <si>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</si>
  <si>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</si>
  <si>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</si>
  <si>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</si>
  <si>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</si>
  <si>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</si>
  <si>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</si>
  <si>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</si>
  <si>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</si>
  <si>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</si>
  <si>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</si>
  <si>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</si>
  <si>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</si>
  <si>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</si>
  <si>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</si>
  <si>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</si>
  <si>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</si>
  <si>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</si>
  <si>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</si>
  <si>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</si>
  <si>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</si>
  <si>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</si>
  <si>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</si>
  <si>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</si>
  <si>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</si>
  <si>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</si>
  <si>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</si>
  <si>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</si>
  <si>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</si>
  <si>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</si>
  <si>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</si>
  <si>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</si>
  <si>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</si>
  <si>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</si>
  <si>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</si>
  <si>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</si>
  <si>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</si>
  <si>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</si>
  <si>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</si>
  <si>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</si>
  <si>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</si>
  <si>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</si>
  <si>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</si>
  <si>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</si>
  <si>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</si>
  <si>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</si>
  <si>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</si>
  <si>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</si>
  <si>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</si>
  <si>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</si>
  <si>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</si>
  <si>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</si>
  <si>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</si>
  <si>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</si>
  <si>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</si>
  <si>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</si>
  <si>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</si>
  <si>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</si>
  <si>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</si>
  <si>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</si>
  <si>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</si>
  <si>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</si>
  <si>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</si>
  <si>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</si>
  <si>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</si>
  <si>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</si>
  <si>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</si>
  <si>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</si>
  <si>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</si>
  <si>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</si>
  <si>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</si>
  <si>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</si>
  <si>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</si>
  <si>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</si>
  <si>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</si>
  <si>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</si>
  <si>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</si>
  <si>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</si>
  <si>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</si>
  <si>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</si>
  <si>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</si>
  <si>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</si>
  <si>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</si>
  <si>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</si>
  <si>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</si>
  <si>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</si>
  <si>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</si>
  <si>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</si>
  <si>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</si>
  <si>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</si>
  <si>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</si>
  <si>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</si>
  <si>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</si>
  <si>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</si>
  <si>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</si>
  <si>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</si>
  <si>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</si>
  <si>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</si>
  <si>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</si>
  <si>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</si>
  <si>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</si>
  <si>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</si>
  <si>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</si>
  <si>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</si>
  <si>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</si>
  <si>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</si>
  <si>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</si>
  <si>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</si>
  <si>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</si>
  <si>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</si>
  <si>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</si>
  <si>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</si>
  <si>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</si>
  <si>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</si>
  <si>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</si>
  <si>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</si>
  <si>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</si>
  <si>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</si>
  <si>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</si>
  <si>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</si>
  <si>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</si>
  <si>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</si>
  <si>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</si>
  <si>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</si>
  <si>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</si>
  <si>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</si>
  <si>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</si>
  <si>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</si>
  <si>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</si>
  <si>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</si>
  <si>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</si>
  <si>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</si>
  <si>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</si>
  <si>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</si>
  <si>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</si>
  <si>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</si>
  <si>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</si>
  <si>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</si>
  <si>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</si>
  <si>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</si>
  <si>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</si>
  <si>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</si>
  <si>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</si>
  <si>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</si>
  <si>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</si>
  <si>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</si>
  <si>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</si>
  <si>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</si>
  <si>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</si>
  <si>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</si>
  <si>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</si>
  <si>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</si>
  <si>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</si>
  <si>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</si>
  <si>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</si>
  <si>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</si>
  <si>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</si>
  <si>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</si>
  <si>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</si>
  <si>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</si>
  <si>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</si>
  <si>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</si>
  <si>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</si>
  <si>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</si>
  <si>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</si>
  <si>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</si>
  <si>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</si>
  <si>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</si>
  <si>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</si>
  <si>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</si>
  <si>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</si>
  <si>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</si>
  <si>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</si>
  <si>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</si>
  <si>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</si>
  <si>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</si>
  <si>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</si>
  <si>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</si>
  <si>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</si>
  <si>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</si>
  <si>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</si>
  <si>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</si>
  <si>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</si>
  <si>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</si>
  <si>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</si>
  <si>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</si>
  <si>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</si>
  <si>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</si>
  <si>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</si>
  <si>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</si>
  <si>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</si>
  <si>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</si>
  <si>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</si>
  <si>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</si>
  <si>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</si>
  <si>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</si>
  <si>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</si>
  <si>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</si>
  <si>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</si>
  <si>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</si>
  <si>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</si>
  <si>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</si>
  <si>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</si>
  <si>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</si>
  <si>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</si>
  <si>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</si>
  <si>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</si>
  <si>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</si>
  <si>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</si>
  <si>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</si>
  <si>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</si>
  <si>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</si>
  <si>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</si>
  <si>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</si>
  <si>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</si>
  <si>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</si>
  <si>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</si>
  <si>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</si>
  <si>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</si>
  <si>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</si>
  <si>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</si>
  <si>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</si>
  <si>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</si>
  <si>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</si>
  <si>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</si>
  <si>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</si>
  <si>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</si>
  <si>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</si>
  <si>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</si>
  <si>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</si>
  <si>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</si>
  <si>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</si>
  <si>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</si>
  <si>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</si>
  <si>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</si>
  <si>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</si>
  <si>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</si>
  <si>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</si>
  <si>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</si>
  <si>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</si>
  <si>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</si>
  <si>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</si>
  <si>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</si>
  <si>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</si>
  <si>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</si>
  <si>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</si>
  <si>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</si>
  <si>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</si>
  <si>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</si>
  <si>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</si>
  <si>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</si>
  <si>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</si>
  <si>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</si>
  <si>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</si>
  <si>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</si>
  <si>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</si>
  <si>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</si>
  <si>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</si>
  <si>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</si>
  <si>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</si>
  <si>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</si>
  <si>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</si>
  <si>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</si>
  <si>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</si>
  <si>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</si>
  <si>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</si>
  <si>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</si>
  <si>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</si>
  <si>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</si>
  <si>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</si>
  <si>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</si>
  <si>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</si>
  <si>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</si>
  <si>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</si>
  <si>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</si>
  <si>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</si>
  <si>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</si>
  <si>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</si>
  <si>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</si>
  <si>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</si>
  <si>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</si>
  <si>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</si>
  <si>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</si>
  <si>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</si>
  <si>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</si>
  <si>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</si>
  <si>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</si>
  <si>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</si>
  <si>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</si>
  <si>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</si>
  <si>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</si>
  <si>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</si>
  <si>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</si>
  <si>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</si>
  <si>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</si>
  <si>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</si>
  <si>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</si>
  <si>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</si>
  <si>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</si>
  <si>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</si>
  <si>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</si>
  <si>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</si>
  <si>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</si>
  <si>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</si>
  <si>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</si>
  <si>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</si>
  <si>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</si>
  <si>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</si>
  <si>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</si>
  <si>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</si>
  <si>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</si>
  <si>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</si>
  <si>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</si>
  <si>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</si>
  <si>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</si>
  <si>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</si>
  <si>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</si>
  <si>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</si>
  <si>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</si>
  <si>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</si>
  <si>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</si>
  <si>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</si>
  <si>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</si>
  <si>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</si>
  <si>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</si>
  <si>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</si>
  <si>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</si>
  <si>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</si>
  <si>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</si>
  <si>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</si>
  <si>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</si>
  <si>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</si>
  <si>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</si>
  <si>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</si>
  <si>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</si>
  <si>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</si>
  <si>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</si>
  <si>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</si>
  <si>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</si>
  <si>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</si>
  <si>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</si>
  <si>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</si>
  <si>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</si>
  <si>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</si>
  <si>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</si>
  <si>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</si>
  <si>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</si>
  <si>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</si>
  <si>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</si>
  <si>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</si>
  <si>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</si>
  <si>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</si>
  <si>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</si>
  <si>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</si>
  <si>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</si>
  <si>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</si>
  <si>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</si>
  <si>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</si>
  <si>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</si>
  <si>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</si>
  <si>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</si>
  <si>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</si>
  <si>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</si>
  <si>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</si>
  <si>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</si>
  <si>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</si>
  <si>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</si>
  <si>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</si>
  <si>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</si>
  <si>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</si>
  <si>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</si>
  <si>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</si>
  <si>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</si>
  <si>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</si>
  <si>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</si>
  <si>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</si>
  <si>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</si>
  <si>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</si>
  <si>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</si>
  <si>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</si>
  <si>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</si>
  <si>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</si>
  <si>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</si>
  <si>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</si>
  <si>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</si>
  <si>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</si>
  <si>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</si>
  <si>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</si>
  <si>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</si>
  <si>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</si>
  <si>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</si>
  <si>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</si>
  <si>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</si>
  <si>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</si>
  <si>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</si>
  <si>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</si>
  <si>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</si>
  <si>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</si>
  <si>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</si>
  <si>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</si>
  <si>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</si>
  <si>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</si>
  <si>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</si>
  <si>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</si>
  <si>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</si>
  <si>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</si>
  <si>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</si>
  <si>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</si>
  <si>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</si>
  <si>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</si>
  <si>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</si>
  <si>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</si>
  <si>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</si>
  <si>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</si>
  <si>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</si>
  <si>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</si>
  <si>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</si>
  <si>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</si>
  <si>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</si>
  <si>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</si>
  <si>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</si>
  <si>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</si>
  <si>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</si>
  <si>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</si>
  <si>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</si>
  <si>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</si>
  <si>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</si>
  <si>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</si>
  <si>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</si>
  <si>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</si>
  <si>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</si>
  <si>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</si>
  <si>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</si>
  <si>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</si>
  <si>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</si>
  <si>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</si>
  <si>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</si>
  <si>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</si>
  <si>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</si>
  <si>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</si>
  <si>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</si>
  <si>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</si>
  <si>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</si>
  <si>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</si>
  <si>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</si>
  <si>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</si>
  <si>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</si>
  <si>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</si>
  <si>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</si>
  <si>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</si>
  <si>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</si>
  <si>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</si>
  <si>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</si>
  <si>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</si>
  <si>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</si>
  <si>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</si>
  <si>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</si>
  <si>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</si>
  <si>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</si>
  <si>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</si>
  <si>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</si>
  <si>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</si>
  <si>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</si>
  <si>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</si>
  <si>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</si>
  <si>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</si>
  <si>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</si>
  <si>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</si>
  <si>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</si>
  <si>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</si>
  <si>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</si>
  <si>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</si>
  <si>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</si>
  <si>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</si>
  <si>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</si>
  <si>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</si>
  <si>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</si>
  <si>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</si>
  <si>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</si>
  <si>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</si>
  <si>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</si>
  <si>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</si>
  <si>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</si>
  <si>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</si>
  <si>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</si>
  <si>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</si>
  <si>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</si>
  <si>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</si>
  <si>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</si>
  <si>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</si>
  <si>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</si>
  <si>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</si>
  <si>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</si>
  <si>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</si>
  <si>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</si>
  <si>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</si>
  <si>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</si>
  <si>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</si>
  <si>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</si>
  <si>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</si>
  <si>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</si>
  <si>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</si>
  <si>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</si>
  <si>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</si>
  <si>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</si>
  <si>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</si>
  <si>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</si>
  <si>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</si>
  <si>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</si>
  <si>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</si>
  <si>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</si>
  <si>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</si>
  <si>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</si>
  <si>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</si>
  <si>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</si>
  <si>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</si>
  <si>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</si>
  <si>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</si>
  <si>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</si>
  <si>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</si>
  <si>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</si>
  <si>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</si>
  <si>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</si>
  <si>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</si>
  <si>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</si>
  <si>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</si>
  <si>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</si>
  <si>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</si>
  <si>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</si>
  <si>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</si>
  <si>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</si>
  <si>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</si>
  <si>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</si>
  <si>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</si>
  <si>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</si>
  <si>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</si>
  <si>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</si>
  <si>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</si>
  <si>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</si>
  <si>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</si>
  <si>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</si>
  <si>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</si>
  <si>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</si>
  <si>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</si>
  <si>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</si>
  <si>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</si>
  <si>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</si>
  <si>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</si>
  <si>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</si>
  <si>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</si>
  <si>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</si>
  <si>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</si>
  <si>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</si>
  <si>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</si>
  <si>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</si>
  <si>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</si>
  <si>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</si>
  <si>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</si>
  <si>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</si>
  <si>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</si>
  <si>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</si>
  <si>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</si>
  <si>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</si>
  <si>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</si>
  <si>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</si>
  <si>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</si>
  <si>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</si>
  <si>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</si>
  <si>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</si>
  <si>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</si>
  <si>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</si>
  <si>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</si>
  <si>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</si>
  <si>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</si>
  <si>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</si>
  <si>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</si>
  <si>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</si>
  <si>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</si>
  <si>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</si>
  <si>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</si>
  <si>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</si>
  <si>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</si>
  <si>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</si>
  <si>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</si>
  <si>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</si>
  <si>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</si>
  <si>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</si>
  <si>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</si>
  <si>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</si>
  <si>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</si>
  <si>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御海天禧</t>
    <phoneticPr fontId="3" type="noConversion"/>
  </si>
  <si>
    <t>保利和府</t>
    <phoneticPr fontId="3" type="noConversion"/>
  </si>
  <si>
    <t>天合名门</t>
    <phoneticPr fontId="3" type="noConversion"/>
  </si>
  <si>
    <t>底商</t>
  </si>
  <si>
    <t>普通住宅</t>
  </si>
  <si>
    <t>商业</t>
    <phoneticPr fontId="7"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</si>
  <si>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</si>
  <si>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</si>
  <si>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</si>
  <si>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</si>
  <si>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</si>
  <si>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</si>
  <si>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</si>
  <si>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</si>
  <si>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土地位置</t>
  </si>
  <si>
    <t>商业比例</t>
  </si>
  <si>
    <t>成交日期</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</si>
  <si>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</si>
  <si>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</si>
  <si>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</si>
  <si>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</si>
  <si>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</si>
  <si>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</si>
  <si>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</si>
  <si>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</si>
  <si>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</si>
  <si>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</si>
  <si>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</si>
  <si>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</si>
  <si>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</si>
  <si>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</si>
  <si>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</si>
  <si>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</si>
  <si>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</si>
  <si>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</si>
  <si>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</si>
  <si>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</si>
  <si>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</si>
  <si>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</si>
  <si>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</si>
  <si>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</si>
  <si>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</si>
  <si>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</si>
  <si>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</si>
  <si>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</si>
  <si>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</si>
  <si>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</si>
  <si>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</si>
  <si>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</si>
  <si>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</si>
  <si>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</si>
  <si>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</si>
  <si>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</si>
  <si>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</si>
  <si>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</si>
  <si>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</si>
  <si>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phoneticPr fontId="228" type="noConversion"/>
  </si>
  <si>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</si>
  <si>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</si>
  <si>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</si>
  <si>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</si>
  <si>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</si>
  <si>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</si>
  <si>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</si>
  <si>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</si>
  <si>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</si>
  <si>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</si>
  <si>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</si>
  <si>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</si>
  <si>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</si>
  <si>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</si>
  <si>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</si>
  <si>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</si>
  <si>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</si>
  <si>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</si>
  <si>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</si>
  <si>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</si>
  <si>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新民南路西侧、建设路北侧、金苇路南侧</t>
  </si>
  <si>
    <t>大于1并且小于或等于3</t>
  </si>
  <si>
    <t>2017-02-24</t>
  </si>
  <si>
    <t>江苏华鹏置业有限公司</t>
  </si>
  <si>
    <t>鸣翠山庄东侧、企东居民点北侧</t>
  </si>
  <si>
    <t>祁家路南侧、联盟路西侧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</si>
  <si>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</si>
  <si>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</si>
  <si>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</si>
  <si>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</si>
  <si>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</si>
  <si>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</si>
  <si>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</si>
  <si>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</si>
  <si>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</si>
  <si>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</si>
  <si>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</si>
  <si>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</si>
  <si>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</si>
  <si>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</si>
  <si>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</si>
  <si>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</si>
  <si>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</si>
  <si>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</si>
  <si>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</si>
  <si>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</si>
  <si>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</si>
  <si>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</si>
  <si>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</si>
  <si>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</si>
  <si>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</si>
  <si>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</si>
  <si>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</si>
  <si>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大于或等于1.2并且小于或等于1.5</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</si>
  <si>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</si>
  <si>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</si>
  <si>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</si>
  <si>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</si>
  <si>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</si>
  <si>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</si>
  <si>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</si>
  <si>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</si>
  <si>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</si>
  <si>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</si>
  <si>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</si>
  <si>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</si>
  <si>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</si>
  <si>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</si>
  <si>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</si>
  <si>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</si>
  <si>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</si>
  <si>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</si>
  <si>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</si>
  <si>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</si>
  <si>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</si>
  <si>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</si>
  <si>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大于1并且小于或等于2</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</si>
  <si>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</si>
  <si>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</si>
  <si>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</si>
  <si>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</si>
  <si>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</si>
  <si>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</si>
  <si>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</si>
  <si>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</si>
  <si>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</si>
  <si>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</si>
  <si>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</si>
  <si>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</si>
  <si>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</si>
  <si>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</si>
  <si>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</si>
  <si>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</si>
  <si>
    <t>西城区迎宾大道北侧、联盟路东侧</t>
    <phoneticPr fontId="228" type="noConversion"/>
  </si>
  <si>
    <t>新扬路东侧、同心路南侧</t>
    <phoneticPr fontId="228" type="noConversion"/>
  </si>
  <si>
    <t>不动产收益法</t>
  </si>
  <si>
    <t>押一</t>
  </si>
  <si>
    <t>按租金收入计税</t>
  </si>
  <si>
    <t>钢混</t>
  </si>
  <si>
    <t>新坝华鹏路以东、中兴路以南</t>
    <phoneticPr fontId="228" type="noConversion"/>
  </si>
  <si>
    <t>扬中市开发区港湾新城东侧、兴旺东路北侧</t>
    <phoneticPr fontId="228" type="noConversion"/>
  </si>
  <si>
    <t>开发区经六路东侧、兴园路南侧</t>
    <phoneticPr fontId="228" type="noConversion"/>
  </si>
  <si>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</si>
  <si>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</si>
  <si>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</si>
  <si>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</si>
  <si>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</si>
  <si>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扬中市东升站河南侧、花园路北侧地块五</t>
    <phoneticPr fontId="228" type="noConversion"/>
  </si>
  <si>
    <t>开发区兴宏路南侧</t>
    <phoneticPr fontId="228" type="noConversion"/>
  </si>
  <si>
    <t>油坊镇惠民路西侧、太阳路以北</t>
    <phoneticPr fontId="228" type="noConversion"/>
  </si>
  <si>
    <t>地块</t>
    <phoneticPr fontId="228" type="noConversion"/>
  </si>
  <si>
    <t>赵雯</t>
  </si>
  <si>
    <t>崔锴</t>
  </si>
  <si>
    <t>国民信托有限公司</t>
    <phoneticPr fontId="6" type="noConversion"/>
  </si>
  <si>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</si>
  <si>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</si>
  <si>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</si>
  <si>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</si>
  <si>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</si>
  <si>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</si>
  <si>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</si>
  <si>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</si>
  <si>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</si>
  <si>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</si>
  <si>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</si>
  <si>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</si>
  <si>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</si>
  <si>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</si>
  <si>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</si>
  <si>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</si>
  <si>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</si>
  <si>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</si>
  <si>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</si>
  <si>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</si>
  <si>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</si>
  <si>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</si>
  <si>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</si>
  <si>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</si>
  <si>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</si>
  <si>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</si>
  <si>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</si>
  <si>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</si>
  <si>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</si>
  <si>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</si>
  <si>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</si>
  <si>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</si>
  <si>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</si>
  <si>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</si>
  <si>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</si>
  <si>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</si>
  <si>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</si>
  <si>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</si>
  <si>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</si>
  <si>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</si>
  <si>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</si>
  <si>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</si>
  <si>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</si>
  <si>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</si>
  <si>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</si>
  <si>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</si>
  <si>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</si>
  <si>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</si>
  <si>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</si>
  <si>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</si>
  <si>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</si>
  <si>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</si>
  <si>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t>六通</t>
  </si>
  <si>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</si>
  <si>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</si>
  <si>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</si>
  <si>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</si>
  <si>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</si>
  <si>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</si>
  <si>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</si>
  <si>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</si>
  <si>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</si>
  <si>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</si>
  <si>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</si>
  <si>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</si>
  <si>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</si>
  <si>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</si>
  <si>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</si>
  <si>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</si>
  <si>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</si>
  <si>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</si>
  <si>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</si>
  <si>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</si>
  <si>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</si>
  <si>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</si>
  <si>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</si>
  <si>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</si>
  <si>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</si>
  <si>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</si>
  <si>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</si>
  <si>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</si>
  <si>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</si>
  <si>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</si>
  <si>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</si>
  <si>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</si>
  <si>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</si>
  <si>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</si>
  <si>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</si>
  <si>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</si>
  <si>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</si>
  <si>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</si>
  <si>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</si>
  <si>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</si>
  <si>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</si>
  <si>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</si>
  <si>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</si>
  <si>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</si>
  <si>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</si>
  <si>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</si>
  <si>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</si>
  <si>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</si>
  <si>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</si>
  <si>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</si>
  <si>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</si>
  <si>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</si>
  <si>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</si>
  <si>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</si>
  <si>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</si>
  <si>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</si>
  <si>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</si>
  <si>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</si>
  <si>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</si>
  <si>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</si>
  <si>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</si>
  <si>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</si>
  <si>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</si>
  <si>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</si>
  <si>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</si>
  <si>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</si>
  <si>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</si>
  <si>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</si>
  <si>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</si>
  <si>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</si>
  <si>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</si>
  <si>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</si>
  <si>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</si>
  <si>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</si>
  <si>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</si>
  <si>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</si>
  <si>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</si>
  <si>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</si>
  <si>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</si>
  <si>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</si>
  <si>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</si>
  <si>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</si>
  <si>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</si>
  <si>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</si>
  <si>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</si>
  <si>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</si>
  <si>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</si>
  <si>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</si>
  <si>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</si>
  <si>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</si>
  <si>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</si>
  <si>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</si>
  <si>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</si>
  <si>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</si>
  <si>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</si>
  <si>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</si>
  <si>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</si>
  <si>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</si>
  <si>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</si>
  <si>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</si>
  <si>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</si>
  <si>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</si>
  <si>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</si>
  <si>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</si>
  <si>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</si>
  <si>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</si>
  <si>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估价对象周边居住用地比例、居住小区规模和社区发展完善程度，综合评价居住社区成熟度一般</t>
  </si>
  <si>
    <t>估价对象周边居住用地比例、居住小区规模和社区发展完善程度，综合评价居住社区成熟度较好</t>
    <phoneticPr fontId="228" type="noConversion"/>
  </si>
  <si>
    <t>估价对象周边道路状况、公共交通通达情况、停车便捷程度，综合评价交通便捷度较好</t>
  </si>
  <si>
    <t>五通</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</si>
  <si>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</si>
  <si>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</si>
  <si>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</si>
  <si>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</si>
  <si>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规则</t>
    <phoneticPr fontId="26" type="noConversion"/>
  </si>
  <si>
    <t>较规则</t>
    <phoneticPr fontId="26" type="noConversion"/>
  </si>
  <si>
    <t>较好</t>
    <phoneticPr fontId="26" type="noConversion"/>
  </si>
  <si>
    <t>估价对象位于XX商圈，周边商业氛围成熟，人流量大，商业繁华度好</t>
  </si>
  <si>
    <t>估价对象位于XX商圈，周边办公楼项目较多，入驻率高，办公集聚程度较好</t>
  </si>
  <si>
    <t>区域自然环境：；人文环境；综合评价环境状况一般</t>
  </si>
  <si>
    <t>估价对象所在区域基础设施水平</t>
  </si>
  <si>
    <t>扬中市油坊镇</t>
    <phoneticPr fontId="6" type="noConversion"/>
  </si>
  <si>
    <t>其它商服用地</t>
    <phoneticPr fontId="6" type="noConversion"/>
  </si>
  <si>
    <t>五通</t>
    <phoneticPr fontId="228" type="noConversion"/>
  </si>
  <si>
    <t>商业、住宅</t>
    <phoneticPr fontId="26" type="noConversion"/>
  </si>
  <si>
    <t>翡丽中央</t>
    <phoneticPr fontId="3" type="noConversion"/>
  </si>
  <si>
    <t>华鹏卢浮至尊</t>
    <phoneticPr fontId="3" type="noConversion"/>
  </si>
  <si>
    <t>保集梧桐墅</t>
    <phoneticPr fontId="3" type="noConversion"/>
  </si>
  <si>
    <t>扬中绿洲新城实业集团有限公司</t>
    <phoneticPr fontId="6" type="noConversion"/>
  </si>
  <si>
    <t>《国有建设用地使用权出让合同》[3211822013CR(注资）064]及附件、《北京市规划委员会关于同意XX项目的规划设计方案的规划意见复函》[]以及《建设工程规划许可证》[]</t>
    <phoneticPr fontId="6" type="noConversion"/>
  </si>
  <si>
    <t>平整</t>
    <phoneticPr fontId="9" type="noConversion"/>
  </si>
  <si>
    <t>规划建筑面积</t>
    <phoneticPr fontId="228" type="noConversion"/>
  </si>
  <si>
    <t>楼面单价</t>
    <phoneticPr fontId="228" type="noConversion"/>
  </si>
  <si>
    <t>项目</t>
    <phoneticPr fontId="228" type="noConversion"/>
  </si>
  <si>
    <t>扬中市油坊镇</t>
    <phoneticPr fontId="228" type="noConversion"/>
  </si>
  <si>
    <t>扬中市八桥镇</t>
    <phoneticPr fontId="228" type="noConversion"/>
  </si>
  <si>
    <t>扬中市西来桥镇</t>
    <phoneticPr fontId="228" type="noConversion"/>
  </si>
  <si>
    <t>扬中市西来桥镇</t>
    <phoneticPr fontId="228" type="noConversion"/>
  </si>
  <si>
    <t>产权证号</t>
    <phoneticPr fontId="228" type="noConversion"/>
  </si>
  <si>
    <t>《不动产权证书》[苏（2019）扬中市不动产权第9000044号]</t>
    <phoneticPr fontId="6" type="noConversion"/>
  </si>
  <si>
    <t>苏（2019）扬中市不动产权第9000044号</t>
  </si>
  <si>
    <t>扬国用（2013）第40220号</t>
  </si>
  <si>
    <t>扬国用（2013)第40174号</t>
    <phoneticPr fontId="228" type="noConversion"/>
  </si>
  <si>
    <t>扬国用（2012)第40120号</t>
    <phoneticPr fontId="228" type="noConversion"/>
  </si>
  <si>
    <t>合计</t>
    <phoneticPr fontId="228" type="noConversion"/>
  </si>
  <si>
    <t>土地面积（㎡）</t>
    <phoneticPr fontId="228" type="noConversion"/>
  </si>
  <si>
    <t>评估总值（万元）</t>
    <phoneticPr fontId="228"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</si>
</sst>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
      <sz val="11"/>
      <name val="宋体"/>
      <family val="3"/>
      <charset val="134"/>
      <scheme val="minor"/>
    </font>
    <font>
      <sz val="1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27" fillId="0" borderId="0" xfId="16" applyFont="1" applyFill="1"/>
    <xf numFmtId="0" fontId="86" fillId="0" borderId="0" xfId="16" applyFill="1"/>
    <xf numFmtId="0" fontId="86" fillId="9" borderId="0" xfId="16" applyFill="1"/>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27" fillId="17" borderId="0" xfId="16" applyFont="1" applyFill="1"/>
    <xf numFmtId="0" fontId="86" fillId="17" borderId="0" xfId="16" applyFill="1"/>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80"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02" fillId="0" borderId="11" xfId="0" applyFont="1" applyBorder="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77" fillId="0" borderId="0" xfId="0" applyFont="1" applyFill="1">
      <alignment vertical="center"/>
    </xf>
    <xf numFmtId="0" fontId="278" fillId="0" borderId="10" xfId="14" applyFont="1" applyFill="1" applyBorder="1" applyAlignment="1">
      <alignment horizontal="center" vertical="center" wrapText="1"/>
    </xf>
    <xf numFmtId="0" fontId="278" fillId="0" borderId="0" xfId="14" applyFont="1" applyFill="1" applyBorder="1" applyAlignment="1">
      <alignment horizontal="center" vertical="center" wrapText="1"/>
    </xf>
    <xf numFmtId="0" fontId="277" fillId="0" borderId="0" xfId="0" applyFont="1" applyFill="1" applyBorder="1">
      <alignment vertical="center"/>
    </xf>
    <xf numFmtId="0" fontId="0" fillId="0" borderId="0" xfId="0" applyBorder="1">
      <alignment vertical="center"/>
    </xf>
    <xf numFmtId="0" fontId="278" fillId="0" borderId="14" xfId="14" applyFont="1" applyFill="1" applyBorder="1" applyAlignment="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8" fillId="0" borderId="5" xfId="14" applyFont="1" applyFill="1" applyBorder="1" applyAlignment="1">
      <alignment horizontal="left" vertical="center" wrapText="1"/>
    </xf>
    <xf numFmtId="0" fontId="278" fillId="0" borderId="8" xfId="14" applyFont="1" applyFill="1" applyBorder="1" applyAlignment="1">
      <alignment horizontal="left" vertical="center" wrapText="1"/>
    </xf>
    <xf numFmtId="0" fontId="278" fillId="0" borderId="9" xfId="14" applyFont="1" applyFill="1" applyBorder="1" applyAlignment="1">
      <alignment horizontal="lef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17</xdr:col>
      <xdr:colOff>285038</xdr:colOff>
      <xdr:row>85</xdr:row>
      <xdr:rowOff>84970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209550</xdr:colOff>
      <xdr:row>55</xdr:row>
      <xdr:rowOff>9525</xdr:rowOff>
    </xdr:from>
    <xdr:to>
      <xdr:col>9</xdr:col>
      <xdr:colOff>142875</xdr:colOff>
      <xdr:row>92</xdr:row>
      <xdr:rowOff>75443</xdr:rowOff>
    </xdr:to>
    <xdr:pic>
      <xdr:nvPicPr>
        <xdr:cNvPr id="18" name="图片 17"/>
        <xdr:cNvPicPr>
          <a:picLocks noChangeAspect="1"/>
        </xdr:cNvPicPr>
      </xdr:nvPicPr>
      <xdr:blipFill>
        <a:blip xmlns:r="http://schemas.openxmlformats.org/officeDocument/2006/relationships" r:embed="rId2" cstate="print"/>
        <a:stretch>
          <a:fillRect/>
        </a:stretch>
      </xdr:blipFill>
      <xdr:spPr>
        <a:xfrm>
          <a:off x="209550" y="8915400"/>
          <a:ext cx="6581775" cy="6057143"/>
        </a:xfrm>
        <a:prstGeom prst="rect">
          <a:avLst/>
        </a:prstGeom>
      </xdr:spPr>
    </xdr:pic>
    <xdr:clientData/>
  </xdr:twoCellAnchor>
  <xdr:twoCellAnchor editAs="oneCell">
    <xdr:from>
      <xdr:col>0</xdr:col>
      <xdr:colOff>666750</xdr:colOff>
      <xdr:row>81</xdr:row>
      <xdr:rowOff>101512</xdr:rowOff>
    </xdr:from>
    <xdr:to>
      <xdr:col>9</xdr:col>
      <xdr:colOff>427642</xdr:colOff>
      <xdr:row>111</xdr:row>
      <xdr:rowOff>46888</xdr:rowOff>
    </xdr:to>
    <xdr:pic>
      <xdr:nvPicPr>
        <xdr:cNvPr id="19" name="图片 18"/>
        <xdr:cNvPicPr>
          <a:picLocks noChangeAspect="1"/>
        </xdr:cNvPicPr>
      </xdr:nvPicPr>
      <xdr:blipFill>
        <a:blip xmlns:r="http://schemas.openxmlformats.org/officeDocument/2006/relationships" r:embed="rId3" cstate="print"/>
        <a:stretch>
          <a:fillRect/>
        </a:stretch>
      </xdr:blipFill>
      <xdr:spPr>
        <a:xfrm>
          <a:off x="666750" y="13217437"/>
          <a:ext cx="6409342" cy="48031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3;&#26725;&#38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6469;&#2672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199;&#26469;&#2672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t="str">
            <v>苏海</v>
          </cell>
        </row>
        <row r="15">
          <cell r="D15" t="str">
            <v>杨红英</v>
          </cell>
        </row>
        <row r="16">
          <cell r="D16" t="str">
            <v>刘梅</v>
          </cell>
        </row>
        <row r="17">
          <cell r="D17" t="str">
            <v>张津夷</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住宅</v>
          </cell>
        </row>
        <row r="20">
          <cell r="C20" t="str">
            <v>商业</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综合</v>
          </cell>
          <cell r="D77" t="str">
            <v>住宅</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t="str">
            <v>较好</v>
          </cell>
          <cell r="D125">
            <v>0</v>
          </cell>
          <cell r="E125">
            <v>0</v>
          </cell>
          <cell r="F125">
            <v>0</v>
          </cell>
          <cell r="G125">
            <v>0</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9">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5">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63360.360000000008</v>
          </cell>
        </row>
        <row r="20">
          <cell r="F20">
            <v>7040.0400000000009</v>
          </cell>
        </row>
        <row r="27">
          <cell r="F27">
            <v>70400.400000000009</v>
          </cell>
        </row>
      </sheetData>
      <sheetData sheetId="13"/>
      <sheetData sheetId="14"/>
      <sheetData sheetId="15">
        <row r="14">
          <cell r="B14">
            <v>70400.400000000009</v>
          </cell>
          <cell r="C14">
            <v>20114.400000000001</v>
          </cell>
          <cell r="D14">
            <v>10529</v>
          </cell>
        </row>
      </sheetData>
      <sheetData sheetId="16">
        <row r="19">
          <cell r="G19">
            <v>10589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169116.88500000001</v>
          </cell>
        </row>
        <row r="20">
          <cell r="F20">
            <v>18790.764999999985</v>
          </cell>
        </row>
        <row r="27">
          <cell r="F27">
            <v>187907.65</v>
          </cell>
        </row>
      </sheetData>
      <sheetData sheetId="13"/>
      <sheetData sheetId="14"/>
      <sheetData sheetId="15">
        <row r="14">
          <cell r="B14">
            <v>187907.65</v>
          </cell>
          <cell r="C14">
            <v>53687.9</v>
          </cell>
          <cell r="D14">
            <v>23266</v>
          </cell>
        </row>
      </sheetData>
      <sheetData sheetId="16">
        <row r="19">
          <cell r="G19">
            <v>23427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84019.005000000005</v>
          </cell>
        </row>
        <row r="20">
          <cell r="F20">
            <v>9335.4449999999924</v>
          </cell>
        </row>
        <row r="27">
          <cell r="F27">
            <v>93354.45</v>
          </cell>
        </row>
      </sheetData>
      <sheetData sheetId="13"/>
      <sheetData sheetId="14"/>
      <sheetData sheetId="15">
        <row r="14">
          <cell r="B14">
            <v>93354.45</v>
          </cell>
          <cell r="C14">
            <v>26672.7</v>
          </cell>
          <cell r="D14">
            <v>11871</v>
          </cell>
        </row>
      </sheetData>
      <sheetData sheetId="16">
        <row r="19">
          <cell r="G19">
            <v>11951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扬中绿洲新城实业集团有限公司</v>
      </c>
    </row>
    <row r="4" spans="1:55" s="2857" customFormat="1">
      <c r="A4" s="2855" t="s">
        <v>2663</v>
      </c>
      <c r="B4" s="2856" t="str">
        <f>'预评函-封皮'!B46</f>
        <v>赵雯、崔锴</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2019年7月2日（评估专业人员勘察现场之日）</v>
      </c>
    </row>
    <row r="11" spans="1:55" s="2854" customFormat="1">
      <c r="A11" s="2855" t="s">
        <v>2666</v>
      </c>
      <c r="B11" s="2856" t="str">
        <f>'预评函-1'!A14</f>
        <v>根据《不动产权证书》[苏（2019）扬中市不动产权第9000044号]，本次评估估价对象证载（地类）用途为其它商服用地。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根据《国有土地使用证》[]，估价对象（分摊）出让国有建设用地使用权面积为20854.2平方米。根据《建设工程规划许可证》[]、《出让合同》[]，估价对象规划建筑面积为72989.7平方米。</v>
      </c>
    </row>
    <row r="16" spans="1:55" s="2854" customFormat="1">
      <c r="A16" s="2855" t="s">
        <v>2670</v>
      </c>
      <c r="B16" s="2856"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估价期日：2019年7月2日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20854.2</v>
      </c>
    </row>
    <row r="44" spans="1:2">
      <c r="A44" s="2855" t="s">
        <v>2741</v>
      </c>
      <c r="B44" s="2856" t="str">
        <f>'预评函-2'!O3</f>
        <v>规划建筑面积/㎡</v>
      </c>
    </row>
    <row r="45" spans="1:2">
      <c r="A45" s="2855" t="s">
        <v>2723</v>
      </c>
      <c r="B45" s="2856">
        <f>'预评函-2'!O5</f>
        <v>72989.7</v>
      </c>
    </row>
    <row r="46" spans="1:2">
      <c r="A46" s="2855" t="s">
        <v>2724</v>
      </c>
      <c r="B46" s="2856">
        <f ca="1">'预评函-2'!P5</f>
        <v>6036</v>
      </c>
    </row>
    <row r="47" spans="1:2">
      <c r="A47" s="2855" t="s">
        <v>2725</v>
      </c>
      <c r="B47" s="2856">
        <f ca="1">'预评函-2'!Q5</f>
        <v>1724</v>
      </c>
    </row>
    <row r="48" spans="1:2">
      <c r="A48" s="2855" t="s">
        <v>2726</v>
      </c>
      <c r="B48" s="2856">
        <f ca="1">'预评函-2'!R5</f>
        <v>12587</v>
      </c>
    </row>
    <row r="49" spans="1:2">
      <c r="A49" s="2855" t="s">
        <v>2742</v>
      </c>
      <c r="B49" s="2856" t="str">
        <f>'预评函-2'!A6</f>
        <v>抵押价格</v>
      </c>
    </row>
    <row r="50" spans="1:2">
      <c r="A50" s="2855" t="s">
        <v>2727</v>
      </c>
      <c r="B50" s="2856">
        <f ca="1">'预评函-2'!R6</f>
        <v>12587</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赵雯</v>
      </c>
    </row>
    <row r="70" spans="1:2">
      <c r="A70" s="2855" t="s">
        <v>2691</v>
      </c>
      <c r="B70" s="2862">
        <f ca="1">'预评函-3'!B20</f>
        <v>2011110090</v>
      </c>
    </row>
    <row r="71" spans="1:2">
      <c r="A71" s="2855" t="s">
        <v>2692</v>
      </c>
      <c r="B71" s="2856" t="str">
        <f>'预评函-3'!A21</f>
        <v>崔锴</v>
      </c>
    </row>
    <row r="72" spans="1:2" s="2870" customFormat="1" ht="15" thickBot="1">
      <c r="A72" s="2877" t="s">
        <v>2692</v>
      </c>
      <c r="B72" s="2883">
        <f ca="1">'预评函-3'!B21</f>
        <v>2010110070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F12" sqref="F12:I12"/>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27" t="str">
        <f>IF(B10="北京市","北京市",C10)&amp;F10&amp;B16&amp;"国有建设用地使用权"&amp;B9&amp;"预评估"</f>
        <v>江苏省镇江市扬中市油坊镇出让国有建设用地使用权抵押价格预评估</v>
      </c>
      <c r="C1" s="3628"/>
      <c r="D1" s="3628"/>
      <c r="E1" s="3628"/>
      <c r="F1" s="3628"/>
      <c r="G1" s="3628"/>
      <c r="H1" s="3628"/>
      <c r="I1" s="3629"/>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43648</v>
      </c>
      <c r="C3" s="1662" t="s">
        <v>1996</v>
      </c>
      <c r="D3" s="1661">
        <v>43648</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3183</v>
      </c>
      <c r="C4" s="1844">
        <f ca="1">SUMIF(土地估价师,B4,估价师及机构信息!E3:E24)</f>
        <v>2011110090</v>
      </c>
      <c r="D4" s="1841" t="s">
        <v>3184</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赵雯、崔锴</v>
      </c>
      <c r="L4" s="1721"/>
      <c r="M4" s="1721"/>
      <c r="N4" s="1693"/>
      <c r="O4" s="1694"/>
      <c r="P4" s="1693"/>
      <c r="Q4" s="1693"/>
      <c r="R4" s="1693"/>
      <c r="S4" s="1693"/>
      <c r="T4" s="1693"/>
      <c r="U4" s="1693"/>
    </row>
    <row r="5" spans="1:21" ht="15" thickTop="1">
      <c r="A5" s="1664" t="s">
        <v>1942</v>
      </c>
      <c r="B5" s="1787" t="s">
        <v>3367</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3185</v>
      </c>
      <c r="C6" s="1759"/>
      <c r="D6" s="1667"/>
      <c r="E6" s="1693"/>
      <c r="F6" s="1693"/>
      <c r="G6" s="1693"/>
      <c r="H6" s="1659"/>
      <c r="I6" s="1694"/>
      <c r="J6" s="1693"/>
      <c r="K6" s="3030" t="str">
        <f>IF(COUNTIF(B6,"*上海银行*"),"上海银行","")</f>
        <v/>
      </c>
      <c r="L6" s="1721"/>
      <c r="M6" s="1721"/>
      <c r="N6" s="1693"/>
      <c r="O6" s="1694"/>
      <c r="P6" s="1693"/>
      <c r="Q6" s="1693"/>
      <c r="R6" s="1693"/>
      <c r="S6" s="1693"/>
      <c r="T6" s="1693"/>
      <c r="U6" s="1693"/>
    </row>
    <row r="7" spans="1:21">
      <c r="A7" s="1668" t="s">
        <v>2708</v>
      </c>
      <c r="B7" s="1787" t="s">
        <v>3367</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3186</v>
      </c>
      <c r="C8" s="1670"/>
      <c r="D8" s="3633" t="s">
        <v>1945</v>
      </c>
      <c r="E8" s="1842" t="s">
        <v>3187</v>
      </c>
      <c r="F8" s="1671"/>
      <c r="G8" s="1659"/>
      <c r="H8" s="1659"/>
      <c r="I8" s="1705"/>
      <c r="J8" s="1693"/>
      <c r="K8" s="1772"/>
      <c r="L8" s="1721"/>
      <c r="M8" s="1721"/>
      <c r="N8" s="1693"/>
      <c r="O8" s="1694"/>
      <c r="P8" s="1693"/>
      <c r="Q8" s="1693"/>
      <c r="R8" s="1693"/>
      <c r="S8" s="1693"/>
      <c r="T8" s="1693"/>
      <c r="U8" s="1693"/>
    </row>
    <row r="9" spans="1:21" ht="15" thickBot="1">
      <c r="A9" s="1672" t="s">
        <v>1944</v>
      </c>
      <c r="B9" s="1673" t="s">
        <v>3187</v>
      </c>
      <c r="C9" s="1674"/>
      <c r="D9" s="3634"/>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3188</v>
      </c>
      <c r="C10" s="1675" t="s">
        <v>3189</v>
      </c>
      <c r="D10" s="1666"/>
      <c r="E10" s="1676" t="s">
        <v>1947</v>
      </c>
      <c r="F10" s="1677" t="s">
        <v>3360</v>
      </c>
      <c r="G10" s="1743"/>
      <c r="H10" s="1744"/>
      <c r="I10" s="1666"/>
      <c r="J10" s="1693"/>
      <c r="K10" s="1772"/>
      <c r="L10" s="1721"/>
      <c r="M10" s="1721"/>
      <c r="N10" s="1693"/>
      <c r="O10" s="1694"/>
      <c r="P10" s="1693"/>
      <c r="Q10" s="1693"/>
      <c r="R10" s="1693"/>
      <c r="S10" s="1693"/>
      <c r="T10" s="1693"/>
      <c r="U10" s="1693"/>
    </row>
    <row r="11" spans="1:21">
      <c r="A11" s="1696" t="s">
        <v>2001</v>
      </c>
      <c r="B11" s="1787" t="s">
        <v>3190</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30" t="s">
        <v>3361</v>
      </c>
      <c r="C12" s="3631"/>
      <c r="D12" s="3632"/>
      <c r="E12" s="1697" t="s">
        <v>2062</v>
      </c>
      <c r="F12" s="3648" t="s">
        <v>3378</v>
      </c>
      <c r="G12" s="3649"/>
      <c r="H12" s="3649"/>
      <c r="I12" s="3650"/>
      <c r="J12" s="1693"/>
      <c r="K12" s="1772"/>
      <c r="L12" s="1721"/>
      <c r="M12" s="1721"/>
      <c r="N12" s="1693"/>
      <c r="O12" s="1694"/>
      <c r="P12" s="1693"/>
      <c r="Q12" s="1693"/>
      <c r="R12" s="1693"/>
      <c r="S12" s="1693"/>
      <c r="T12" s="1693"/>
      <c r="U12" s="1693"/>
    </row>
    <row r="13" spans="1:21">
      <c r="A13" s="1686" t="s">
        <v>2060</v>
      </c>
      <c r="B13" s="3630" t="s">
        <v>3191</v>
      </c>
      <c r="C13" s="3631"/>
      <c r="D13" s="3632"/>
      <c r="E13" s="1697" t="s">
        <v>2062</v>
      </c>
      <c r="F13" s="3648" t="s">
        <v>3368</v>
      </c>
      <c r="G13" s="3649"/>
      <c r="H13" s="3649"/>
      <c r="I13" s="3650"/>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住宅2083年7月16日</v>
      </c>
      <c r="L16" s="1697" t="str">
        <f>IF(OR(K16="",M16=""),"","、")</f>
        <v>、</v>
      </c>
      <c r="M16" s="2434" t="str">
        <f>IF(E17="","",E16&amp;TEXT(E17,"yyyy年m月d日;;"))</f>
        <v>商业2053年7月16日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67038</v>
      </c>
      <c r="E17" s="1698">
        <v>56081</v>
      </c>
      <c r="F17" s="1698"/>
      <c r="G17" s="1698"/>
      <c r="H17" s="1698"/>
      <c r="I17" s="1698"/>
      <c r="J17" s="1693"/>
      <c r="K17" s="2433" t="str">
        <f>CONCATENATE(K16,L16,M16,N16,O16,P16,Q16,R16,S16,T16,,U16)</f>
        <v>住宅2083年7月16日、商业2053年7月16日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64.08</v>
      </c>
      <c r="E19" s="1684">
        <f>IF(B16="出让",IF(E17="","",ROUNDDOWN(MIN((E17-$D$3)/365,E18),2)),E18)</f>
        <v>34.06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45"/>
      <c r="E20" s="3646"/>
      <c r="F20" s="3646"/>
      <c r="G20" s="3646"/>
      <c r="H20" s="3646"/>
      <c r="I20" s="3647"/>
      <c r="J20" s="1693"/>
      <c r="K20" s="1772"/>
      <c r="L20" s="1721"/>
      <c r="M20" s="1721"/>
      <c r="N20" s="1693"/>
      <c r="O20" s="1694"/>
      <c r="P20" s="1693"/>
      <c r="Q20" s="1693"/>
      <c r="R20" s="1693"/>
      <c r="S20" s="1693"/>
      <c r="T20" s="1693"/>
      <c r="U20" s="1693"/>
    </row>
    <row r="21" spans="1:21">
      <c r="A21" s="1761" t="s">
        <v>1959</v>
      </c>
      <c r="B21" s="1762" t="s">
        <v>1960</v>
      </c>
      <c r="C21" s="1757">
        <f>'数据-汇总表'!E3</f>
        <v>72989.7</v>
      </c>
      <c r="D21" s="1758" t="s">
        <v>1961</v>
      </c>
      <c r="E21" s="3635" t="s">
        <v>1999</v>
      </c>
      <c r="F21" s="3636"/>
      <c r="G21" s="3636"/>
      <c r="H21" s="3636"/>
      <c r="I21" s="3637"/>
      <c r="J21" s="1693"/>
      <c r="K21" s="1772"/>
      <c r="L21" s="1721"/>
      <c r="M21" s="1721"/>
      <c r="N21" s="1693"/>
      <c r="O21" s="1694"/>
      <c r="P21" s="1693"/>
      <c r="Q21" s="1693"/>
      <c r="R21" s="1693"/>
      <c r="S21" s="1693"/>
      <c r="T21" s="1693"/>
      <c r="U21" s="1693"/>
    </row>
    <row r="22" spans="1:21">
      <c r="A22" s="3120" t="s">
        <v>952</v>
      </c>
      <c r="B22" s="1660" t="s">
        <v>1962</v>
      </c>
      <c r="C22" s="1685">
        <f>'数据-汇总表'!D3</f>
        <v>20854.2</v>
      </c>
      <c r="D22" s="1686" t="s">
        <v>1961</v>
      </c>
      <c r="E22" s="3635" t="s">
        <v>2890</v>
      </c>
      <c r="F22" s="3636"/>
      <c r="G22" s="3636"/>
      <c r="H22" s="3636"/>
      <c r="I22" s="3637"/>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38" t="s">
        <v>1967</v>
      </c>
      <c r="C24" s="3639"/>
      <c r="D24" s="3640" t="s">
        <v>1968</v>
      </c>
      <c r="E24" s="3641"/>
      <c r="F24" s="1706" t="s">
        <v>1969</v>
      </c>
      <c r="G24" s="1693"/>
      <c r="H24" s="1693"/>
      <c r="I24" s="1705"/>
      <c r="J24" s="1693"/>
      <c r="K24" s="3626"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26"/>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26"/>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612" t="s">
        <v>2002</v>
      </c>
      <c r="B31" s="1762" t="s">
        <v>2003</v>
      </c>
      <c r="C31" s="3651"/>
      <c r="D31" s="3652"/>
      <c r="E31" s="1693"/>
      <c r="F31" s="1693"/>
      <c r="G31" s="1693"/>
      <c r="H31" s="1693"/>
      <c r="I31" s="1705"/>
      <c r="J31" s="1693"/>
      <c r="K31" s="2436"/>
      <c r="L31" s="1693"/>
      <c r="M31" s="1693"/>
      <c r="N31" s="1693"/>
      <c r="O31" s="1693"/>
      <c r="P31" s="1693"/>
      <c r="Q31" s="1693"/>
      <c r="R31" s="1693"/>
      <c r="S31" s="1693"/>
      <c r="T31" s="1693"/>
      <c r="U31" s="1693"/>
    </row>
    <row r="32" spans="1:21">
      <c r="A32" s="3612"/>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12"/>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13"/>
      <c r="B34" s="1660" t="s">
        <v>2006</v>
      </c>
      <c r="C34" s="3614"/>
      <c r="D34" s="3615"/>
      <c r="E34" s="1693"/>
      <c r="F34" s="1693"/>
      <c r="G34" s="1693"/>
      <c r="H34" s="1693"/>
      <c r="I34" s="1705"/>
      <c r="J34" s="1693"/>
      <c r="K34" s="2436"/>
      <c r="L34" s="1693"/>
      <c r="M34" s="1693"/>
      <c r="N34" s="1693"/>
      <c r="O34" s="1693"/>
      <c r="P34" s="1693"/>
      <c r="Q34" s="1693"/>
      <c r="R34" s="1693"/>
      <c r="S34" s="1693"/>
      <c r="T34" s="1693"/>
      <c r="U34" s="1693"/>
    </row>
    <row r="35" spans="1:21">
      <c r="A35" s="3616" t="s">
        <v>847</v>
      </c>
      <c r="B35" s="1720"/>
      <c r="C35" s="1774" t="str">
        <f>IF(B35="场地平整","——","具体情况：")</f>
        <v>具体情况：</v>
      </c>
      <c r="D35" s="3618"/>
      <c r="E35" s="3619"/>
      <c r="F35" s="3619"/>
      <c r="G35" s="3619"/>
      <c r="H35" s="3619"/>
      <c r="I35" s="3620"/>
      <c r="J35" s="1693"/>
      <c r="K35" s="1773"/>
      <c r="L35" s="1721"/>
      <c r="M35" s="1721"/>
      <c r="N35" s="1693"/>
      <c r="O35" s="1694"/>
      <c r="P35" s="1693"/>
      <c r="Q35" s="1693"/>
      <c r="R35" s="1693"/>
      <c r="S35" s="1693"/>
      <c r="T35" s="1693"/>
      <c r="U35" s="1693"/>
    </row>
    <row r="36" spans="1:21">
      <c r="A36" s="3612"/>
      <c r="B36" s="3621" t="s">
        <v>2055</v>
      </c>
      <c r="C36" s="3622"/>
      <c r="D36" s="1790"/>
      <c r="E36" s="3623"/>
      <c r="F36" s="3623"/>
      <c r="G36" s="1686" t="str">
        <f>IF(B35="场地未平整","估价结果处理","")</f>
        <v/>
      </c>
      <c r="H36" s="3624"/>
      <c r="I36" s="3624"/>
      <c r="J36" s="1693"/>
      <c r="K36" s="1773"/>
      <c r="L36" s="1721"/>
      <c r="M36" s="1721"/>
      <c r="N36" s="1693"/>
      <c r="O36" s="1694"/>
      <c r="P36" s="1693"/>
      <c r="Q36" s="1693"/>
      <c r="R36" s="1693"/>
      <c r="S36" s="1693"/>
      <c r="T36" s="1693"/>
      <c r="U36" s="1693"/>
    </row>
    <row r="37" spans="1:21" ht="28.5">
      <c r="A37" s="3612"/>
      <c r="B37" s="3642"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12"/>
      <c r="B38" s="3643"/>
      <c r="C38" s="1668" t="s">
        <v>850</v>
      </c>
      <c r="D38" s="1789">
        <f>ROUNDDOWN(MIN(('数据-取费表'!$B$2-D37)/365,D34),1)</f>
        <v>119.5</v>
      </c>
      <c r="E38" s="1725" t="s">
        <v>851</v>
      </c>
      <c r="F38" s="1693"/>
      <c r="G38" s="1693"/>
      <c r="H38" s="1693"/>
      <c r="I38" s="1705"/>
      <c r="J38" s="1693"/>
      <c r="K38" s="1773"/>
      <c r="L38" s="1693"/>
      <c r="M38" s="1693"/>
      <c r="N38" s="1693"/>
      <c r="O38" s="1693"/>
      <c r="P38" s="1693"/>
      <c r="Q38" s="1693"/>
      <c r="R38" s="1693"/>
      <c r="S38" s="1693"/>
      <c r="T38" s="1693"/>
      <c r="U38" s="1693"/>
    </row>
    <row r="39" spans="1:21">
      <c r="A39" s="3613"/>
      <c r="B39" s="3644"/>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3192</v>
      </c>
      <c r="C40" s="1689" t="s">
        <v>3193</v>
      </c>
      <c r="D40" s="1689" t="s">
        <v>3195</v>
      </c>
      <c r="E40" s="1689" t="s">
        <v>3194</v>
      </c>
      <c r="F40" s="1689" t="s">
        <v>3196</v>
      </c>
      <c r="G40" s="1689"/>
      <c r="H40" s="1689"/>
      <c r="I40" s="1705"/>
      <c r="J40" s="1693"/>
      <c r="K40" s="1728">
        <f>COUNTIF(B40:H40,"——")</f>
        <v>0</v>
      </c>
      <c r="L40" s="1697" t="s">
        <v>1979</v>
      </c>
      <c r="M40" s="1695" t="s">
        <v>1980</v>
      </c>
      <c r="N40" s="1695" t="s">
        <v>1981</v>
      </c>
      <c r="O40" s="1695" t="s">
        <v>1982</v>
      </c>
      <c r="P40" s="1695" t="s">
        <v>1983</v>
      </c>
      <c r="Q40" s="1695" t="s">
        <v>1984</v>
      </c>
      <c r="R40" s="1695" t="s">
        <v>1985</v>
      </c>
      <c r="S40" s="3625" t="s">
        <v>1986</v>
      </c>
      <c r="T40" s="1729" t="str">
        <f>NUMBERSTRING(7-K40,1)&amp;"通"</f>
        <v>七通</v>
      </c>
      <c r="U40" s="1693"/>
    </row>
    <row r="41" spans="1:21" ht="28.5">
      <c r="A41" s="1662"/>
      <c r="B41" s="3617" t="s">
        <v>1722</v>
      </c>
      <c r="C41" s="3617"/>
      <c r="D41" s="3617"/>
      <c r="E41" s="3617"/>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25"/>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7" customFormat="1" ht="21" thickBot="1">
      <c r="A45" s="3048" t="s">
        <v>2891</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G22" activePane="bottomRight" state="frozen"/>
      <selection pane="topRight" activeCell="E1" sqref="E1"/>
      <selection pane="bottomLeft" activeCell="A12" sqref="A12"/>
      <selection pane="bottomRight" activeCell="J34" sqref="J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20854.2</v>
      </c>
      <c r="B3" s="22">
        <f>IF(C3="否",G5-AT5,G5)</f>
        <v>72989.7</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72989.7</v>
      </c>
      <c r="H5" s="27">
        <f t="shared" ref="H5:AT5" si="0">SUM(H13:H641)</f>
        <v>72989.7</v>
      </c>
      <c r="I5" s="27">
        <f t="shared" si="0"/>
        <v>65690.73</v>
      </c>
      <c r="J5" s="27">
        <f t="shared" si="0"/>
        <v>0</v>
      </c>
      <c r="K5" s="27">
        <f t="shared" si="0"/>
        <v>7298.9700000000012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72989.7</v>
      </c>
      <c r="BA5" s="29">
        <f t="shared" si="1"/>
        <v>72989.7</v>
      </c>
      <c r="BB5" s="29">
        <f t="shared" si="1"/>
        <v>65690.73</v>
      </c>
      <c r="BC5" s="29">
        <f t="shared" si="1"/>
        <v>7298.9700000000012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20854.199999999997</v>
      </c>
      <c r="F6" s="27" t="s">
        <v>1</v>
      </c>
      <c r="G6" s="27" t="s">
        <v>2</v>
      </c>
      <c r="H6" s="33">
        <f>SUMIF(I$12:AB$12,"总值",I6:AB6)</f>
        <v>20854.199999999997</v>
      </c>
      <c r="I6" s="27">
        <f t="shared" ref="I6:AB6" si="2">ROUND($A$3*I5/$B$3,2)</f>
        <v>18768.78</v>
      </c>
      <c r="J6" s="27">
        <f t="shared" si="2"/>
        <v>0</v>
      </c>
      <c r="K6" s="27">
        <f t="shared" si="2"/>
        <v>2085.42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20854.2</v>
      </c>
      <c r="AZ6" s="27" t="s">
        <v>3</v>
      </c>
      <c r="BA6" s="27">
        <f>ROUND($AY$6*BA5/$AZ$5,2)</f>
        <v>20854.2</v>
      </c>
      <c r="BB6" s="27">
        <f>ROUND($AY$6*BB5/$AZ$5,2)</f>
        <v>18768.78</v>
      </c>
      <c r="BC6" s="27">
        <f t="shared" ref="BC6:BH6" si="4">ROUND($AY$6*BC5/$AZ$5,2)</f>
        <v>2085.42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3011</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20854.2</v>
      </c>
      <c r="F13" s="81"/>
      <c r="G13" s="82">
        <f t="shared" ref="G13:G20" si="7">H13+AC13+AT13</f>
        <v>72989.7</v>
      </c>
      <c r="H13" s="33">
        <f t="shared" ref="H13:H20" si="8">SUMIF(I$12:AB$12,"总值",I13:AB13)</f>
        <v>72989.7</v>
      </c>
      <c r="I13" s="2992">
        <f>A16*0.9</f>
        <v>65690.73</v>
      </c>
      <c r="J13" s="2992"/>
      <c r="K13" s="2992">
        <f>A16-I13</f>
        <v>7298.9700000000012</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20854.2</v>
      </c>
      <c r="AZ13" s="27">
        <f t="shared" ref="AZ13:AZ20" si="12">BA13+BL13</f>
        <v>72989.7</v>
      </c>
      <c r="BA13" s="27">
        <f t="shared" ref="BA13:BA20" si="13">SUM(BB13:BK13)</f>
        <v>72989.7</v>
      </c>
      <c r="BB13" s="27">
        <f t="shared" ref="BB13:BB20" si="14">IF($D13="是",I13-J13,0)</f>
        <v>65690.73</v>
      </c>
      <c r="BC13" s="27">
        <f t="shared" ref="BC13:BC20" si="15">IF($D13="是",K13-L13,0)</f>
        <v>7298.9700000000012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72989.7</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72989.7</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82" t="s">
        <v>3174</v>
      </c>
      <c r="B28" s="3182" t="s">
        <v>3010</v>
      </c>
      <c r="C28" s="3182">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3182" t="s">
        <v>3174</v>
      </c>
      <c r="B29" s="3182" t="s">
        <v>3010</v>
      </c>
      <c r="C29" s="3182">
        <v>20498.400000000001</v>
      </c>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t="str">
        <f t="shared" si="37"/>
        <v>扬中市八桥镇</v>
      </c>
      <c r="AW29" s="1978" t="str">
        <f t="shared" si="38"/>
        <v>出让</v>
      </c>
      <c r="AX29" s="1978">
        <f t="shared" si="39"/>
        <v>20498.400000000001</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3182" t="s">
        <v>3174</v>
      </c>
      <c r="B30" s="3183" t="s">
        <v>3010</v>
      </c>
      <c r="C30" s="3183">
        <v>33028.6</v>
      </c>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t="str">
        <f t="shared" si="37"/>
        <v>扬中市八桥镇</v>
      </c>
      <c r="AW30" s="1978" t="str">
        <f t="shared" si="38"/>
        <v>出让</v>
      </c>
      <c r="AX30" s="1978">
        <f t="shared" si="39"/>
        <v>33028.6</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82" t="s">
        <v>3175</v>
      </c>
      <c r="B31" s="3183" t="s">
        <v>3176</v>
      </c>
      <c r="C31" s="3183">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82" t="s">
        <v>3177</v>
      </c>
      <c r="B32" s="3183" t="s">
        <v>3176</v>
      </c>
      <c r="C32" s="3183">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82" t="s">
        <v>3178</v>
      </c>
      <c r="B33" s="3183" t="s">
        <v>3176</v>
      </c>
      <c r="C33" s="3183">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71.25">
      <c r="A34" s="3182" t="s">
        <v>3179</v>
      </c>
      <c r="B34" s="3183" t="s">
        <v>3176</v>
      </c>
      <c r="C34" s="3183">
        <v>16996.97</v>
      </c>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t="str">
        <f t="shared" si="37"/>
        <v>扬中市东升站河南侧、花园路北侧地块五</v>
      </c>
      <c r="AW34" s="1978" t="str">
        <f t="shared" si="38"/>
        <v>出让</v>
      </c>
      <c r="AX34" s="1978">
        <f t="shared" si="39"/>
        <v>16996.97</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3" t="s">
        <v>0</v>
      </c>
      <c r="B1" s="3653" t="s">
        <v>4</v>
      </c>
      <c r="C1" s="3653" t="s">
        <v>5</v>
      </c>
      <c r="D1" s="3654" t="s">
        <v>40</v>
      </c>
      <c r="E1" s="3654" t="s">
        <v>41</v>
      </c>
      <c r="F1" s="3654"/>
      <c r="G1" s="3654"/>
      <c r="H1" s="3654"/>
      <c r="I1" s="3654"/>
      <c r="J1" s="3654"/>
      <c r="K1" s="3654"/>
      <c r="L1" s="3654"/>
      <c r="M1" s="3654"/>
    </row>
    <row r="2" spans="1:13" ht="27" customHeight="1">
      <c r="A2" s="3653"/>
      <c r="B2" s="3653"/>
      <c r="C2" s="3653"/>
      <c r="D2" s="3654"/>
      <c r="E2" s="3654" t="s">
        <v>24</v>
      </c>
      <c r="F2" s="3654" t="s">
        <v>25</v>
      </c>
      <c r="G2" s="3654"/>
      <c r="H2" s="3654"/>
      <c r="I2" s="3654"/>
      <c r="J2" s="3654" t="s">
        <v>26</v>
      </c>
      <c r="K2" s="3654"/>
      <c r="L2" s="3654"/>
      <c r="M2" s="3654"/>
    </row>
    <row r="3" spans="1:13" ht="28.5">
      <c r="A3" s="3653"/>
      <c r="B3" s="3653"/>
      <c r="C3" s="3653"/>
      <c r="D3" s="3654"/>
      <c r="E3" s="36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4" t="s">
        <v>42</v>
      </c>
      <c r="B9" s="3654"/>
      <c r="C9" s="36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9"/>
  <sheetViews>
    <sheetView topLeftCell="A10" zoomScale="90" zoomScaleNormal="90" zoomScaleSheetLayoutView="90" workbookViewId="0">
      <selection activeCell="I38" sqref="I38"/>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64" t="s">
        <v>203</v>
      </c>
      <c r="B2" s="3664"/>
      <c r="C2" s="3664"/>
      <c r="D2" s="1974" t="s">
        <v>204</v>
      </c>
      <c r="E2" s="106" t="s">
        <v>205</v>
      </c>
      <c r="F2" s="1983"/>
      <c r="G2" s="1198"/>
      <c r="H2" s="1199"/>
      <c r="I2" s="1200" t="s">
        <v>857</v>
      </c>
      <c r="J2" s="1983"/>
      <c r="K2" s="1983"/>
      <c r="L2" s="1983"/>
    </row>
    <row r="3" spans="1:16" ht="15.75" thickBot="1">
      <c r="A3" s="3665" t="s">
        <v>206</v>
      </c>
      <c r="B3" s="3665"/>
      <c r="C3" s="3665"/>
      <c r="D3" s="107">
        <f>'数据-基础表'!AY6</f>
        <v>20854.2</v>
      </c>
      <c r="E3" s="107">
        <f>'数据-基础表'!AZ5</f>
        <v>72989.7</v>
      </c>
      <c r="F3" s="1983"/>
      <c r="G3" s="280" t="s">
        <v>858</v>
      </c>
      <c r="H3" s="275" t="s">
        <v>859</v>
      </c>
      <c r="I3" s="1975">
        <f>ROUND('数据-基础表'!B3/'数据-基础表'!A3,2)</f>
        <v>3.5</v>
      </c>
      <c r="J3" s="1983"/>
      <c r="K3" s="1983"/>
      <c r="L3" s="1983"/>
    </row>
    <row r="4" spans="1:16" ht="15">
      <c r="A4" s="3666"/>
      <c r="B4" s="3667"/>
      <c r="C4" s="3668"/>
      <c r="D4" s="108" t="s">
        <v>204</v>
      </c>
      <c r="E4" s="109" t="s">
        <v>205</v>
      </c>
      <c r="F4" s="1983"/>
      <c r="G4" s="1201"/>
      <c r="H4" s="275" t="s">
        <v>860</v>
      </c>
      <c r="I4" s="1975">
        <f>ROUND(SUMIF('数据-基础表'!I9:AS9,"地上",'数据-基础表'!I5:AS5)/'数据-基础表'!A3,2)</f>
        <v>3.5</v>
      </c>
      <c r="J4" s="1983"/>
      <c r="K4" s="1983"/>
      <c r="L4" s="1983"/>
    </row>
    <row r="5" spans="1:16">
      <c r="A5" s="110" t="s">
        <v>207</v>
      </c>
      <c r="B5" s="3669" t="s">
        <v>230</v>
      </c>
      <c r="C5" s="3669"/>
      <c r="D5" s="111">
        <f>ROUND($D$3*E5/$E$3,2)</f>
        <v>18768.78</v>
      </c>
      <c r="E5" s="112">
        <f>SUMIF('数据-基础表'!$11:$11,"住宅",'数据-基础表'!$5:$5)</f>
        <v>65690.73</v>
      </c>
      <c r="F5" s="1983"/>
      <c r="G5" s="280" t="s">
        <v>861</v>
      </c>
      <c r="H5" s="275" t="s">
        <v>859</v>
      </c>
      <c r="I5" s="1975">
        <f>ROUND(E31/D31,2)</f>
        <v>3.5</v>
      </c>
      <c r="J5" s="1983"/>
      <c r="K5" s="1983"/>
      <c r="L5" s="1983"/>
    </row>
    <row r="6" spans="1:16" ht="15" thickBot="1">
      <c r="A6" s="113"/>
      <c r="B6" s="3669" t="s">
        <v>208</v>
      </c>
      <c r="C6" s="3669"/>
      <c r="D6" s="111">
        <f>ROUND($D$3*E6/$E$3,2)</f>
        <v>2085.42</v>
      </c>
      <c r="E6" s="112">
        <f>E3-E5</f>
        <v>7298.9700000000012</v>
      </c>
      <c r="F6" s="1983"/>
      <c r="G6" s="1201"/>
      <c r="H6" s="275" t="s">
        <v>860</v>
      </c>
      <c r="I6" s="1975">
        <f>ROUND(F31/D31,2)</f>
        <v>3.5</v>
      </c>
      <c r="J6" s="1983"/>
      <c r="K6" s="1983"/>
      <c r="L6" s="1983"/>
    </row>
    <row r="7" spans="1:16" ht="15">
      <c r="A7" s="3661"/>
      <c r="B7" s="3662"/>
      <c r="C7" s="3663"/>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20854.2</v>
      </c>
      <c r="E8" s="116">
        <f>SUMIF('数据-基础表'!BB10:BK10,"地上",'数据-基础表'!BB5:BK5)</f>
        <v>72989.7</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20854.2</v>
      </c>
      <c r="E16" s="120">
        <f>SUM(E8:E15)</f>
        <v>72989.7</v>
      </c>
      <c r="F16" s="1983"/>
      <c r="G16" s="1985"/>
      <c r="H16" s="968" t="s">
        <v>219</v>
      </c>
      <c r="I16" s="969"/>
      <c r="J16" s="1983"/>
      <c r="K16" s="3655" t="s">
        <v>2567</v>
      </c>
      <c r="L16" s="3656"/>
      <c r="M16" s="3656"/>
      <c r="N16" s="3656"/>
      <c r="O16" s="3656"/>
      <c r="P16" s="3657"/>
    </row>
    <row r="17" spans="1:19" ht="15">
      <c r="A17" s="121" t="s">
        <v>216</v>
      </c>
      <c r="B17" s="122" t="s">
        <v>217</v>
      </c>
      <c r="C17" s="2297" t="s">
        <v>2314</v>
      </c>
      <c r="D17" s="108" t="s">
        <v>204</v>
      </c>
      <c r="E17" s="124" t="s">
        <v>205</v>
      </c>
      <c r="F17" s="125"/>
      <c r="G17" s="1366"/>
      <c r="H17" s="970" t="s">
        <v>218</v>
      </c>
      <c r="I17" s="971" t="s">
        <v>2313</v>
      </c>
      <c r="J17" s="1983"/>
      <c r="K17" s="3658" t="s">
        <v>2568</v>
      </c>
      <c r="L17" s="3659"/>
      <c r="M17" s="3660"/>
      <c r="N17" s="3658" t="s">
        <v>2569</v>
      </c>
      <c r="O17" s="3659"/>
      <c r="P17" s="3660"/>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3014</v>
      </c>
      <c r="D19" s="111">
        <f t="shared" ref="D19:D26" si="1">ROUND($D$3*E19/$E$3,2)</f>
        <v>18768.78</v>
      </c>
      <c r="E19" s="134">
        <f t="shared" ref="E19:E26" si="2">SUM(F19:G19)</f>
        <v>65690.73</v>
      </c>
      <c r="F19" s="135">
        <f>'数据-基础表'!I13</f>
        <v>65690.73</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18768.78</v>
      </c>
      <c r="S19" s="2300">
        <f t="shared" si="5"/>
        <v>65690.73</v>
      </c>
    </row>
    <row r="20" spans="1:19">
      <c r="A20" s="138"/>
      <c r="B20" s="115" t="s">
        <v>226</v>
      </c>
      <c r="C20" s="2999" t="s">
        <v>3020</v>
      </c>
      <c r="D20" s="111">
        <f t="shared" si="1"/>
        <v>2085.42</v>
      </c>
      <c r="E20" s="134">
        <f t="shared" si="2"/>
        <v>7298.9700000000012</v>
      </c>
      <c r="F20" s="135">
        <f>'数据-基础表'!K13</f>
        <v>7298.9700000000012</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2085.42</v>
      </c>
      <c r="S20" s="2300">
        <f t="shared" si="5"/>
        <v>7298.9700000000012</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20854.199999999997</v>
      </c>
      <c r="E27" s="143">
        <f>IF(SUM(E19:E26)='数据-基础表'!BA5,SUM(E19:E26),IF(F27="地上面积有误","面积有误","地下面积有误"))</f>
        <v>72989.7</v>
      </c>
      <c r="F27" s="134">
        <f>IF(SUM(F19:F26)=E8,SUM(F19:F26),"地上面积有误")</f>
        <v>72989.7</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20854.199999999997</v>
      </c>
      <c r="S27" s="275">
        <f>IF(SUM(S19:S26)=$E$3,SUM(S19:S26),SUM(S19:S26)&amp;"误差"&amp;ROUND(SUM(S19:S26)-E3,2))</f>
        <v>72989.7</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20854.199999999997</v>
      </c>
      <c r="E31" s="1372">
        <f>E27+E30</f>
        <v>72989.7</v>
      </c>
      <c r="F31" s="1373">
        <f>F27+F30</f>
        <v>72989.7</v>
      </c>
      <c r="G31" s="1374">
        <f>G27+G30</f>
        <v>0</v>
      </c>
      <c r="H31" s="1983"/>
      <c r="I31" s="1983"/>
      <c r="J31" s="1983"/>
      <c r="K31" s="1983"/>
      <c r="L31" s="1983"/>
    </row>
    <row r="32" spans="1:19">
      <c r="A32" s="1983"/>
      <c r="B32" s="2341" t="s">
        <v>2322</v>
      </c>
      <c r="C32" s="2625"/>
      <c r="D32" s="1201"/>
      <c r="E32" s="1201">
        <f>SUMIF(C19:C26,"*住宅*",E19:E26)</f>
        <v>65690.73</v>
      </c>
      <c r="F32" s="1201"/>
      <c r="G32" s="1201"/>
    </row>
    <row r="33" spans="4:5">
      <c r="D33" s="1987"/>
    </row>
    <row r="37" spans="4:5">
      <c r="E37" s="1984">
        <f>F19+'[2]数据-汇总表'!$F$19+'[3]数据-汇总表'!$F$19+'[4]数据-汇总表'!$F$19</f>
        <v>382186.98</v>
      </c>
    </row>
    <row r="38" spans="4:5">
      <c r="E38" s="1984">
        <f>F20+'[2]数据-汇总表'!$F$20+'[3]数据-汇总表'!$F$20+'[4]数据-汇总表'!$F$20</f>
        <v>42465.219999999979</v>
      </c>
    </row>
    <row r="39" spans="4:5">
      <c r="E39" s="1987">
        <f>F27+'[2]数据-汇总表'!$F$27+'[3]数据-汇总表'!$F$27+'[4]数据-汇总表'!$F$27</f>
        <v>424652.2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31" sqref="L3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67038</v>
      </c>
      <c r="F6" s="174">
        <f>SUMIF(项目基本情况!D$15:I$15,C6,项目基本情况!D$19:I$19)</f>
        <v>64.08</v>
      </c>
      <c r="G6" s="175">
        <f>IF(ISERROR(ROUND(POWER(1+H6,D6-F6)*(POWER(1+H6,F6)-1)/(POWER(1+H6,D6)-1),3)),0,ROUND(POWER(1+H6,D6-F6)*(POWER(1+H6,F6)-1)/(POWER(1+H6,D6)-1),3))</f>
        <v>0.98599999999999999</v>
      </c>
      <c r="H6" s="3000">
        <v>4.4999999999999998E-2</v>
      </c>
      <c r="I6" s="3000">
        <v>0.05</v>
      </c>
      <c r="J6" s="176">
        <v>8.5000000000000006E-2</v>
      </c>
      <c r="K6" s="179">
        <f>SUMIF('数据-汇总表'!C$19:C$33,'数据-取费表'!A6,'数据-汇总表'!E$19:E$33)</f>
        <v>65690.73</v>
      </c>
      <c r="L6" s="3001">
        <v>2600</v>
      </c>
      <c r="M6" s="177">
        <f t="shared" ref="M6:M14" si="0">ROUND(K6*L6/10000,0)</f>
        <v>17080</v>
      </c>
      <c r="N6" s="3002">
        <v>0</v>
      </c>
      <c r="O6" s="177">
        <f>IF($N$5="成新度","——",ROUND(M6*N6,0))</f>
        <v>0</v>
      </c>
      <c r="P6" s="178">
        <f>IF($N$5="成新度","——",M6-O6)</f>
        <v>17080</v>
      </c>
      <c r="Q6" s="3003">
        <v>0.2</v>
      </c>
      <c r="R6" s="179">
        <f>SUMIF('数据-汇总表'!C$19:C$33,A6,'数据-汇总表'!R$19:R$33)</f>
        <v>18768.78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0.94</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3011</v>
      </c>
      <c r="D7" s="2307">
        <f>SUMIF(项目基本情况!D$15:I$15,C7,项目基本情况!D$18:I$18)</f>
        <v>40</v>
      </c>
      <c r="E7" s="2308">
        <f>IF(B7="","",SUMIF(项目基本情况!D$15:I$15,C7,项目基本情况!D$17:I$17))</f>
        <v>56081</v>
      </c>
      <c r="F7" s="174">
        <f>SUMIF(项目基本情况!D$15:I$15,C7,项目基本情况!D$19:I$19)</f>
        <v>34.06</v>
      </c>
      <c r="G7" s="175">
        <f t="shared" ref="G7:G11" si="2">IF(ISERROR(ROUND(POWER(1+H7,D7-F7)*(POWER(1+H7,F7)-1)/(POWER(1+H7,D7)-1),3)),0,ROUND(POWER(1+H7,D7-F7)*(POWER(1+H7,F7)-1)/(POWER(1+H7,D7)-1),3))</f>
        <v>0.94399999999999995</v>
      </c>
      <c r="H7" s="3000">
        <v>0.05</v>
      </c>
      <c r="I7" s="3000">
        <v>5.5E-2</v>
      </c>
      <c r="J7" s="176">
        <v>8.5000000000000006E-2</v>
      </c>
      <c r="K7" s="179">
        <f>SUMIF('数据-汇总表'!C$19:C$33,'数据-取费表'!A7,'数据-汇总表'!E$19:E$33)</f>
        <v>7298.9700000000012</v>
      </c>
      <c r="L7" s="3001">
        <f>L6</f>
        <v>2600</v>
      </c>
      <c r="M7" s="177">
        <f t="shared" si="0"/>
        <v>1898</v>
      </c>
      <c r="N7" s="3002">
        <v>0</v>
      </c>
      <c r="O7" s="177">
        <f t="shared" ref="O7:O14" si="3">IF($N$5="成新度","——",ROUND(M7*N7,0))</f>
        <v>0</v>
      </c>
      <c r="P7" s="178">
        <f t="shared" ref="P7:P14" si="4">IF($N$5="成新度","——",M7-O7)</f>
        <v>1898</v>
      </c>
      <c r="Q7" s="3003">
        <v>0.2</v>
      </c>
      <c r="R7" s="179">
        <f>SUMIF('数据-汇总表'!C$19:C$33,A7,'数据-汇总表'!R$19:R$33)</f>
        <v>2085.42</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1.5</v>
      </c>
      <c r="V7" s="181">
        <v>2.5000000000000001E-2</v>
      </c>
      <c r="W7" s="181">
        <v>0.1</v>
      </c>
      <c r="X7" s="2320"/>
      <c r="Y7" s="182">
        <v>1</v>
      </c>
      <c r="Z7" s="183"/>
      <c r="AA7" s="176"/>
      <c r="AB7" s="176"/>
      <c r="AC7" s="2323"/>
      <c r="AD7" s="184"/>
      <c r="AE7" s="972">
        <f t="shared" ref="AE7:AE13" ca="1" si="6">IF(AN7="",0,SUMIF(INDIRECT("'"&amp;AN7&amp;"'"&amp;"!E:E"),$AE$5,INDIRECT("'"&amp;AN7&amp;"'"&amp;"!F:F")))</f>
        <v>34.06</v>
      </c>
      <c r="AF7" s="141"/>
      <c r="AG7" s="1213">
        <f t="shared" ref="AG7:AG13" si="7">IF(AF7="",0,AE7-AF7)</f>
        <v>0</v>
      </c>
      <c r="AH7" s="141"/>
      <c r="AI7" s="187">
        <v>365</v>
      </c>
      <c r="AJ7" s="188"/>
      <c r="AK7" s="189">
        <v>0.01</v>
      </c>
      <c r="AL7" s="190">
        <v>1E-3</v>
      </c>
      <c r="AM7" s="2368">
        <v>0.01</v>
      </c>
      <c r="AN7" s="2370" t="s">
        <v>3167</v>
      </c>
      <c r="AO7" s="1999"/>
      <c r="AP7" s="1204">
        <f t="shared" ref="AP7:AP13" si="8">ROUND(1-1/(1+H7)^F7,3)</f>
        <v>0.81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0.98199999999999998</v>
      </c>
      <c r="H16" s="203">
        <f>ROUND(SUMPRODUCT(H6:H13,K6:K13)/SUMPRODUCT((H6:H13&gt;0)*(K6:K13)),3)</f>
        <v>4.5999999999999999E-2</v>
      </c>
      <c r="I16" s="204"/>
      <c r="J16" s="204"/>
      <c r="K16" s="205">
        <f>SUM(K6:K15)</f>
        <v>72989.7</v>
      </c>
      <c r="L16" s="206">
        <f>ROUND(M16*10000/SUM(K6:K14),0)</f>
        <v>2600</v>
      </c>
      <c r="M16" s="206">
        <f>SUM(M6:M14)</f>
        <v>18978</v>
      </c>
      <c r="N16" s="207">
        <f>ROUND(SUMPRODUCT(M6:M14,N6:N14)/M16,3)</f>
        <v>0</v>
      </c>
      <c r="O16" s="206">
        <f>SUM(O6:O14)</f>
        <v>0</v>
      </c>
      <c r="P16" s="206">
        <f>SUM(P6:P14)</f>
        <v>18978</v>
      </c>
      <c r="Q16" s="208">
        <f>ROUND(SUMPRODUCT(Q6:Q13,K6:K13)/SUMPRODUCT((Q6:Q13&gt;0)*(K6:K13)),2)</f>
        <v>0.2</v>
      </c>
      <c r="R16" s="2310">
        <f>SUM(R6:R13)</f>
        <v>20854.199999999997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73">
        <v>0.2</v>
      </c>
      <c r="K18" s="1990">
        <f>K16*J18</f>
        <v>14597.94</v>
      </c>
      <c r="L18" s="1990">
        <v>2200</v>
      </c>
      <c r="M18" s="1988">
        <f>L18*K18/10000</f>
        <v>3211.5468000000001</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74">
        <f>K16</f>
        <v>72989.7</v>
      </c>
      <c r="L19" s="1990">
        <f>L18</f>
        <v>2200</v>
      </c>
      <c r="M19" s="1988">
        <f>L19*K19/10000</f>
        <v>16057.734</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2640</v>
      </c>
      <c r="M20" s="1988">
        <f>M18+M19</f>
        <v>19269.2808</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0.06</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1" t="s">
        <v>2903</v>
      </c>
      <c r="D53" s="3052"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2905</v>
      </c>
      <c r="B54" s="186">
        <v>8</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2906</v>
      </c>
      <c r="B55" s="186">
        <v>5.5</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2907</v>
      </c>
      <c r="B56" s="186">
        <v>3.5</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2908</v>
      </c>
      <c r="B57" s="186">
        <v>3</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2909</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2910</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70" t="s">
        <v>1664</v>
      </c>
      <c r="B1" s="3671"/>
      <c r="C1" s="3671"/>
      <c r="D1" s="3671"/>
      <c r="E1" s="3671"/>
      <c r="F1" s="3671"/>
      <c r="G1" s="3671"/>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6" t="s">
        <v>2921</v>
      </c>
      <c r="D3" s="2008"/>
      <c r="E3" s="1229" t="s">
        <v>1667</v>
      </c>
      <c r="F3" s="1230" t="s">
        <v>1655</v>
      </c>
      <c r="G3" s="3060" t="s">
        <v>2920</v>
      </c>
      <c r="H3" s="2007"/>
      <c r="I3" s="2007"/>
      <c r="J3" s="2007"/>
      <c r="K3" s="2007"/>
      <c r="L3" s="2007"/>
      <c r="M3" s="2007"/>
      <c r="N3" s="2007"/>
      <c r="O3" s="2007"/>
      <c r="P3" s="2007"/>
      <c r="Q3" s="2007"/>
      <c r="R3" s="2007"/>
    </row>
    <row r="4" spans="1:18" ht="41.25">
      <c r="A4" s="1229"/>
      <c r="B4" s="1231" t="s">
        <v>1668</v>
      </c>
      <c r="C4" s="3057" t="s">
        <v>2922</v>
      </c>
      <c r="D4" s="2008"/>
      <c r="E4" s="1232"/>
      <c r="F4" s="1233" t="s">
        <v>1669</v>
      </c>
      <c r="G4" s="3058" t="s">
        <v>2917</v>
      </c>
      <c r="H4" s="2007"/>
      <c r="I4" s="2007"/>
      <c r="J4" s="2007"/>
      <c r="K4" s="2007"/>
      <c r="L4" s="2007"/>
      <c r="M4" s="2007"/>
      <c r="N4" s="2007"/>
      <c r="O4" s="2007"/>
      <c r="P4" s="2007"/>
      <c r="Q4" s="2007"/>
      <c r="R4" s="2007"/>
    </row>
    <row r="5" spans="1:18" ht="41.25">
      <c r="A5" s="1229"/>
      <c r="B5" s="1231" t="s">
        <v>1670</v>
      </c>
      <c r="C5" s="3057" t="s">
        <v>2923</v>
      </c>
      <c r="D5" s="2008"/>
      <c r="E5" s="1232"/>
      <c r="F5" s="1231" t="s">
        <v>2547</v>
      </c>
      <c r="G5" s="3058" t="s">
        <v>2918</v>
      </c>
      <c r="H5" s="2007"/>
      <c r="I5" s="2007"/>
      <c r="J5" s="2007"/>
      <c r="K5" s="2007"/>
      <c r="L5" s="2007"/>
      <c r="M5" s="2007"/>
      <c r="N5" s="2007"/>
      <c r="O5" s="2007"/>
      <c r="P5" s="2007"/>
      <c r="Q5" s="2007"/>
      <c r="R5" s="2007"/>
    </row>
    <row r="6" spans="1:18" ht="54">
      <c r="A6" s="1229"/>
      <c r="B6" s="1231" t="s">
        <v>1656</v>
      </c>
      <c r="C6" s="3058" t="s">
        <v>2917</v>
      </c>
      <c r="D6" s="2008"/>
      <c r="E6" s="1232"/>
      <c r="F6" s="1231" t="s">
        <v>2548</v>
      </c>
      <c r="G6" s="3058" t="s">
        <v>2915</v>
      </c>
      <c r="H6" s="2007"/>
      <c r="I6" s="2007"/>
      <c r="J6" s="2007"/>
      <c r="K6" s="2007"/>
      <c r="L6" s="2007"/>
      <c r="M6" s="2007"/>
      <c r="N6" s="2007"/>
      <c r="O6" s="2007"/>
      <c r="P6" s="2007"/>
      <c r="Q6" s="2007"/>
      <c r="R6" s="2007"/>
    </row>
    <row r="7" spans="1:18" ht="41.25" thickBot="1">
      <c r="A7" s="1229"/>
      <c r="B7" s="1231" t="s">
        <v>2547</v>
      </c>
      <c r="C7" s="3058" t="s">
        <v>2918</v>
      </c>
      <c r="D7" s="2009"/>
      <c r="E7" s="1234"/>
      <c r="F7" s="1235" t="s">
        <v>1671</v>
      </c>
      <c r="G7" s="3061" t="s">
        <v>2919</v>
      </c>
      <c r="H7" s="2007"/>
      <c r="I7" s="2007"/>
      <c r="J7" s="2007"/>
      <c r="K7" s="2007"/>
      <c r="L7" s="2007"/>
      <c r="M7" s="2007"/>
      <c r="N7" s="2007"/>
      <c r="O7" s="2007"/>
      <c r="P7" s="2007"/>
      <c r="Q7" s="2007"/>
      <c r="R7" s="2007"/>
    </row>
    <row r="8" spans="1:18" ht="27">
      <c r="A8" s="1229"/>
      <c r="B8" s="1231" t="s">
        <v>2548</v>
      </c>
      <c r="C8" s="3058" t="s">
        <v>2915</v>
      </c>
      <c r="D8" s="2009"/>
      <c r="E8" s="2009"/>
      <c r="F8" s="1554"/>
      <c r="G8" s="1554"/>
      <c r="H8" s="2007"/>
      <c r="I8" s="2007"/>
      <c r="J8" s="2007"/>
      <c r="K8" s="2007"/>
      <c r="L8" s="2007"/>
      <c r="M8" s="2007"/>
      <c r="N8" s="2007"/>
      <c r="O8" s="2007"/>
      <c r="P8" s="2007"/>
      <c r="Q8" s="2007"/>
      <c r="R8" s="2007"/>
    </row>
    <row r="9" spans="1:18" ht="40.5">
      <c r="A9" s="1229"/>
      <c r="B9" s="1231" t="s">
        <v>1657</v>
      </c>
      <c r="C9" s="3057"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9"/>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2"/>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tabSelected="1" topLeftCell="A4" workbookViewId="0">
      <selection activeCell="F16" sqref="F16"/>
    </sheetView>
  </sheetViews>
  <sheetFormatPr defaultColWidth="14.625" defaultRowHeight="13.5"/>
  <cols>
    <col min="1" max="1" width="24.375" customWidth="1"/>
  </cols>
  <sheetData>
    <row r="1" spans="1:9" ht="16.5">
      <c r="A1" s="3020" t="s">
        <v>2845</v>
      </c>
      <c r="B1" s="3020">
        <f>SUM(B14:B23)</f>
        <v>424652.2</v>
      </c>
      <c r="C1" s="3021"/>
      <c r="D1" s="3021"/>
      <c r="E1" s="3021"/>
      <c r="F1" s="3021"/>
    </row>
    <row r="2" spans="1:9" ht="16.5">
      <c r="A2" s="3020" t="s">
        <v>2846</v>
      </c>
      <c r="B2" s="3020">
        <f>SUM(C14:C23)</f>
        <v>121329.2</v>
      </c>
      <c r="C2" s="3021"/>
      <c r="D2" s="3021"/>
      <c r="E2" s="3021"/>
      <c r="F2" s="3021"/>
    </row>
    <row r="3" spans="1:9" ht="16.5">
      <c r="A3" s="3020" t="s">
        <v>2847</v>
      </c>
      <c r="B3" s="3022">
        <f>项目基本情况!D3</f>
        <v>43648</v>
      </c>
      <c r="C3" s="3021"/>
      <c r="D3" s="3021"/>
      <c r="E3" s="3021"/>
      <c r="F3" s="3021"/>
    </row>
    <row r="4" spans="1:9" ht="33">
      <c r="A4" s="3020" t="s">
        <v>2848</v>
      </c>
      <c r="B4" s="3020" t="s">
        <v>2849</v>
      </c>
      <c r="C4" s="3020" t="s">
        <v>2850</v>
      </c>
      <c r="D4" s="3020" t="s">
        <v>2851</v>
      </c>
      <c r="E4" s="3021"/>
      <c r="F4" s="3021"/>
    </row>
    <row r="5" spans="1:9" ht="16.5">
      <c r="A5" s="3020" t="s">
        <v>2852</v>
      </c>
      <c r="B5" s="3020">
        <f ca="1">SUM(D14:D23)</f>
        <v>58253</v>
      </c>
      <c r="C5" s="3020">
        <f ca="1">ROUND(B5*10000/$B$1,0)</f>
        <v>1372</v>
      </c>
      <c r="D5" s="3020">
        <f ca="1">ROUND(B5*10000/$B$2,0)</f>
        <v>4801</v>
      </c>
      <c r="E5" s="3021"/>
      <c r="F5" s="3021"/>
    </row>
    <row r="6" spans="1:9" ht="16.5">
      <c r="A6" s="3020" t="s">
        <v>2853</v>
      </c>
      <c r="B6" s="3020">
        <f ca="1">SUM(G14:G23)</f>
        <v>58253</v>
      </c>
      <c r="C6" s="3020">
        <f t="shared" ref="C6:C8" ca="1" si="0">ROUND(B6*10000/$B$1,0)</f>
        <v>1372</v>
      </c>
      <c r="D6" s="3020">
        <f t="shared" ref="D6:D8" ca="1" si="1">ROUND(B6*10000/$B$2,0)</f>
        <v>4801</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72989.7</v>
      </c>
      <c r="C14" s="3024">
        <f>结果表!K38</f>
        <v>20854.2</v>
      </c>
      <c r="D14" s="3024">
        <f ca="1">结果表!C42</f>
        <v>12587</v>
      </c>
      <c r="E14" s="3024">
        <f ca="1">ROUND(D14*10000/B14,0)</f>
        <v>1724</v>
      </c>
      <c r="F14" s="3024">
        <f ca="1">ROUND(D14*10000/C14,0)</f>
        <v>6036</v>
      </c>
      <c r="G14" s="3024">
        <f ca="1">结果表!C44</f>
        <v>12587</v>
      </c>
      <c r="H14" s="3024" t="str">
        <f>结果表!C45</f>
        <v>——</v>
      </c>
      <c r="I14" s="3024" t="str">
        <f>结果表!C46</f>
        <v>——</v>
      </c>
    </row>
    <row r="15" spans="1:9" ht="16.5">
      <c r="A15" s="3027" t="s">
        <v>2862</v>
      </c>
      <c r="B15" s="3576">
        <f>[2]系统读取表!$B$14</f>
        <v>70400.400000000009</v>
      </c>
      <c r="C15" s="3576">
        <f>[2]系统读取表!$C$14</f>
        <v>20114.400000000001</v>
      </c>
      <c r="D15" s="3576">
        <f ca="1">[2]系统读取表!$D$14</f>
        <v>10529</v>
      </c>
      <c r="E15" s="3024">
        <f t="shared" ref="E15:E23" ca="1" si="2">ROUND(D15*10000/B15,0)</f>
        <v>1496</v>
      </c>
      <c r="F15" s="3024">
        <f t="shared" ref="F15:F23" ca="1" si="3">ROUND(D15*10000/C15,0)</f>
        <v>5235</v>
      </c>
      <c r="G15" s="3577">
        <f ca="1">D15</f>
        <v>10529</v>
      </c>
      <c r="H15" s="3025"/>
      <c r="I15" s="3028"/>
    </row>
    <row r="16" spans="1:9" ht="16.5">
      <c r="A16" s="3027" t="s">
        <v>2863</v>
      </c>
      <c r="B16" s="3576">
        <f>[3]系统读取表!$B$14</f>
        <v>187907.65</v>
      </c>
      <c r="C16" s="3576">
        <f>[3]系统读取表!$C$14</f>
        <v>53687.9</v>
      </c>
      <c r="D16" s="3576">
        <f ca="1">[3]系统读取表!$D$14</f>
        <v>23266</v>
      </c>
      <c r="E16" s="3024">
        <f t="shared" ca="1" si="2"/>
        <v>1238</v>
      </c>
      <c r="F16" s="3024">
        <f t="shared" ca="1" si="3"/>
        <v>4334</v>
      </c>
      <c r="G16" s="3577">
        <f t="shared" ref="G16:G17" ca="1" si="4">D16</f>
        <v>23266</v>
      </c>
      <c r="H16" s="3025"/>
      <c r="I16" s="3028"/>
    </row>
    <row r="17" spans="1:9" ht="16.5">
      <c r="A17" s="3027" t="s">
        <v>2864</v>
      </c>
      <c r="B17" s="3576">
        <f>[4]系统读取表!$B$14</f>
        <v>93354.45</v>
      </c>
      <c r="C17" s="3576">
        <f>[4]系统读取表!$C$14</f>
        <v>26672.7</v>
      </c>
      <c r="D17" s="3576">
        <f ca="1">[4]系统读取表!$D$14</f>
        <v>11871</v>
      </c>
      <c r="E17" s="3024">
        <f t="shared" ca="1" si="2"/>
        <v>1272</v>
      </c>
      <c r="F17" s="3024">
        <f t="shared" ca="1" si="3"/>
        <v>4451</v>
      </c>
      <c r="G17" s="3577">
        <f t="shared" ca="1" si="4"/>
        <v>11871</v>
      </c>
      <c r="H17" s="3025"/>
      <c r="I17" s="3028"/>
    </row>
    <row r="18" spans="1:9" ht="16.5">
      <c r="A18" s="3027" t="s">
        <v>2865</v>
      </c>
      <c r="B18" s="3028"/>
      <c r="C18" s="3028"/>
      <c r="D18" s="3028"/>
      <c r="E18" s="3024" t="e">
        <f t="shared" si="2"/>
        <v>#DIV/0!</v>
      </c>
      <c r="F18" s="3024" t="e">
        <f t="shared" si="3"/>
        <v>#DIV/0!</v>
      </c>
      <c r="G18" s="3025"/>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9" zoomScaleNormal="100" zoomScaleSheetLayoutView="100" zoomScalePageLayoutView="80" workbookViewId="0">
      <selection activeCell="F26" sqref="F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08" t="str">
        <f>项目基本情况!K2</f>
        <v>江苏省镇江市扬中市油坊镇出让国有建设用地使用权</v>
      </c>
      <c r="B2" s="3709"/>
      <c r="C2" s="3710"/>
      <c r="D2" s="3710"/>
      <c r="E2" s="3710"/>
      <c r="F2" s="3710"/>
      <c r="G2" s="3709"/>
      <c r="H2" s="3709"/>
      <c r="I2" s="3711"/>
      <c r="J2" s="2029"/>
      <c r="K2" s="2028"/>
      <c r="L2" s="2028"/>
      <c r="M2" s="2028"/>
      <c r="N2" s="2028"/>
      <c r="O2" s="2028"/>
      <c r="P2" s="2028"/>
      <c r="Q2" s="2028"/>
      <c r="R2" s="2028"/>
      <c r="S2" s="2028"/>
      <c r="T2" s="2028"/>
      <c r="U2" s="2028"/>
      <c r="V2" s="2028"/>
    </row>
    <row r="3" spans="1:22" ht="14.25">
      <c r="A3" s="3701" t="s">
        <v>298</v>
      </c>
      <c r="B3" s="3702"/>
      <c r="C3" s="3702"/>
      <c r="D3" s="3702"/>
      <c r="E3" s="3702"/>
      <c r="F3" s="3702"/>
      <c r="G3" s="3702"/>
      <c r="H3" s="3702"/>
      <c r="I3" s="3702"/>
      <c r="J3" s="2029"/>
      <c r="K3" s="2028"/>
      <c r="L3" s="2028"/>
      <c r="M3" s="2028"/>
      <c r="N3" s="2028"/>
      <c r="O3" s="2028"/>
      <c r="P3" s="2028"/>
      <c r="Q3" s="2028"/>
      <c r="R3" s="2028"/>
      <c r="S3" s="2028"/>
      <c r="T3" s="2028"/>
      <c r="U3" s="2028"/>
      <c r="V3" s="2028"/>
    </row>
    <row r="4" spans="1:22" ht="14.25">
      <c r="A4" s="258" t="s">
        <v>299</v>
      </c>
      <c r="B4" s="259" t="s">
        <v>300</v>
      </c>
      <c r="C4" s="260" t="s">
        <v>3027</v>
      </c>
      <c r="D4" s="260" t="s">
        <v>3028</v>
      </c>
      <c r="E4" s="3673" t="s">
        <v>301</v>
      </c>
      <c r="F4" s="3674"/>
      <c r="G4" s="3674"/>
      <c r="H4" s="3674"/>
      <c r="I4" s="3703"/>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672" t="s">
        <v>302</v>
      </c>
      <c r="B5" s="3698">
        <v>25</v>
      </c>
      <c r="C5" s="3696"/>
      <c r="D5" s="3700"/>
      <c r="E5" s="261" t="s">
        <v>303</v>
      </c>
      <c r="F5" s="262"/>
      <c r="G5" s="262"/>
      <c r="H5" s="262"/>
      <c r="I5" s="263"/>
      <c r="J5" s="2029"/>
      <c r="K5" s="2028"/>
      <c r="L5" s="2028"/>
      <c r="M5" s="2028"/>
      <c r="N5" s="2028"/>
      <c r="O5" s="2028"/>
      <c r="P5" s="2028"/>
      <c r="Q5" s="2028"/>
      <c r="R5" s="2028"/>
      <c r="S5" s="2028"/>
      <c r="T5" s="2028"/>
      <c r="U5" s="2028"/>
      <c r="V5" s="2028"/>
    </row>
    <row r="6" spans="1:22" ht="14.25">
      <c r="A6" s="3672"/>
      <c r="B6" s="3698"/>
      <c r="C6" s="3699"/>
      <c r="D6" s="3700"/>
      <c r="E6" s="261" t="s">
        <v>304</v>
      </c>
      <c r="F6" s="262"/>
      <c r="G6" s="262"/>
      <c r="H6" s="262"/>
      <c r="I6" s="263"/>
      <c r="J6" s="2029"/>
      <c r="K6" s="2028"/>
      <c r="L6" s="2028"/>
      <c r="M6" s="2028"/>
      <c r="N6" s="2028"/>
      <c r="O6" s="2028"/>
      <c r="P6" s="2028"/>
      <c r="Q6" s="2028"/>
      <c r="R6" s="2028"/>
      <c r="S6" s="2028"/>
      <c r="T6" s="2028"/>
      <c r="U6" s="2028"/>
      <c r="V6" s="2028"/>
    </row>
    <row r="7" spans="1:22" ht="14.25">
      <c r="A7" s="3672"/>
      <c r="B7" s="3698"/>
      <c r="C7" s="3697"/>
      <c r="D7" s="3700"/>
      <c r="E7" s="261" t="s">
        <v>305</v>
      </c>
      <c r="F7" s="262"/>
      <c r="G7" s="262"/>
      <c r="H7" s="262"/>
      <c r="I7" s="263"/>
      <c r="J7" s="2029"/>
      <c r="K7" s="2028"/>
      <c r="L7" s="2028"/>
      <c r="M7" s="2028"/>
      <c r="N7" s="2028"/>
      <c r="O7" s="2028"/>
      <c r="P7" s="2028"/>
      <c r="Q7" s="2028"/>
      <c r="R7" s="2028"/>
      <c r="S7" s="2028"/>
      <c r="T7" s="2028"/>
      <c r="U7" s="2028"/>
      <c r="V7" s="2028"/>
    </row>
    <row r="8" spans="1:22" ht="14.25">
      <c r="A8" s="3672" t="s">
        <v>306</v>
      </c>
      <c r="B8" s="3698">
        <v>15</v>
      </c>
      <c r="C8" s="3696"/>
      <c r="D8" s="3700"/>
      <c r="E8" s="261" t="s">
        <v>307</v>
      </c>
      <c r="F8" s="262"/>
      <c r="G8" s="262"/>
      <c r="H8" s="262"/>
      <c r="I8" s="263"/>
      <c r="J8" s="2029"/>
      <c r="K8" s="2028"/>
      <c r="L8" s="2028"/>
      <c r="M8" s="2028"/>
      <c r="N8" s="2028"/>
      <c r="O8" s="2028"/>
      <c r="P8" s="2028"/>
      <c r="Q8" s="2028"/>
      <c r="R8" s="2028"/>
      <c r="S8" s="2028"/>
      <c r="T8" s="2028"/>
      <c r="U8" s="2028"/>
      <c r="V8" s="2028"/>
    </row>
    <row r="9" spans="1:22" ht="14.25">
      <c r="A9" s="3672"/>
      <c r="B9" s="3698"/>
      <c r="C9" s="3697"/>
      <c r="D9" s="3700"/>
      <c r="E9" s="261" t="s">
        <v>308</v>
      </c>
      <c r="F9" s="262"/>
      <c r="G9" s="262"/>
      <c r="H9" s="262"/>
      <c r="I9" s="263"/>
      <c r="J9" s="2029"/>
      <c r="K9" s="2028"/>
      <c r="L9" s="2028"/>
      <c r="M9" s="2028"/>
      <c r="N9" s="2028"/>
      <c r="O9" s="2028"/>
      <c r="P9" s="2028"/>
      <c r="Q9" s="2028"/>
      <c r="R9" s="2028"/>
      <c r="S9" s="2028"/>
      <c r="T9" s="2028"/>
      <c r="U9" s="2028"/>
      <c r="V9" s="2028"/>
    </row>
    <row r="10" spans="1:22" ht="14.25">
      <c r="A10" s="3672" t="s">
        <v>309</v>
      </c>
      <c r="B10" s="3698">
        <v>15</v>
      </c>
      <c r="C10" s="3696"/>
      <c r="D10" s="3700"/>
      <c r="E10" s="261" t="s">
        <v>310</v>
      </c>
      <c r="F10" s="262"/>
      <c r="G10" s="262"/>
      <c r="H10" s="262"/>
      <c r="I10" s="263"/>
      <c r="J10" s="2029"/>
      <c r="K10" s="2028"/>
      <c r="L10" s="2028"/>
      <c r="M10" s="2028"/>
      <c r="N10" s="2028"/>
      <c r="O10" s="2028"/>
      <c r="P10" s="2028"/>
      <c r="Q10" s="2028"/>
      <c r="R10" s="2028"/>
      <c r="S10" s="2028"/>
      <c r="T10" s="2028"/>
      <c r="U10" s="2028"/>
      <c r="V10" s="2028"/>
    </row>
    <row r="11" spans="1:22" ht="14.25">
      <c r="A11" s="3672"/>
      <c r="B11" s="3698"/>
      <c r="C11" s="3697"/>
      <c r="D11" s="3700"/>
      <c r="E11" s="261" t="s">
        <v>311</v>
      </c>
      <c r="F11" s="262"/>
      <c r="G11" s="262"/>
      <c r="H11" s="262"/>
      <c r="I11" s="263"/>
      <c r="J11" s="2029"/>
      <c r="K11" s="2028"/>
      <c r="L11" s="2028"/>
      <c r="M11" s="2028"/>
      <c r="N11" s="2028"/>
      <c r="O11" s="2028"/>
      <c r="P11" s="2028"/>
      <c r="Q11" s="2028"/>
      <c r="R11" s="2028"/>
      <c r="S11" s="2028"/>
      <c r="T11" s="2028"/>
      <c r="U11" s="2028"/>
      <c r="V11" s="2028"/>
    </row>
    <row r="12" spans="1:22" ht="14.25">
      <c r="A12" s="3672" t="s">
        <v>312</v>
      </c>
      <c r="B12" s="3698">
        <v>15</v>
      </c>
      <c r="C12" s="3696"/>
      <c r="D12" s="3700"/>
      <c r="E12" s="261" t="s">
        <v>313</v>
      </c>
      <c r="F12" s="262"/>
      <c r="G12" s="262"/>
      <c r="H12" s="262"/>
      <c r="I12" s="263"/>
      <c r="J12" s="2029"/>
      <c r="K12" s="2028"/>
      <c r="L12" s="2028"/>
      <c r="M12" s="2028"/>
      <c r="N12" s="2028"/>
      <c r="O12" s="2028"/>
      <c r="P12" s="2028"/>
      <c r="Q12" s="2028"/>
      <c r="R12" s="2028"/>
      <c r="S12" s="2028"/>
      <c r="T12" s="2028"/>
      <c r="U12" s="2028"/>
      <c r="V12" s="2028"/>
    </row>
    <row r="13" spans="1:22" ht="14.25">
      <c r="A13" s="3672"/>
      <c r="B13" s="3698"/>
      <c r="C13" s="3697"/>
      <c r="D13" s="3700"/>
      <c r="E13" s="261" t="s">
        <v>314</v>
      </c>
      <c r="F13" s="262"/>
      <c r="G13" s="262"/>
      <c r="H13" s="262"/>
      <c r="I13" s="263"/>
      <c r="J13" s="2029"/>
      <c r="K13" s="2028"/>
      <c r="L13" s="2028"/>
      <c r="M13" s="2028"/>
      <c r="N13" s="2028"/>
      <c r="O13" s="2028"/>
      <c r="P13" s="2028"/>
      <c r="Q13" s="2028"/>
      <c r="R13" s="2028"/>
      <c r="S13" s="2028"/>
      <c r="T13" s="2028"/>
      <c r="U13" s="2028"/>
      <c r="V13" s="2028"/>
    </row>
    <row r="14" spans="1:22" ht="14.25">
      <c r="A14" s="3672" t="s">
        <v>315</v>
      </c>
      <c r="B14" s="3698">
        <v>30</v>
      </c>
      <c r="C14" s="3696">
        <v>5</v>
      </c>
      <c r="D14" s="3700">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72"/>
      <c r="B15" s="3698"/>
      <c r="C15" s="3699"/>
      <c r="D15" s="3700"/>
      <c r="E15" s="261" t="s">
        <v>317</v>
      </c>
      <c r="F15" s="262"/>
      <c r="G15" s="262"/>
      <c r="H15" s="262"/>
      <c r="I15" s="263"/>
      <c r="J15" s="2029"/>
      <c r="K15" s="2028"/>
      <c r="L15" s="2028"/>
      <c r="M15" s="2028"/>
      <c r="N15" s="2028"/>
      <c r="O15" s="2028"/>
      <c r="P15" s="2028"/>
      <c r="Q15" s="2028"/>
      <c r="R15" s="2028"/>
      <c r="S15" s="2028"/>
      <c r="T15" s="2028"/>
      <c r="U15" s="2028"/>
      <c r="V15" s="2028"/>
    </row>
    <row r="16" spans="1:22" ht="14.25">
      <c r="A16" s="3672"/>
      <c r="B16" s="3698"/>
      <c r="C16" s="3697"/>
      <c r="D16" s="3700"/>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13089</v>
      </c>
      <c r="D19" s="271">
        <f ca="1">SUMIF(INDIRECT("'"&amp;D4&amp;"'"&amp;"!A:A"),结果表!B19,INDIRECT("'"&amp;D4&amp;"'"&amp;"!B:B"))</f>
        <v>12211</v>
      </c>
      <c r="E19" s="268" t="s">
        <v>323</v>
      </c>
      <c r="F19" s="269" t="s">
        <v>322</v>
      </c>
      <c r="G19" s="272">
        <f ca="1">ROUND(C19*$C$18+D19*$D$18,0)</f>
        <v>12650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1793</v>
      </c>
      <c r="D20" s="277">
        <f ca="1">SUMIF(INDIRECT("'"&amp;D4&amp;"'"&amp;"!A:A"),结果表!B20,INDIRECT("'"&amp;D4&amp;"'"&amp;"!B:B"))</f>
        <v>1673</v>
      </c>
      <c r="E20" s="274"/>
      <c r="F20" s="275" t="s">
        <v>325</v>
      </c>
      <c r="G20" s="278">
        <f ca="1">ROUND(C20*$C$18+D20*$D$18,0)</f>
        <v>1733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6276</v>
      </c>
      <c r="D21" s="151">
        <f ca="1">SUMIF(INDIRECT("'"&amp;D4&amp;"'"&amp;"!A:A"),结果表!B21,INDIRECT("'"&amp;D4&amp;"'"&amp;"!B:B"))</f>
        <v>5855</v>
      </c>
      <c r="E21" s="274"/>
      <c r="F21" s="280" t="s">
        <v>327</v>
      </c>
      <c r="G21" s="282">
        <f ca="1">ROUND(C21*$C$18+D21*$D$18,0)</f>
        <v>6066</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7.1902383097207423E-2</v>
      </c>
      <c r="E22" s="284"/>
      <c r="F22" s="285"/>
      <c r="G22" s="286">
        <f ca="1">ROUND(G19/('数据-汇总表'!D3/666.67),0)</f>
        <v>404</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78" t="s">
        <v>330</v>
      </c>
      <c r="B24" s="269" t="s">
        <v>322</v>
      </c>
      <c r="C24" s="288">
        <f>IF(B30=0,0,D30)</f>
        <v>63</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79"/>
      <c r="B25" s="1321" t="s">
        <v>331</v>
      </c>
      <c r="C25" s="290">
        <f>IF(B30=0,0,C30)</f>
        <v>0</v>
      </c>
      <c r="D25" s="291"/>
      <c r="E25" s="311"/>
      <c r="F25" s="311"/>
      <c r="G25" s="311"/>
      <c r="H25" s="311"/>
      <c r="I25" s="311"/>
      <c r="J25" s="2028"/>
      <c r="K25" s="1255" t="str">
        <f ca="1">项目基本情况!B16&amp;"国有建设用地使用权价格："&amp;O38&amp;"万元"</f>
        <v>出让国有建设用地使用权价格：12587万元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大写金额：人民币壹亿贰仟伍佰捌拾柒万元整</v>
      </c>
      <c r="L26" s="1252"/>
      <c r="M26" s="1252"/>
      <c r="N26" s="1252"/>
      <c r="O26" s="1251"/>
      <c r="P26" s="2028"/>
      <c r="Q26" s="2028"/>
      <c r="R26" s="2028"/>
      <c r="S26" s="2028"/>
      <c r="T26" s="2028"/>
      <c r="U26" s="2028"/>
      <c r="V26" s="2028"/>
      <c r="W26" s="292"/>
      <c r="X26" s="292"/>
      <c r="Y26" s="292"/>
      <c r="Z26" s="292"/>
    </row>
    <row r="27" spans="1:26" ht="18">
      <c r="A27" s="3575" t="s">
        <v>3369</v>
      </c>
      <c r="B27" s="294">
        <f>'数据-汇总表'!D3</f>
        <v>20854.2</v>
      </c>
      <c r="C27" s="294">
        <v>30</v>
      </c>
      <c r="D27" s="295">
        <f>ROUND(C27*B27/10000,0)</f>
        <v>63</v>
      </c>
      <c r="E27" s="311"/>
      <c r="F27" s="311"/>
      <c r="G27" s="311"/>
      <c r="H27" s="311"/>
      <c r="I27" s="311"/>
      <c r="J27" s="2028"/>
      <c r="K27" s="1258" t="str">
        <f ca="1">"单位面积地价："&amp;M38&amp;"元/平方米"</f>
        <v>单位面积地价：6036元/平方米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楼面地价：1724元/平方米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抵押价格：12587万元</v>
      </c>
      <c r="L29" s="1252"/>
      <c r="M29" s="1252"/>
      <c r="N29" s="1252"/>
      <c r="O29" s="1251"/>
      <c r="P29" s="2028"/>
      <c r="V29" s="2028"/>
    </row>
    <row r="30" spans="1:26" ht="18.75" thickBot="1">
      <c r="A30" s="3105" t="s">
        <v>336</v>
      </c>
      <c r="B30" s="309">
        <f>B27</f>
        <v>20854.2</v>
      </c>
      <c r="C30" s="309"/>
      <c r="D30" s="310">
        <f>D27</f>
        <v>63</v>
      </c>
      <c r="E30" s="3106" t="s">
        <v>2970</v>
      </c>
      <c r="F30" s="311"/>
      <c r="G30" s="311"/>
      <c r="H30" s="311"/>
      <c r="I30" s="311"/>
      <c r="J30" s="2028"/>
      <c r="K30" s="1258" t="str">
        <f ca="1">IF(K29="——","——","大写金额：人民币"&amp;NUMBERSTRING(INT(O39*10000),2)&amp;"元整")</f>
        <v>大写金额：人民币壹亿贰仟伍佰捌拾柒万元整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12587</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1724</v>
      </c>
      <c r="D33" s="1386" t="s">
        <v>1692</v>
      </c>
      <c r="E33" s="3678"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6036</v>
      </c>
      <c r="D34" s="1388" t="s">
        <v>1692</v>
      </c>
      <c r="E34" s="3719"/>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402</v>
      </c>
      <c r="D35" s="1391" t="s">
        <v>1694</v>
      </c>
      <c r="E35" s="3720"/>
      <c r="F35" s="301" t="s">
        <v>342</v>
      </c>
      <c r="G35" s="982"/>
      <c r="H35" s="981" t="s">
        <v>343</v>
      </c>
      <c r="I35" s="311"/>
      <c r="J35" s="2028"/>
      <c r="K35" s="3693" t="s">
        <v>350</v>
      </c>
      <c r="L35" s="3693" t="s">
        <v>351</v>
      </c>
      <c r="M35" s="1264" t="s">
        <v>352</v>
      </c>
      <c r="N35" s="3693" t="s">
        <v>353</v>
      </c>
      <c r="O35" s="3693" t="s">
        <v>354</v>
      </c>
      <c r="P35" s="2028"/>
      <c r="V35" s="2028"/>
    </row>
    <row r="36" spans="1:26" ht="16.5" customHeight="1">
      <c r="A36" s="303" t="s">
        <v>344</v>
      </c>
      <c r="B36" s="304" t="s">
        <v>333</v>
      </c>
      <c r="C36" s="305" t="s">
        <v>345</v>
      </c>
      <c r="D36" s="305" t="s">
        <v>346</v>
      </c>
      <c r="E36" s="306" t="s">
        <v>347</v>
      </c>
      <c r="F36" s="311"/>
      <c r="G36" s="311"/>
      <c r="H36" s="311"/>
      <c r="I36" s="311"/>
      <c r="J36" s="2030"/>
      <c r="K36" s="3694"/>
      <c r="L36" s="3694"/>
      <c r="M36" s="1266" t="s">
        <v>355</v>
      </c>
      <c r="N36" s="3694"/>
      <c r="O36" s="3694"/>
      <c r="P36" s="2028"/>
      <c r="V36" s="2028"/>
    </row>
    <row r="37" spans="1:26" ht="16.5" customHeight="1" thickBot="1">
      <c r="A37" s="1260" t="s">
        <v>348</v>
      </c>
      <c r="B37" s="307"/>
      <c r="C37" s="294"/>
      <c r="D37" s="294"/>
      <c r="E37" s="295"/>
      <c r="F37" s="311"/>
      <c r="G37" s="311"/>
      <c r="H37" s="311"/>
      <c r="I37" s="311"/>
      <c r="J37" s="2030"/>
      <c r="K37" s="3695"/>
      <c r="L37" s="3695"/>
      <c r="M37" s="1267"/>
      <c r="N37" s="3695"/>
      <c r="O37" s="3695"/>
      <c r="P37" s="2028"/>
      <c r="V37" s="2028"/>
    </row>
    <row r="38" spans="1:26" ht="16.5" customHeight="1" thickBot="1">
      <c r="A38" s="1260" t="s">
        <v>349</v>
      </c>
      <c r="B38" s="307"/>
      <c r="C38" s="294"/>
      <c r="D38" s="294"/>
      <c r="E38" s="295"/>
      <c r="F38" s="311"/>
      <c r="G38" s="311"/>
      <c r="H38" s="311"/>
      <c r="I38" s="311"/>
      <c r="J38" s="2030"/>
      <c r="K38" s="1268">
        <f>'数据-汇总表'!D3</f>
        <v>20854.2</v>
      </c>
      <c r="L38" s="1269">
        <f>'数据-汇总表'!E3</f>
        <v>72989.7</v>
      </c>
      <c r="M38" s="1269">
        <f ca="1">C34</f>
        <v>6036</v>
      </c>
      <c r="N38" s="1269">
        <f ca="1">C33</f>
        <v>1724</v>
      </c>
      <c r="O38" s="1270">
        <f ca="1">C32</f>
        <v>12587</v>
      </c>
      <c r="P38" s="2028"/>
      <c r="V38" s="2028"/>
    </row>
    <row r="39" spans="1:26" ht="16.5" customHeight="1" thickBot="1">
      <c r="A39" s="1265"/>
      <c r="B39" s="308"/>
      <c r="C39" s="309"/>
      <c r="D39" s="309"/>
      <c r="E39" s="310"/>
      <c r="F39" s="311"/>
      <c r="G39" s="311"/>
      <c r="H39" s="311"/>
      <c r="I39" s="311"/>
      <c r="J39" s="2030"/>
      <c r="K39" s="3738" t="str">
        <f>MID(A44,3,LEN(A44)-2)</f>
        <v>抵押价格</v>
      </c>
      <c r="L39" s="3739"/>
      <c r="M39" s="3739"/>
      <c r="N39" s="3740"/>
      <c r="O39" s="1393">
        <f ca="1">C44</f>
        <v>12587</v>
      </c>
      <c r="P39" s="2028"/>
      <c r="V39" s="2028"/>
    </row>
    <row r="40" spans="1:26" ht="19.5" thickBot="1">
      <c r="A40" s="104" t="s">
        <v>873</v>
      </c>
      <c r="B40" s="311"/>
      <c r="C40" s="311"/>
      <c r="D40" s="311"/>
      <c r="E40" s="311"/>
      <c r="F40" s="311"/>
      <c r="G40" s="311"/>
      <c r="H40" s="311"/>
      <c r="I40" s="311"/>
      <c r="J40" s="2030"/>
      <c r="K40" s="3738" t="str">
        <f t="shared" ref="K40:K41" si="0">MID(A45,3,LEN(A45)-2)</f>
        <v/>
      </c>
      <c r="L40" s="3739"/>
      <c r="M40" s="3739"/>
      <c r="N40" s="3740"/>
      <c r="O40" s="1393" t="str">
        <f>C45</f>
        <v>——</v>
      </c>
      <c r="P40" s="2028"/>
      <c r="V40" s="2028"/>
    </row>
    <row r="41" spans="1:26" ht="16.5" thickBot="1">
      <c r="A41" s="312" t="s">
        <v>356</v>
      </c>
      <c r="B41" s="313"/>
      <c r="C41" s="314" t="s">
        <v>357</v>
      </c>
      <c r="D41" s="315" t="s">
        <v>358</v>
      </c>
      <c r="E41" s="315" t="s">
        <v>359</v>
      </c>
      <c r="F41" s="316" t="s">
        <v>360</v>
      </c>
      <c r="G41" s="311"/>
      <c r="H41" s="311"/>
      <c r="I41" s="311"/>
      <c r="J41" s="2030"/>
      <c r="K41" s="3738" t="str">
        <f t="shared" si="0"/>
        <v/>
      </c>
      <c r="L41" s="3739"/>
      <c r="M41" s="3739"/>
      <c r="N41" s="3740"/>
      <c r="O41" s="1393" t="str">
        <f>C46</f>
        <v>——</v>
      </c>
      <c r="P41" s="2028"/>
      <c r="V41" s="2028"/>
    </row>
    <row r="42" spans="1:26" ht="29.25">
      <c r="A42" s="3680" t="s">
        <v>2068</v>
      </c>
      <c r="B42" s="3681"/>
      <c r="C42" s="264">
        <f ca="1">C32</f>
        <v>12587</v>
      </c>
      <c r="D42" s="317">
        <f ca="1">C33</f>
        <v>1724</v>
      </c>
      <c r="E42" s="317">
        <f ca="1">C34</f>
        <v>6036</v>
      </c>
      <c r="F42" s="318">
        <f ca="1">C35</f>
        <v>402</v>
      </c>
      <c r="G42" s="311"/>
      <c r="H42" s="311"/>
      <c r="I42" s="319"/>
      <c r="J42" s="2030"/>
      <c r="K42" s="1271" t="s">
        <v>361</v>
      </c>
      <c r="L42" s="2047" t="s">
        <v>362</v>
      </c>
      <c r="M42" s="1272" t="s">
        <v>363</v>
      </c>
      <c r="N42" s="2048" t="s">
        <v>364</v>
      </c>
      <c r="O42" s="2049" t="s">
        <v>365</v>
      </c>
      <c r="P42" s="2028"/>
      <c r="V42" s="2028"/>
    </row>
    <row r="43" spans="1:26" ht="30">
      <c r="A43" s="3691" t="s">
        <v>2731</v>
      </c>
      <c r="B43" s="3692"/>
      <c r="C43" s="264">
        <f>IF(H33="正常操作",G33+G34+G35,G34+G35)</f>
        <v>0</v>
      </c>
      <c r="D43" s="317" t="s">
        <v>43</v>
      </c>
      <c r="E43" s="317" t="s">
        <v>44</v>
      </c>
      <c r="F43" s="318" t="s">
        <v>44</v>
      </c>
      <c r="G43" s="2844" t="s">
        <v>952</v>
      </c>
      <c r="H43" s="311"/>
      <c r="I43" s="319"/>
      <c r="J43" s="2030"/>
      <c r="K43" s="1273" t="str">
        <f>C4</f>
        <v>剩余法-待开发</v>
      </c>
      <c r="L43" s="1274">
        <f ca="1">IF(L42="估价结果/万元",C19,C20)</f>
        <v>13089</v>
      </c>
      <c r="M43" s="1275">
        <f>C18</f>
        <v>0.5</v>
      </c>
      <c r="N43" s="1276">
        <f ca="1">IF(N42="测算结果/万元",G19,G20)</f>
        <v>12650</v>
      </c>
      <c r="O43" s="1277">
        <f ca="1">IF(O42="最终结果/万元",C32,C33)</f>
        <v>12587</v>
      </c>
      <c r="P43" s="2028"/>
      <c r="V43" s="2028"/>
    </row>
    <row r="44" spans="1:26" ht="30.75" thickBot="1">
      <c r="A44" s="3680" t="str">
        <f>IF(OR(项目基本情况!E8="抵押价格",项目基本情况!E8="已注销及未注销"),"3.抵押价格","——")</f>
        <v>3.抵押价格</v>
      </c>
      <c r="B44" s="3681"/>
      <c r="C44" s="264">
        <f ca="1">IF(A44="——","——",C42-C43)</f>
        <v>12587</v>
      </c>
      <c r="D44" s="317">
        <f ca="1">ROUND(C44*10000/'数据-汇总表'!E3,0)</f>
        <v>1724</v>
      </c>
      <c r="E44" s="317">
        <f ca="1">ROUND(C44*10000/'数据-汇总表'!D3,0)</f>
        <v>6036</v>
      </c>
      <c r="F44" s="318">
        <f ca="1">ROUND(C44/('数据-汇总表'!D3/666.67),0)</f>
        <v>402</v>
      </c>
      <c r="G44" s="311"/>
      <c r="H44" s="311"/>
      <c r="I44" s="319"/>
      <c r="J44" s="2030"/>
      <c r="K44" s="1278" t="str">
        <f>D4</f>
        <v>比较法-住宅、综合</v>
      </c>
      <c r="L44" s="1279">
        <f ca="1">IF(L42="估价结果/万元",D19,D20)</f>
        <v>12211</v>
      </c>
      <c r="M44" s="1280">
        <f>D18</f>
        <v>0.5</v>
      </c>
      <c r="N44" s="1281"/>
      <c r="O44" s="1282"/>
      <c r="P44" s="2028"/>
      <c r="V44" s="2028"/>
    </row>
    <row r="45" spans="1:26" ht="15">
      <c r="A45" s="3686" t="str">
        <f>IF(项目基本情况!E8="已注销及未注销","4.抵押担保权已注销时的抵押价格",IF(项目基本情况!E8="已注销","3.抵押担保权已注销时的抵押价格","——"))</f>
        <v>——</v>
      </c>
      <c r="B45" s="368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682" t="str">
        <f>IF(项目基本情况!E9="抵押净值",IF(A45="——","4.抵押净值","5.抵押净值"),"——")</f>
        <v>——</v>
      </c>
      <c r="B46" s="3683"/>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727" t="s">
        <v>374</v>
      </c>
      <c r="B63" s="3728"/>
      <c r="C63" s="3729"/>
      <c r="D63" s="341">
        <f ca="1">ROUND(C42*F63,0)</f>
        <v>7552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688" t="s">
        <v>378</v>
      </c>
      <c r="B64" s="3689"/>
      <c r="C64" s="3689"/>
      <c r="D64" s="3689"/>
      <c r="E64" s="3689"/>
      <c r="F64" s="3689"/>
      <c r="G64" s="369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684" t="s">
        <v>386</v>
      </c>
      <c r="B66" s="3685"/>
      <c r="C66" s="3685"/>
      <c r="D66" s="261">
        <f ca="1">IF(H66="情况1",0,IF(H66="情况2",D70,IF(H66="情况3",D71,IF(H66="情况4",D72))))</f>
        <v>403</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742" t="s">
        <v>385</v>
      </c>
      <c r="M66" s="3743"/>
      <c r="N66" s="2437"/>
      <c r="O66" s="2438"/>
      <c r="P66" s="2439"/>
      <c r="Q66" s="2028"/>
      <c r="R66" s="2028"/>
      <c r="S66" s="2028"/>
      <c r="T66" s="2028"/>
      <c r="U66" s="2028"/>
      <c r="V66" s="2028"/>
    </row>
    <row r="67" spans="1:22" ht="25.5" customHeight="1">
      <c r="A67" s="352" t="s">
        <v>390</v>
      </c>
      <c r="B67" s="3675" t="s">
        <v>391</v>
      </c>
      <c r="C67" s="3675"/>
      <c r="D67" s="353">
        <v>0</v>
      </c>
      <c r="E67" s="41" t="s">
        <v>392</v>
      </c>
      <c r="F67" s="62" t="s">
        <v>21</v>
      </c>
      <c r="G67" s="3730"/>
      <c r="H67" s="311"/>
      <c r="I67" s="1292"/>
      <c r="J67" s="2035"/>
      <c r="K67" s="1976">
        <v>2</v>
      </c>
      <c r="L67" s="3741" t="s">
        <v>389</v>
      </c>
      <c r="M67" s="3741"/>
      <c r="N67" s="1325">
        <f>'数据-取费表'!B2</f>
        <v>43648</v>
      </c>
      <c r="O67" s="1325"/>
      <c r="P67" s="1325"/>
      <c r="Q67" s="2028"/>
      <c r="R67" s="2028"/>
      <c r="S67" s="2028"/>
      <c r="T67" s="2028"/>
      <c r="U67" s="2028"/>
      <c r="V67" s="2028"/>
    </row>
    <row r="68" spans="1:22" ht="25.5" customHeight="1">
      <c r="A68" s="354"/>
      <c r="B68" s="3675" t="s">
        <v>394</v>
      </c>
      <c r="C68" s="3675"/>
      <c r="D68" s="355"/>
      <c r="E68" s="77"/>
      <c r="F68" s="356"/>
      <c r="G68" s="3731"/>
      <c r="H68" s="311"/>
      <c r="I68" s="1292"/>
      <c r="J68" s="2035"/>
      <c r="K68" s="1976">
        <v>3</v>
      </c>
      <c r="L68" s="3741" t="s">
        <v>393</v>
      </c>
      <c r="M68" s="3741"/>
      <c r="N68" s="1293">
        <f ca="1">C42</f>
        <v>12587</v>
      </c>
      <c r="O68" s="1293"/>
      <c r="P68" s="1293"/>
      <c r="Q68" s="2028"/>
      <c r="R68" s="2028"/>
      <c r="S68" s="2028"/>
      <c r="T68" s="2028"/>
      <c r="U68" s="2028"/>
      <c r="V68" s="2028"/>
    </row>
    <row r="69" spans="1:22" ht="12" customHeight="1">
      <c r="A69" s="357"/>
      <c r="B69" s="3675" t="s">
        <v>395</v>
      </c>
      <c r="C69" s="3675"/>
      <c r="D69" s="358"/>
      <c r="E69" s="73"/>
      <c r="F69" s="356"/>
      <c r="G69" s="3732"/>
      <c r="H69" s="311"/>
      <c r="I69" s="1292"/>
      <c r="J69" s="2035"/>
      <c r="K69" s="1294">
        <v>4</v>
      </c>
      <c r="L69" s="3746" t="s">
        <v>2884</v>
      </c>
      <c r="M69" s="3747"/>
      <c r="N69" s="1295">
        <f ca="1">C44</f>
        <v>12587</v>
      </c>
      <c r="O69" s="1295"/>
      <c r="P69" s="1295"/>
      <c r="Q69" s="2028"/>
      <c r="R69" s="2028"/>
      <c r="S69" s="2028"/>
      <c r="T69" s="2028"/>
      <c r="U69" s="2028"/>
      <c r="V69" s="2028"/>
    </row>
    <row r="70" spans="1:22" ht="24" customHeight="1">
      <c r="A70" s="359" t="s">
        <v>396</v>
      </c>
      <c r="B70" s="3675" t="s">
        <v>397</v>
      </c>
      <c r="C70" s="3675"/>
      <c r="D70" s="358">
        <f ca="1">ROUND(D63*'数据-取费表'!B41/(1+'数据-取费表'!C42),0)</f>
        <v>403</v>
      </c>
      <c r="E70" s="17" t="s">
        <v>398</v>
      </c>
      <c r="F70" s="360">
        <f>'数据-取费表'!B41</f>
        <v>5.6000000000000001E-2</v>
      </c>
      <c r="G70" s="361"/>
      <c r="H70" s="311"/>
      <c r="I70" s="1292"/>
      <c r="J70" s="2035"/>
      <c r="K70" s="3037"/>
      <c r="L70" s="3038"/>
      <c r="M70" s="3038"/>
      <c r="N70" s="3039" t="s">
        <v>2889</v>
      </c>
      <c r="O70" s="3038"/>
      <c r="P70" s="3040"/>
      <c r="Q70" s="2028"/>
      <c r="R70" s="2028"/>
      <c r="S70" s="2028"/>
      <c r="T70" s="2028"/>
      <c r="U70" s="2028"/>
      <c r="V70" s="2028"/>
    </row>
    <row r="71" spans="1:22" ht="12" customHeight="1">
      <c r="A71" s="359" t="s">
        <v>404</v>
      </c>
      <c r="B71" s="3676" t="s">
        <v>405</v>
      </c>
      <c r="C71" s="3677"/>
      <c r="D71" s="358">
        <f ca="1">ROUND(D63*'数据-取费表'!B41/(1+'数据-取费表'!C42),0)</f>
        <v>403</v>
      </c>
      <c r="E71" s="17" t="s">
        <v>398</v>
      </c>
      <c r="F71" s="360">
        <f>'数据-取费表'!B41</f>
        <v>5.6000000000000001E-2</v>
      </c>
      <c r="G71" s="361"/>
      <c r="H71" s="311"/>
      <c r="I71" s="1292"/>
      <c r="J71" s="2035"/>
      <c r="K71" s="3036" t="s">
        <v>399</v>
      </c>
      <c r="L71" s="3748" t="s">
        <v>400</v>
      </c>
      <c r="M71" s="3748"/>
      <c r="N71" s="3036" t="s">
        <v>401</v>
      </c>
      <c r="O71" s="3036" t="s">
        <v>402</v>
      </c>
      <c r="P71" s="3036" t="s">
        <v>403</v>
      </c>
      <c r="Q71" s="2028"/>
      <c r="R71" s="2028"/>
      <c r="S71" s="2028"/>
      <c r="T71" s="2028"/>
      <c r="U71" s="2028"/>
      <c r="V71" s="2028"/>
    </row>
    <row r="72" spans="1:22" ht="12" customHeight="1">
      <c r="A72" s="359" t="s">
        <v>407</v>
      </c>
      <c r="B72" s="3676" t="s">
        <v>408</v>
      </c>
      <c r="C72" s="3677"/>
      <c r="D72" s="358">
        <f ca="1">C86</f>
        <v>291</v>
      </c>
      <c r="E72" s="73" t="s">
        <v>409</v>
      </c>
      <c r="F72" s="360">
        <f>'数据-取费表'!B41</f>
        <v>5.6000000000000001E-2</v>
      </c>
      <c r="G72" s="361"/>
      <c r="H72" s="1298"/>
      <c r="I72" s="1292"/>
      <c r="J72" s="2035"/>
      <c r="K72" s="1976">
        <v>1</v>
      </c>
      <c r="L72" s="3723" t="s">
        <v>406</v>
      </c>
      <c r="M72" s="3723"/>
      <c r="N72" s="1296">
        <f ca="1">D66</f>
        <v>403</v>
      </c>
      <c r="O72" s="1859" t="str">
        <f>E66</f>
        <v>销售额×税（费）率</v>
      </c>
      <c r="P72" s="1297">
        <f>F66</f>
        <v>5.6000000000000001E-2</v>
      </c>
      <c r="Q72" s="2028"/>
      <c r="R72" s="2028"/>
      <c r="S72" s="2028"/>
      <c r="T72" s="2028"/>
      <c r="U72" s="2028"/>
      <c r="V72" s="2028"/>
    </row>
    <row r="73" spans="1:22" ht="24" customHeight="1">
      <c r="A73" s="3717" t="s">
        <v>411</v>
      </c>
      <c r="B73" s="3685"/>
      <c r="C73" s="3685"/>
      <c r="D73" s="362">
        <f>IF(H73="个人住宅",0,ROUND(D63*I73,0))</f>
        <v>0</v>
      </c>
      <c r="E73" s="17" t="s">
        <v>412</v>
      </c>
      <c r="F73" s="360" t="str">
        <f>IF(H73="正常",I73,"免征")</f>
        <v>免征</v>
      </c>
      <c r="G73" s="361"/>
      <c r="H73" s="191" t="s">
        <v>2456</v>
      </c>
      <c r="I73" s="360">
        <f>'数据-取费表'!B49</f>
        <v>5.0000000000000001E-4</v>
      </c>
      <c r="J73" s="2035"/>
      <c r="K73" s="1976">
        <v>2</v>
      </c>
      <c r="L73" s="3723" t="s">
        <v>410</v>
      </c>
      <c r="M73" s="3723"/>
      <c r="N73" s="1296">
        <f t="shared" ref="N73:P74" si="1">D73</f>
        <v>0</v>
      </c>
      <c r="O73" s="1859" t="str">
        <f t="shared" si="1"/>
        <v>销售额×税（费）率</v>
      </c>
      <c r="P73" s="1297" t="str">
        <f t="shared" si="1"/>
        <v>免征</v>
      </c>
      <c r="Q73" s="2028"/>
      <c r="R73" s="2028"/>
      <c r="S73" s="2028"/>
      <c r="T73" s="2028"/>
      <c r="U73" s="2028"/>
      <c r="V73" s="2028"/>
    </row>
    <row r="74" spans="1:22" ht="24.75">
      <c r="A74" s="3717" t="s">
        <v>415</v>
      </c>
      <c r="B74" s="3685"/>
      <c r="C74" s="3685"/>
      <c r="D74" s="362">
        <f ca="1">IF(H74="个人住宅",D75,D76)</f>
        <v>3619</v>
      </c>
      <c r="E74" s="17" t="s">
        <v>416</v>
      </c>
      <c r="F74" s="360" t="str">
        <f>IF(H74="正常",F76,"免征")</f>
        <v>——</v>
      </c>
      <c r="G74" s="983" t="s">
        <v>417</v>
      </c>
      <c r="H74" s="363" t="s">
        <v>413</v>
      </c>
      <c r="I74" s="42"/>
      <c r="J74" s="2035"/>
      <c r="K74" s="1976">
        <v>3</v>
      </c>
      <c r="L74" s="3723" t="s">
        <v>414</v>
      </c>
      <c r="M74" s="3723"/>
      <c r="N74" s="1296">
        <f t="shared" ca="1" si="1"/>
        <v>3619</v>
      </c>
      <c r="O74" s="1859" t="str">
        <f t="shared" si="1"/>
        <v>增值额×税（费）率</v>
      </c>
      <c r="P74" s="1299" t="str">
        <f t="shared" si="1"/>
        <v>——</v>
      </c>
      <c r="Q74" s="2028"/>
      <c r="R74" s="2028"/>
      <c r="S74" s="2028"/>
      <c r="T74" s="2028"/>
      <c r="U74" s="2028"/>
      <c r="V74" s="2028"/>
    </row>
    <row r="75" spans="1:22" ht="24">
      <c r="A75" s="359" t="s">
        <v>418</v>
      </c>
      <c r="B75" s="3673" t="s">
        <v>419</v>
      </c>
      <c r="C75" s="3703"/>
      <c r="D75" s="364">
        <v>0</v>
      </c>
      <c r="E75" s="41" t="s">
        <v>420</v>
      </c>
      <c r="F75" s="365"/>
      <c r="G75" s="361"/>
      <c r="H75" s="42"/>
      <c r="I75" s="42"/>
      <c r="J75" s="2035"/>
      <c r="K75" s="3029">
        <f>IF(H77="非个人房产","",4)</f>
        <v>4</v>
      </c>
      <c r="L75" s="3723" t="str">
        <f>IF(H77="非个人房产","——","个人所得税")</f>
        <v>个人所得税</v>
      </c>
      <c r="M75" s="3723"/>
      <c r="N75" s="1300">
        <f ca="1">D77</f>
        <v>76</v>
      </c>
      <c r="O75" s="1872" t="str">
        <f>E77</f>
        <v>销售额×税（费）率</v>
      </c>
      <c r="P75" s="1301">
        <f>F77</f>
        <v>0.01</v>
      </c>
      <c r="Q75" s="2028"/>
      <c r="R75" s="2028"/>
      <c r="S75" s="2028"/>
      <c r="T75" s="2028"/>
      <c r="U75" s="2028"/>
      <c r="V75" s="2028"/>
    </row>
    <row r="76" spans="1:22" ht="24.75">
      <c r="A76" s="359" t="s">
        <v>396</v>
      </c>
      <c r="B76" s="3673" t="s">
        <v>422</v>
      </c>
      <c r="C76" s="3674"/>
      <c r="D76" s="362">
        <f ca="1">IF(H76="转让取得",C99,C115)</f>
        <v>3619</v>
      </c>
      <c r="E76" s="17" t="s">
        <v>423</v>
      </c>
      <c r="F76" s="53" t="s">
        <v>21</v>
      </c>
      <c r="G76" s="361"/>
      <c r="H76" s="363" t="s">
        <v>424</v>
      </c>
      <c r="I76" s="42"/>
      <c r="J76" s="2035"/>
      <c r="K76" s="3029" t="str">
        <f>IF(项目基本情况!K6="上海银行",IF(K75="",4,K75+1),"")</f>
        <v/>
      </c>
      <c r="L76" s="3734" t="str">
        <f>IF(项目基本情况!K6="上海银行","其他处置费用","")</f>
        <v/>
      </c>
      <c r="M76" s="3735"/>
      <c r="N76" s="1296" t="str">
        <f>IF(项目基本情况!K6="上海银行",N89,"")</f>
        <v/>
      </c>
      <c r="O76" s="3736" t="str">
        <f>IF(项目基本情况!K6="上海银行","包含处置中涉及的律师、诉讼、拍卖、评估等费用","")</f>
        <v/>
      </c>
      <c r="P76" s="3737"/>
      <c r="Q76" s="2028"/>
      <c r="R76" s="2028"/>
      <c r="S76" s="2028"/>
      <c r="T76" s="2028"/>
      <c r="U76" s="2028"/>
      <c r="V76" s="2028"/>
    </row>
    <row r="77" spans="1:22" ht="26.25" thickBot="1">
      <c r="A77" s="3725" t="s">
        <v>426</v>
      </c>
      <c r="B77" s="3726"/>
      <c r="C77" s="3726"/>
      <c r="D77" s="366">
        <f ca="1">IF(H77="非个人房产","——",IF(H77="个人住宅",0,ROUND(D63*I77,0)))</f>
        <v>76</v>
      </c>
      <c r="E77" s="367" t="str">
        <f>IF(H77="非个人房产","——","销售额×税（费）率")</f>
        <v>销售额×税（费）率</v>
      </c>
      <c r="F77" s="368">
        <f>IF(H77="非个人房产","——",IF(H77="个人住宅","免征",I77))</f>
        <v>0.01</v>
      </c>
      <c r="G77" s="984" t="s">
        <v>417</v>
      </c>
      <c r="H77" s="363" t="s">
        <v>2885</v>
      </c>
      <c r="I77" s="369">
        <v>0.01</v>
      </c>
      <c r="J77" s="2035"/>
      <c r="K77" s="3724">
        <f>IF(AND(K75="",K76=""),4,IF(项目基本情况!K6="上海银行",K76+1,K75+1))</f>
        <v>5</v>
      </c>
      <c r="L77" s="3723" t="s">
        <v>2886</v>
      </c>
      <c r="M77" s="3035" t="s">
        <v>421</v>
      </c>
      <c r="N77" s="1302"/>
      <c r="O77" s="1303">
        <f ca="1">SUMIF(N72:N76,"&lt;9e307")</f>
        <v>4098</v>
      </c>
      <c r="P77" s="1304"/>
      <c r="Q77" s="3033">
        <f ca="1">O77/N69</f>
        <v>0.32557400492571703</v>
      </c>
      <c r="R77" s="2028"/>
      <c r="S77" s="2028"/>
      <c r="T77" s="2028"/>
      <c r="U77" s="2028"/>
      <c r="V77" s="2028"/>
    </row>
    <row r="78" spans="1:22" ht="12" customHeight="1">
      <c r="A78" s="1305"/>
      <c r="B78" s="311"/>
      <c r="C78" s="311"/>
      <c r="D78" s="311"/>
      <c r="E78" s="42"/>
      <c r="F78" s="42"/>
      <c r="G78" s="42"/>
      <c r="H78" s="1003"/>
      <c r="I78" s="311"/>
      <c r="J78" s="2035"/>
      <c r="K78" s="3724"/>
      <c r="L78" s="3723"/>
      <c r="M78" s="3035" t="s">
        <v>425</v>
      </c>
      <c r="N78" s="1302"/>
      <c r="O78" s="1303" t="str">
        <f ca="1">NUMBERSTRING(INT(O77*10000),2)&amp;"元整"</f>
        <v>肆仟零玖拾捌万元整</v>
      </c>
      <c r="P78" s="1304"/>
      <c r="Q78" s="2028"/>
      <c r="R78" s="2028"/>
      <c r="S78" s="2028"/>
      <c r="T78" s="2028"/>
      <c r="U78" s="2028"/>
      <c r="V78" s="2028"/>
    </row>
    <row r="79" spans="1:22" ht="13.5" thickBot="1">
      <c r="A79" s="3718" t="s">
        <v>427</v>
      </c>
      <c r="B79" s="3718"/>
      <c r="C79" s="3718"/>
      <c r="D79" s="3718"/>
      <c r="E79" s="3718"/>
      <c r="F79" s="42"/>
      <c r="G79" s="42"/>
      <c r="H79" s="1003"/>
      <c r="I79" s="311"/>
      <c r="J79" s="2035"/>
      <c r="K79" s="3744">
        <f>K77+1</f>
        <v>6</v>
      </c>
      <c r="L79" s="3723" t="s">
        <v>2887</v>
      </c>
      <c r="M79" s="3035" t="s">
        <v>421</v>
      </c>
      <c r="N79" s="1302"/>
      <c r="O79" s="1303">
        <f ca="1">N69-O77</f>
        <v>8489</v>
      </c>
      <c r="P79" s="1304"/>
      <c r="Q79" s="2028"/>
      <c r="R79" s="2028"/>
      <c r="S79" s="2028"/>
      <c r="T79" s="2028"/>
      <c r="U79" s="2028"/>
      <c r="V79" s="2028"/>
    </row>
    <row r="80" spans="1:22" ht="25.5">
      <c r="A80" s="3713" t="s">
        <v>428</v>
      </c>
      <c r="B80" s="3714"/>
      <c r="C80" s="994"/>
      <c r="D80" s="994" t="s">
        <v>429</v>
      </c>
      <c r="E80" s="370" t="s">
        <v>430</v>
      </c>
      <c r="F80" s="42"/>
      <c r="G80" s="42"/>
      <c r="H80" s="1003"/>
      <c r="I80" s="311"/>
      <c r="J80" s="2028"/>
      <c r="K80" s="3745"/>
      <c r="L80" s="3723"/>
      <c r="M80" s="3035" t="s">
        <v>425</v>
      </c>
      <c r="N80" s="1302"/>
      <c r="O80" s="1303" t="str">
        <f ca="1">NUMBERSTRING(INT(O79*10000),2)&amp;"元整"</f>
        <v>捌仟肆佰捌拾玖万元整</v>
      </c>
      <c r="P80" s="1304"/>
      <c r="Q80" s="2028"/>
      <c r="R80" s="2028"/>
      <c r="S80" s="2028"/>
      <c r="T80" s="2028"/>
      <c r="U80" s="2028"/>
      <c r="V80" s="2028"/>
    </row>
    <row r="81" spans="1:26" ht="13.5" thickBot="1">
      <c r="A81" s="381" t="s">
        <v>1824</v>
      </c>
      <c r="B81" s="371" t="s">
        <v>431</v>
      </c>
      <c r="C81" s="372">
        <f ca="1">ROUND((C82+C83)/(1+'数据-取费表'!C42),0)</f>
        <v>7192</v>
      </c>
      <c r="D81" s="373"/>
      <c r="E81" s="374"/>
      <c r="F81" s="42"/>
      <c r="G81" s="42"/>
      <c r="H81" s="1003"/>
      <c r="I81" s="311"/>
      <c r="J81" s="2028"/>
      <c r="K81" s="3029">
        <f>K79+1</f>
        <v>7</v>
      </c>
      <c r="L81" s="3721" t="s">
        <v>2888</v>
      </c>
      <c r="M81" s="3722"/>
      <c r="N81" s="1306"/>
      <c r="O81" s="1307">
        <f ca="1">ROUND(O79*10000/'数据-汇总表'!E3,0)</f>
        <v>1163</v>
      </c>
      <c r="P81" s="1308"/>
      <c r="Q81" s="2028"/>
      <c r="R81" s="2028"/>
      <c r="S81" s="2028"/>
      <c r="T81" s="2028"/>
      <c r="U81" s="2028"/>
      <c r="V81" s="2028"/>
    </row>
    <row r="82" spans="1:26" ht="13.5" thickTop="1">
      <c r="A82" s="375" t="s">
        <v>1825</v>
      </c>
      <c r="B82" s="376" t="s">
        <v>432</v>
      </c>
      <c r="C82" s="377">
        <f ca="1">D63</f>
        <v>7552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733" t="s">
        <v>2875</v>
      </c>
      <c r="L83" s="3041" t="s">
        <v>2876</v>
      </c>
      <c r="M83" s="3031">
        <f ca="1">IF(N69&gt;10000,N69*0.5%,IF(AND(N69&gt;1000,N69&lt;=10000),N69*1%,IF(AND(N69&gt;100,N69&lt;=1000),N69*3%,IF(AND(N69&gt;10,N69&lt;=100),N69*5%,N69*8%))))</f>
        <v>62.935000000000002</v>
      </c>
      <c r="N83" s="53">
        <f ca="1">ROUND(M83,1)</f>
        <v>62.9</v>
      </c>
      <c r="O83" s="3034"/>
      <c r="P83" s="2028"/>
      <c r="Q83" s="2028"/>
      <c r="R83" s="2028"/>
      <c r="S83" s="2028"/>
      <c r="T83" s="2028"/>
      <c r="U83" s="2028"/>
      <c r="V83" s="2028"/>
    </row>
    <row r="84" spans="1:26" ht="12.75">
      <c r="A84" s="381" t="s">
        <v>1827</v>
      </c>
      <c r="B84" s="382" t="s">
        <v>434</v>
      </c>
      <c r="C84" s="383">
        <v>2000</v>
      </c>
      <c r="D84" s="384" t="s">
        <v>19</v>
      </c>
      <c r="E84" s="3076" t="s">
        <v>2942</v>
      </c>
      <c r="F84" s="42"/>
      <c r="G84" s="42"/>
      <c r="H84" s="1003"/>
      <c r="I84" s="311"/>
      <c r="J84" s="2028"/>
      <c r="K84" s="3733"/>
      <c r="L84" s="3041" t="s">
        <v>2877</v>
      </c>
      <c r="M84" s="3031">
        <f ca="1">IF(N69&gt;2000,N69*0.5%,IF(AND(N69&gt;1000,N69&lt;=2000),N69*0.6%,IF(AND(N69&gt;500,N69&lt;=1000),N69*0.7%,IF(AND(N69&gt;200,N69&lt;=500),N69*0.8%,IF(AND(N69&gt;100,N69&lt;=200),N69*0.9%,IF(AND(N69&gt;50,N69&lt;=100),N69*1%,IF(AND(N69&gt;20,N69&lt;=50),N69*1.5%,IF(AND(N69&gt;10,N69&lt;=20),N69*2%,IF(AND(N69&gt;1,N69&lt;=10),N69*2.5%)))))))))</f>
        <v>62.935000000000002</v>
      </c>
      <c r="N84" s="53">
        <f t="shared" ref="N84:N85" ca="1" si="2">ROUND(M84,1)</f>
        <v>62.9</v>
      </c>
      <c r="O84" s="2028" t="s">
        <v>2878</v>
      </c>
      <c r="P84" s="2028"/>
      <c r="Q84" s="2028"/>
      <c r="R84" s="2028"/>
      <c r="S84" s="2028"/>
      <c r="T84" s="2028"/>
      <c r="U84" s="2028"/>
      <c r="V84" s="2028"/>
    </row>
    <row r="85" spans="1:26" ht="12.75">
      <c r="A85" s="381" t="s">
        <v>1828</v>
      </c>
      <c r="B85" s="382" t="s">
        <v>435</v>
      </c>
      <c r="C85" s="385">
        <f ca="1">C81-C84</f>
        <v>5192</v>
      </c>
      <c r="D85" s="378" t="s">
        <v>19</v>
      </c>
      <c r="E85" s="379"/>
      <c r="F85" s="42"/>
      <c r="G85" s="42"/>
      <c r="H85" s="1003"/>
      <c r="I85" s="311"/>
      <c r="J85" s="2028"/>
      <c r="K85" s="3733"/>
      <c r="L85" s="3041" t="s">
        <v>2879</v>
      </c>
      <c r="M85" s="3031">
        <f ca="1">IF(N69&gt;1000,N69*0.1%,IF(AND(N69&gt;500,N69&lt;=1000),N69*0.5%,IF(AND(N69&gt;50,N69&lt;=500),N69*1%,IF(AND(N69&gt;1,N69&lt;=50),N69*1.5%))))</f>
        <v>12.587</v>
      </c>
      <c r="N85" s="53">
        <f t="shared" ca="1" si="2"/>
        <v>12.6</v>
      </c>
      <c r="O85" s="2028" t="s">
        <v>2878</v>
      </c>
      <c r="P85" s="2028"/>
      <c r="Q85" s="2028"/>
      <c r="R85" s="2028"/>
      <c r="S85" s="2028"/>
      <c r="T85" s="2028"/>
      <c r="U85" s="2028"/>
      <c r="V85" s="2028"/>
    </row>
    <row r="86" spans="1:26" ht="13.5" thickBot="1">
      <c r="A86" s="386" t="s">
        <v>1829</v>
      </c>
      <c r="B86" s="387" t="s">
        <v>436</v>
      </c>
      <c r="C86" s="388">
        <f ca="1">IF(C85&lt;=0,0,ROUND(C85*D86,0))</f>
        <v>291</v>
      </c>
      <c r="D86" s="389">
        <f>'数据-取费表'!B41</f>
        <v>5.6000000000000001E-2</v>
      </c>
      <c r="E86" s="390"/>
      <c r="F86" s="42"/>
      <c r="G86" s="42"/>
      <c r="H86" s="1003"/>
      <c r="I86" s="311"/>
      <c r="J86" s="2028"/>
      <c r="K86" s="3733"/>
      <c r="L86" s="3041" t="s">
        <v>2880</v>
      </c>
      <c r="M86" s="3031">
        <f ca="1">N69*0.5%</f>
        <v>62.935000000000002</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733"/>
      <c r="L87" s="3041" t="s">
        <v>2882</v>
      </c>
      <c r="M87" s="3031">
        <f ca="1">IF(N69&gt;=10000,(8.25+(N69-10000)*0.01%),IF(AND(N69&gt;=8000,N69&lt;10000),(7.85+(N69-8000)*0.02%),IF(AND(N69&gt;=5000,N69&lt;8000),(6.65+(N69-5000)*0.04%),IF(AND(N69&gt;=2000,N69&lt;5000),(4.25+(PN69-2000)*0.08%),IF(AND(N69&gt;=1000,N69&lt;2000),(2.75+(N69-1000)*0.15%),IF(AND(N69&gt;=100,N69&lt;1000),(0.5+(N69-100)*0.25%),IF(AND(N69&gt;0,N69&lt;100),N69*0.5%)))))))</f>
        <v>8.5086999999999993</v>
      </c>
      <c r="N87" s="53">
        <f ca="1">ROUND(M87*0.9,1)</f>
        <v>7.7</v>
      </c>
      <c r="O87" s="3034"/>
      <c r="P87" s="311"/>
      <c r="Q87" s="2028"/>
      <c r="R87" s="2028"/>
      <c r="S87" s="2028"/>
      <c r="T87" s="2028"/>
      <c r="U87" s="2028"/>
      <c r="V87" s="2028"/>
      <c r="W87" s="292"/>
      <c r="X87" s="292"/>
      <c r="Y87" s="292"/>
      <c r="Z87" s="292"/>
    </row>
    <row r="88" spans="1:26" s="1314" customFormat="1" ht="15" thickBot="1">
      <c r="A88" s="3715" t="s">
        <v>437</v>
      </c>
      <c r="B88" s="3716"/>
      <c r="C88" s="3716"/>
      <c r="D88" s="3716"/>
      <c r="E88" s="3716"/>
      <c r="F88" s="3716"/>
      <c r="G88" s="3716"/>
      <c r="H88" s="3716"/>
      <c r="I88" s="1315"/>
      <c r="J88" s="2036"/>
      <c r="K88" s="3733"/>
      <c r="L88" s="3041" t="s">
        <v>2883</v>
      </c>
      <c r="M88" s="3031">
        <f ca="1">IF(N69&gt;10000,N69*0.5%,IF(AND(N69&gt;5000,N69&lt;=10000),N69*1%,IF(AND(N69&gt;1000,N69&lt;=5000),N69*2%,IF(AND(N69&gt;200,N69&lt;=1000),N69*3%,N69*5%))))</f>
        <v>62.935000000000002</v>
      </c>
      <c r="N88" s="53">
        <f ca="1">ROUND(M88,1)</f>
        <v>62.9</v>
      </c>
      <c r="O88" s="3034"/>
      <c r="P88" s="11"/>
      <c r="Q88" s="2033"/>
      <c r="R88" s="2033"/>
      <c r="S88" s="2033"/>
      <c r="T88" s="2033"/>
      <c r="U88" s="2033"/>
      <c r="V88" s="2033"/>
      <c r="W88" s="2037"/>
      <c r="X88" s="2037"/>
      <c r="Y88" s="2037"/>
      <c r="Z88" s="2037"/>
    </row>
    <row r="89" spans="1:26" s="1314" customFormat="1" ht="14.25">
      <c r="A89" s="3713" t="s">
        <v>428</v>
      </c>
      <c r="B89" s="3714"/>
      <c r="C89" s="994"/>
      <c r="D89" s="994" t="s">
        <v>429</v>
      </c>
      <c r="E89" s="391" t="s">
        <v>438</v>
      </c>
      <c r="F89" s="392"/>
      <c r="G89" s="392"/>
      <c r="H89" s="393"/>
      <c r="I89" s="1316"/>
      <c r="J89" s="2038"/>
      <c r="K89" s="3733"/>
      <c r="L89" s="3041" t="s">
        <v>27</v>
      </c>
      <c r="M89" s="3032"/>
      <c r="N89" s="53">
        <f ca="1">ROUND(SUM(N83:N88),0)</f>
        <v>210</v>
      </c>
      <c r="O89" s="3042">
        <f ca="1">N89/N69</f>
        <v>1.6683880193850798E-2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7192</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2604</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676" t="s">
        <v>447</v>
      </c>
      <c r="F94" s="3675"/>
      <c r="G94" s="3675"/>
      <c r="H94" s="3712"/>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43</v>
      </c>
      <c r="D96" s="406">
        <f>'数据-取费表'!B43</f>
        <v>6.000000000000001E-3</v>
      </c>
      <c r="E96" s="3704" t="s">
        <v>2429</v>
      </c>
      <c r="F96" s="3705"/>
      <c r="G96" s="3705"/>
      <c r="H96" s="3706"/>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4588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1.7619047619047619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1903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15" t="s">
        <v>454</v>
      </c>
      <c r="B101" s="3716"/>
      <c r="C101" s="3716"/>
      <c r="D101" s="3716"/>
      <c r="E101" s="3716"/>
      <c r="F101" s="3716"/>
      <c r="G101" s="3716"/>
      <c r="H101" s="3716"/>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713" t="s">
        <v>428</v>
      </c>
      <c r="B102" s="3714"/>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7192</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733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07" t="s">
        <v>462</v>
      </c>
      <c r="F109" s="3705"/>
      <c r="G109" s="3705"/>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07" t="s">
        <v>464</v>
      </c>
      <c r="F110" s="3705"/>
      <c r="G110" s="3705"/>
      <c r="H110" s="3706"/>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43</v>
      </c>
      <c r="D111" s="406">
        <f>'数据-取费表'!B43</f>
        <v>6.000000000000001E-3</v>
      </c>
      <c r="E111" s="3704" t="s">
        <v>2429</v>
      </c>
      <c r="F111" s="3705"/>
      <c r="G111" s="3705"/>
      <c r="H111" s="3706"/>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07" t="s">
        <v>2454</v>
      </c>
      <c r="F112" s="3705"/>
      <c r="G112" s="3705"/>
      <c r="H112" s="3706"/>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6459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8.8117326057298779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3619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9" zoomScale="80" zoomScaleNormal="95" zoomScaleSheetLayoutView="80" workbookViewId="0">
      <selection activeCell="L14" sqref="L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12211</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1673</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5855</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390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58" t="s">
        <v>522</v>
      </c>
      <c r="D6" s="3759"/>
      <c r="E6" s="3758" t="s">
        <v>523</v>
      </c>
      <c r="F6" s="3759"/>
      <c r="G6" s="3758" t="s">
        <v>524</v>
      </c>
      <c r="H6" s="3759"/>
      <c r="I6" s="3758" t="s">
        <v>525</v>
      </c>
      <c r="J6" s="3759"/>
      <c r="K6" s="514" t="s">
        <v>526</v>
      </c>
      <c r="L6" s="2133"/>
      <c r="M6" s="2132"/>
      <c r="N6" s="2132"/>
      <c r="O6" s="2134"/>
      <c r="P6" s="3760" t="s">
        <v>527</v>
      </c>
      <c r="Q6" s="3761"/>
      <c r="R6" s="3766" t="s">
        <v>523</v>
      </c>
      <c r="S6" s="3767"/>
      <c r="T6" s="3766" t="s">
        <v>524</v>
      </c>
      <c r="U6" s="3767"/>
      <c r="V6" s="3753" t="s">
        <v>525</v>
      </c>
      <c r="W6" s="3753"/>
      <c r="X6" s="1568"/>
      <c r="Y6" s="3766" t="s">
        <v>527</v>
      </c>
      <c r="Z6" s="3767"/>
      <c r="AA6" s="3755" t="s">
        <v>523</v>
      </c>
      <c r="AB6" s="3756" t="s">
        <v>524</v>
      </c>
      <c r="AC6" s="3755" t="s">
        <v>525</v>
      </c>
    </row>
    <row r="7" spans="1:30" ht="20.25">
      <c r="A7" s="515"/>
      <c r="B7" s="516"/>
      <c r="C7" s="3774" t="s">
        <v>2929</v>
      </c>
      <c r="D7" s="3775"/>
      <c r="E7" s="3774" t="str">
        <f>Sheet1!A2</f>
        <v>开发区兴宏路南侧</v>
      </c>
      <c r="F7" s="3775"/>
      <c r="G7" s="3774" t="str">
        <f>Sheet1!A9</f>
        <v>油坊镇惠民路西侧、太阳路以北</v>
      </c>
      <c r="H7" s="3775"/>
      <c r="I7" s="3774" t="str">
        <f>Sheet1!A28</f>
        <v>祁家路南侧、联盟路西侧</v>
      </c>
      <c r="J7" s="3775"/>
      <c r="K7" s="514"/>
      <c r="L7" s="2133"/>
      <c r="M7" s="2132"/>
      <c r="N7" s="2132"/>
      <c r="O7" s="2134"/>
      <c r="P7" s="3762"/>
      <c r="Q7" s="3763"/>
      <c r="R7" s="3768"/>
      <c r="S7" s="3769"/>
      <c r="T7" s="3768"/>
      <c r="U7" s="3769"/>
      <c r="V7" s="3753"/>
      <c r="W7" s="3753"/>
      <c r="X7" s="1568"/>
      <c r="Y7" s="3768"/>
      <c r="Z7" s="3769"/>
      <c r="AA7" s="3756"/>
      <c r="AB7" s="3756"/>
      <c r="AC7" s="3756"/>
    </row>
    <row r="8" spans="1:30" ht="21" thickBot="1">
      <c r="A8" s="515"/>
      <c r="B8" s="516"/>
      <c r="C8" s="3776" t="s">
        <v>2933</v>
      </c>
      <c r="D8" s="3777"/>
      <c r="E8" s="3776" t="s">
        <v>2933</v>
      </c>
      <c r="F8" s="3777"/>
      <c r="G8" s="3772" t="s">
        <v>2933</v>
      </c>
      <c r="H8" s="3773"/>
      <c r="I8" s="3772" t="s">
        <v>2933</v>
      </c>
      <c r="J8" s="3773"/>
      <c r="K8" s="514" t="s">
        <v>528</v>
      </c>
      <c r="L8" s="2133"/>
      <c r="M8" s="2132"/>
      <c r="N8" s="2132"/>
      <c r="O8" s="2134"/>
      <c r="P8" s="3764"/>
      <c r="Q8" s="3765"/>
      <c r="R8" s="3768"/>
      <c r="S8" s="3769"/>
      <c r="T8" s="3770"/>
      <c r="U8" s="3771"/>
      <c r="V8" s="3753"/>
      <c r="W8" s="3753"/>
      <c r="X8" s="1568"/>
      <c r="Y8" s="3770"/>
      <c r="Z8" s="3771"/>
      <c r="AA8" s="3757"/>
      <c r="AB8" s="3757"/>
      <c r="AC8" s="3757"/>
    </row>
    <row r="9" spans="1:30" s="1220" customFormat="1" ht="21" thickBot="1">
      <c r="A9" s="2890"/>
      <c r="B9" s="2897" t="s">
        <v>529</v>
      </c>
      <c r="C9" s="2889">
        <f>'数据-取费表'!B2</f>
        <v>43648</v>
      </c>
      <c r="D9" s="520">
        <v>100</v>
      </c>
      <c r="E9" s="521" t="str">
        <f>Sheet1!J2</f>
        <v>2018-12-26</v>
      </c>
      <c r="F9" s="522">
        <f>SUMIF(72:72,YEAR(E9)&amp;"-"&amp;INT((MONTH(E9)+2)/3),73:73)</f>
        <v>98.5</v>
      </c>
      <c r="G9" s="523" t="str">
        <f>Sheet1!J9</f>
        <v>2018-12-26</v>
      </c>
      <c r="H9" s="520">
        <f>SUMIF(72:72,YEAR(G9)&amp;"-"&amp;INT((MONTH(G9)+2)/3),73:73)</f>
        <v>98.5</v>
      </c>
      <c r="I9" s="523" t="str">
        <f>Sheet1!J28</f>
        <v>2017-02-24</v>
      </c>
      <c r="J9" s="520">
        <f>SUMIF(72:72,YEAR(I9)&amp;"-"&amp;INT((MONTH(I9)+2)/3),73:73)</f>
        <v>95</v>
      </c>
      <c r="K9" s="524"/>
      <c r="L9" s="2135"/>
      <c r="M9" s="2132"/>
      <c r="N9" s="2132"/>
      <c r="O9" s="2136"/>
      <c r="P9" s="3783" t="s">
        <v>530</v>
      </c>
      <c r="Q9" s="3785"/>
      <c r="R9" s="1569" t="s">
        <v>8</v>
      </c>
      <c r="S9" s="1570">
        <f t="shared" ref="S9:S17" si="0">F9</f>
        <v>98.5</v>
      </c>
      <c r="T9" s="1569" t="s">
        <v>8</v>
      </c>
      <c r="U9" s="1570">
        <f t="shared" ref="U9:U17" si="1">H9</f>
        <v>98.5</v>
      </c>
      <c r="V9" s="1569" t="s">
        <v>8</v>
      </c>
      <c r="W9" s="1570">
        <f t="shared" ref="W9:W17" si="2">J9</f>
        <v>95</v>
      </c>
      <c r="X9" s="1571"/>
      <c r="Y9" s="3783" t="s">
        <v>530</v>
      </c>
      <c r="Z9" s="3784"/>
      <c r="AA9" s="1572">
        <f>D9/F9</f>
        <v>1.015228426395939</v>
      </c>
      <c r="AB9" s="1572">
        <f>D9/H9</f>
        <v>1.015228426395939</v>
      </c>
      <c r="AC9" s="1572">
        <f>D9/J9</f>
        <v>1.0526315789473684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83" t="s">
        <v>533</v>
      </c>
      <c r="Q10" s="3784"/>
      <c r="R10" s="1569" t="s">
        <v>8</v>
      </c>
      <c r="S10" s="1570">
        <f t="shared" si="0"/>
        <v>100</v>
      </c>
      <c r="T10" s="1569" t="s">
        <v>8</v>
      </c>
      <c r="U10" s="1570">
        <f t="shared" si="1"/>
        <v>100</v>
      </c>
      <c r="V10" s="1569" t="s">
        <v>8</v>
      </c>
      <c r="W10" s="1570">
        <f t="shared" si="2"/>
        <v>100</v>
      </c>
      <c r="X10" s="1571"/>
      <c r="Y10" s="3783" t="s">
        <v>533</v>
      </c>
      <c r="Z10" s="3784"/>
      <c r="AA10" s="1572">
        <f t="shared" ref="AA10:AA47" si="3">D10/F10</f>
        <v>1</v>
      </c>
      <c r="AB10" s="1572">
        <f t="shared" ref="AB10:AB47" si="4">D10/H10</f>
        <v>1</v>
      </c>
      <c r="AC10" s="1572">
        <f t="shared" ref="AC10:AC47" si="5">D10/J10</f>
        <v>1</v>
      </c>
    </row>
    <row r="11" spans="1:30" s="1220" customFormat="1" ht="20.25">
      <c r="A11" s="2892"/>
      <c r="B11" s="2899" t="s">
        <v>2757</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752" t="s">
        <v>535</v>
      </c>
      <c r="Q11" s="1151" t="str">
        <f t="shared" ref="Q11:Q17" si="6">B11</f>
        <v>用途</v>
      </c>
      <c r="R11" s="1569" t="s">
        <v>8</v>
      </c>
      <c r="S11" s="1570">
        <f t="shared" si="0"/>
        <v>100</v>
      </c>
      <c r="T11" s="1569" t="s">
        <v>8</v>
      </c>
      <c r="U11" s="1570">
        <f t="shared" si="1"/>
        <v>100</v>
      </c>
      <c r="V11" s="1569" t="s">
        <v>8</v>
      </c>
      <c r="W11" s="1570">
        <f t="shared" si="2"/>
        <v>100</v>
      </c>
      <c r="X11" s="1571"/>
      <c r="Y11" s="3698" t="s">
        <v>536</v>
      </c>
      <c r="Z11" s="1150" t="str">
        <f t="shared" ref="Z11:Z17" si="7">Q11</f>
        <v>用途</v>
      </c>
      <c r="AA11" s="1572">
        <f t="shared" si="3"/>
        <v>1</v>
      </c>
      <c r="AB11" s="1572">
        <f t="shared" si="4"/>
        <v>1</v>
      </c>
      <c r="AC11" s="1572">
        <f t="shared" si="5"/>
        <v>1</v>
      </c>
    </row>
    <row r="12" spans="1:30" s="1338" customFormat="1" ht="27">
      <c r="A12" s="2893"/>
      <c r="B12" s="2898" t="s">
        <v>2758</v>
      </c>
      <c r="C12" s="910" t="s">
        <v>3008</v>
      </c>
      <c r="D12" s="255">
        <v>100</v>
      </c>
      <c r="E12" s="910" t="s">
        <v>3008</v>
      </c>
      <c r="F12" s="255">
        <f>ROUND(100/'数据-取费表'!G16,0)</f>
        <v>102</v>
      </c>
      <c r="G12" s="910">
        <v>70</v>
      </c>
      <c r="H12" s="255">
        <f>ROUND(100/'数据-取费表'!G16,0)</f>
        <v>102</v>
      </c>
      <c r="I12" s="910">
        <v>70</v>
      </c>
      <c r="J12" s="255">
        <f>ROUND(100/'数据-取费表'!G16,0)</f>
        <v>102</v>
      </c>
      <c r="K12" s="531"/>
      <c r="L12" s="2138"/>
      <c r="M12" s="2132"/>
      <c r="N12" s="2132"/>
      <c r="O12" s="2139"/>
      <c r="P12" s="3752"/>
      <c r="Q12" s="1151" t="str">
        <f t="shared" si="6"/>
        <v>土地使用年限（年）</v>
      </c>
      <c r="R12" s="1569" t="s">
        <v>8</v>
      </c>
      <c r="S12" s="1570">
        <f t="shared" si="0"/>
        <v>102</v>
      </c>
      <c r="T12" s="1569" t="s">
        <v>8</v>
      </c>
      <c r="U12" s="1570">
        <f t="shared" si="1"/>
        <v>102</v>
      </c>
      <c r="V12" s="1569" t="s">
        <v>8</v>
      </c>
      <c r="W12" s="1570">
        <f t="shared" si="2"/>
        <v>102</v>
      </c>
      <c r="X12" s="1571"/>
      <c r="Y12" s="3698"/>
      <c r="Z12" s="1150" t="str">
        <f t="shared" si="7"/>
        <v>土地使用年限（年）</v>
      </c>
      <c r="AA12" s="1572">
        <f t="shared" si="3"/>
        <v>0.98039215686274506</v>
      </c>
      <c r="AB12" s="1572">
        <f t="shared" si="4"/>
        <v>0.98039215686274506</v>
      </c>
      <c r="AC12" s="1572">
        <f t="shared" si="5"/>
        <v>0.98039215686274506</v>
      </c>
    </row>
    <row r="13" spans="1:30" ht="20.25">
      <c r="A13" s="2894"/>
      <c r="B13" s="2898" t="s">
        <v>2759</v>
      </c>
      <c r="C13" s="534">
        <v>3.5</v>
      </c>
      <c r="D13" s="255">
        <v>100</v>
      </c>
      <c r="E13" s="533">
        <v>1.59</v>
      </c>
      <c r="F13" s="255">
        <f>LOOKUP(E13,82:82,83:83)-LOOKUP(C13,82:82,83:83)+100</f>
        <v>104</v>
      </c>
      <c r="G13" s="534">
        <v>1.5</v>
      </c>
      <c r="H13" s="255">
        <f>LOOKUP(G13,82:82,83:83)-LOOKUP(C13,82:82,83:83)+100</f>
        <v>104</v>
      </c>
      <c r="I13" s="533">
        <v>1.8</v>
      </c>
      <c r="J13" s="255">
        <f>LOOKUP(I13,82:82,83:83)-LOOKUP(C13,82:82,83:83)+100</f>
        <v>104</v>
      </c>
      <c r="K13" s="535">
        <v>2</v>
      </c>
      <c r="L13" s="2140"/>
      <c r="M13" s="2132"/>
      <c r="N13" s="2132"/>
      <c r="O13" s="2141"/>
      <c r="P13" s="3752"/>
      <c r="Q13" s="1151" t="str">
        <f t="shared" si="6"/>
        <v>容积率</v>
      </c>
      <c r="R13" s="1569" t="s">
        <v>8</v>
      </c>
      <c r="S13" s="1570">
        <f t="shared" si="0"/>
        <v>104</v>
      </c>
      <c r="T13" s="1569" t="s">
        <v>8</v>
      </c>
      <c r="U13" s="1570">
        <f t="shared" si="1"/>
        <v>104</v>
      </c>
      <c r="V13" s="1569" t="s">
        <v>8</v>
      </c>
      <c r="W13" s="1570">
        <f t="shared" si="2"/>
        <v>104</v>
      </c>
      <c r="X13" s="1571"/>
      <c r="Y13" s="3698"/>
      <c r="Z13" s="1150" t="str">
        <f t="shared" si="7"/>
        <v>容积率</v>
      </c>
      <c r="AA13" s="1572">
        <f t="shared" si="3"/>
        <v>0.96153846153846156</v>
      </c>
      <c r="AB13" s="1572">
        <f t="shared" si="4"/>
        <v>0.96153846153846156</v>
      </c>
      <c r="AC13" s="1572">
        <f t="shared" si="5"/>
        <v>0.96153846153846156</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52"/>
      <c r="Q14" s="1151" t="str">
        <f t="shared" si="6"/>
        <v>配建</v>
      </c>
      <c r="R14" s="1569" t="s">
        <v>8</v>
      </c>
      <c r="S14" s="1570">
        <f t="shared" si="0"/>
        <v>100</v>
      </c>
      <c r="T14" s="1569" t="s">
        <v>8</v>
      </c>
      <c r="U14" s="1570">
        <f t="shared" si="1"/>
        <v>100</v>
      </c>
      <c r="V14" s="1569" t="s">
        <v>8</v>
      </c>
      <c r="W14" s="1570">
        <f t="shared" si="2"/>
        <v>100</v>
      </c>
      <c r="X14" s="1571"/>
      <c r="Y14" s="3698"/>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52"/>
      <c r="Q15" s="1151">
        <f t="shared" si="6"/>
        <v>111</v>
      </c>
      <c r="R15" s="1569" t="s">
        <v>8</v>
      </c>
      <c r="S15" s="1570">
        <f t="shared" si="0"/>
        <v>100</v>
      </c>
      <c r="T15" s="1569" t="s">
        <v>8</v>
      </c>
      <c r="U15" s="1570">
        <f t="shared" si="1"/>
        <v>100</v>
      </c>
      <c r="V15" s="1569" t="s">
        <v>8</v>
      </c>
      <c r="W15" s="1570">
        <f t="shared" si="2"/>
        <v>100</v>
      </c>
      <c r="X15" s="1571"/>
      <c r="Y15" s="3698"/>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52"/>
      <c r="Q16" s="1151">
        <f t="shared" si="6"/>
        <v>111</v>
      </c>
      <c r="R16" s="1569" t="s">
        <v>8</v>
      </c>
      <c r="S16" s="1570">
        <f t="shared" si="0"/>
        <v>100</v>
      </c>
      <c r="T16" s="1569" t="s">
        <v>8</v>
      </c>
      <c r="U16" s="1570">
        <f t="shared" si="1"/>
        <v>100</v>
      </c>
      <c r="V16" s="1569" t="s">
        <v>8</v>
      </c>
      <c r="W16" s="1570">
        <f t="shared" si="2"/>
        <v>100</v>
      </c>
      <c r="X16" s="1571"/>
      <c r="Y16" s="3698"/>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t="s">
        <v>3345</v>
      </c>
      <c r="F17" s="549">
        <f>SUMIF(90:90,E18,91:91)-SUMIF(90:90,C18,91:91)+100</f>
        <v>100</v>
      </c>
      <c r="G17" s="550" t="s">
        <v>3345</v>
      </c>
      <c r="H17" s="549">
        <f>SUMIF(90:90,G18,91:91)-SUMIF(90:90,C18,91:91)+100</f>
        <v>100</v>
      </c>
      <c r="I17" s="552" t="s">
        <v>3345</v>
      </c>
      <c r="J17" s="549">
        <f>SUMIF(90:90,I18,91:91)-SUMIF(90:90,C18,91:91)+100</f>
        <v>105</v>
      </c>
      <c r="K17" s="535">
        <v>5</v>
      </c>
      <c r="L17" s="2142"/>
      <c r="M17" s="2132"/>
      <c r="N17" s="2132"/>
      <c r="O17" s="2141"/>
      <c r="P17" s="3786" t="s">
        <v>540</v>
      </c>
      <c r="Q17" s="1573" t="str">
        <f t="shared" si="6"/>
        <v>居住社区成熟度</v>
      </c>
      <c r="R17" s="1574" t="s">
        <v>8</v>
      </c>
      <c r="S17" s="1575">
        <f t="shared" si="0"/>
        <v>100</v>
      </c>
      <c r="T17" s="1574" t="s">
        <v>8</v>
      </c>
      <c r="U17" s="1575">
        <f t="shared" si="1"/>
        <v>100</v>
      </c>
      <c r="V17" s="1574" t="s">
        <v>8</v>
      </c>
      <c r="W17" s="1575">
        <f t="shared" si="2"/>
        <v>105</v>
      </c>
      <c r="X17" s="1568"/>
      <c r="Y17" s="3786" t="s">
        <v>540</v>
      </c>
      <c r="Z17" s="1576" t="str">
        <f t="shared" si="7"/>
        <v>居住社区成熟度</v>
      </c>
      <c r="AA17" s="1577">
        <f t="shared" si="3"/>
        <v>1</v>
      </c>
      <c r="AB17" s="1577">
        <f t="shared" si="4"/>
        <v>1</v>
      </c>
      <c r="AC17" s="1577">
        <f t="shared" si="5"/>
        <v>0.95238095238095233</v>
      </c>
    </row>
    <row r="18" spans="1:29" ht="20.25">
      <c r="A18" s="532"/>
      <c r="B18" s="553"/>
      <c r="C18" s="554" t="s">
        <v>3233</v>
      </c>
      <c r="D18" s="557"/>
      <c r="E18" s="558" t="s">
        <v>3233</v>
      </c>
      <c r="F18" s="555"/>
      <c r="G18" s="556" t="s">
        <v>3233</v>
      </c>
      <c r="H18" s="559"/>
      <c r="I18" s="558" t="s">
        <v>3234</v>
      </c>
      <c r="J18" s="555"/>
      <c r="K18" s="531"/>
      <c r="L18" s="2142"/>
      <c r="M18" s="2132"/>
      <c r="N18" s="2132"/>
      <c r="O18" s="2141"/>
      <c r="P18" s="3787"/>
      <c r="Q18" s="1573"/>
      <c r="R18" s="1574"/>
      <c r="S18" s="1575"/>
      <c r="T18" s="1574"/>
      <c r="U18" s="1575"/>
      <c r="V18" s="1574"/>
      <c r="W18" s="1575"/>
      <c r="X18" s="1568"/>
      <c r="Y18" s="378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t="s">
        <v>3356</v>
      </c>
      <c r="F19" s="559">
        <f>SUMIF(92:92,E20,93:93)-SUMIF(92:92,C20,93:93)+100</f>
        <v>100</v>
      </c>
      <c r="G19" s="562" t="s">
        <v>3356</v>
      </c>
      <c r="H19" s="565">
        <f>SUMIF(92:92,G20,93:93)-SUMIF(92:92,C20,93:93)+100</f>
        <v>100</v>
      </c>
      <c r="I19" s="564" t="s">
        <v>3356</v>
      </c>
      <c r="J19" s="565">
        <f>SUMIF(92:92,I20,93:93)-SUMIF(92:92,C20,93:93)+100</f>
        <v>102</v>
      </c>
      <c r="K19" s="535">
        <v>2</v>
      </c>
      <c r="L19" s="2142"/>
      <c r="M19" s="2132"/>
      <c r="N19" s="2132"/>
      <c r="O19" s="2141"/>
      <c r="P19" s="3787"/>
      <c r="Q19" s="1573" t="str">
        <f>B19</f>
        <v>商业繁华度</v>
      </c>
      <c r="R19" s="1574" t="s">
        <v>8</v>
      </c>
      <c r="S19" s="1575">
        <f>F19</f>
        <v>100</v>
      </c>
      <c r="T19" s="1574" t="s">
        <v>8</v>
      </c>
      <c r="U19" s="1575">
        <f>H19</f>
        <v>100</v>
      </c>
      <c r="V19" s="1574" t="s">
        <v>8</v>
      </c>
      <c r="W19" s="1575">
        <f>J19</f>
        <v>102</v>
      </c>
      <c r="X19" s="1568"/>
      <c r="Y19" s="3787"/>
      <c r="Z19" s="1576" t="str">
        <f>Q19</f>
        <v>商业繁华度</v>
      </c>
      <c r="AA19" s="1577">
        <f t="shared" si="3"/>
        <v>1</v>
      </c>
      <c r="AB19" s="1577">
        <f t="shared" si="4"/>
        <v>1</v>
      </c>
      <c r="AC19" s="1577">
        <f t="shared" si="5"/>
        <v>0.98039215686274506</v>
      </c>
    </row>
    <row r="20" spans="1:29" ht="20.25">
      <c r="A20" s="532"/>
      <c r="B20" s="566"/>
      <c r="C20" s="554" t="s">
        <v>3233</v>
      </c>
      <c r="D20" s="563"/>
      <c r="E20" s="569" t="s">
        <v>3233</v>
      </c>
      <c r="F20" s="559"/>
      <c r="G20" s="568" t="s">
        <v>3233</v>
      </c>
      <c r="H20" s="555"/>
      <c r="I20" s="569" t="s">
        <v>3234</v>
      </c>
      <c r="J20" s="555"/>
      <c r="K20" s="531"/>
      <c r="L20" s="2142"/>
      <c r="M20" s="2132"/>
      <c r="N20" s="2132"/>
      <c r="O20" s="2141"/>
      <c r="P20" s="3787"/>
      <c r="Q20" s="1573"/>
      <c r="R20" s="1574"/>
      <c r="S20" s="1575"/>
      <c r="T20" s="1574"/>
      <c r="U20" s="1575"/>
      <c r="V20" s="1574"/>
      <c r="W20" s="1575"/>
      <c r="X20" s="1568"/>
      <c r="Y20" s="3787"/>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t="s">
        <v>3357</v>
      </c>
      <c r="F21" s="565">
        <f>SUMIF(94:94,E22,95:95)-SUMIF(94:94,C22,95:95)+100</f>
        <v>100</v>
      </c>
      <c r="G21" s="570" t="s">
        <v>3357</v>
      </c>
      <c r="H21" s="559">
        <f>SUMIF(94:94,G22,95:95)-SUMIF(94:94,C22,95:95)+100</f>
        <v>100</v>
      </c>
      <c r="I21" s="572" t="s">
        <v>3357</v>
      </c>
      <c r="J21" s="559">
        <f>SUMIF(94:94,I22,95:95)-SUMIF(94:94,C22,95:95)+100</f>
        <v>100</v>
      </c>
      <c r="K21" s="535">
        <v>2</v>
      </c>
      <c r="L21" s="2142"/>
      <c r="M21" s="2132"/>
      <c r="N21" s="2132"/>
      <c r="O21" s="2141"/>
      <c r="P21" s="3787"/>
      <c r="Q21" s="1573" t="str">
        <f>B21</f>
        <v>办公集聚程度</v>
      </c>
      <c r="R21" s="1574" t="s">
        <v>8</v>
      </c>
      <c r="S21" s="1575">
        <f>F21</f>
        <v>100</v>
      </c>
      <c r="T21" s="1574" t="s">
        <v>8</v>
      </c>
      <c r="U21" s="1575">
        <f>H21</f>
        <v>100</v>
      </c>
      <c r="V21" s="1574" t="s">
        <v>8</v>
      </c>
      <c r="W21" s="1575">
        <f>J21</f>
        <v>100</v>
      </c>
      <c r="X21" s="1568"/>
      <c r="Y21" s="3787"/>
      <c r="Z21" s="1576" t="str">
        <f>Q21</f>
        <v>办公集聚程度</v>
      </c>
      <c r="AA21" s="1577">
        <f t="shared" si="3"/>
        <v>1</v>
      </c>
      <c r="AB21" s="1577">
        <f t="shared" si="4"/>
        <v>1</v>
      </c>
      <c r="AC21" s="1577">
        <f t="shared" si="5"/>
        <v>1</v>
      </c>
    </row>
    <row r="22" spans="1:29" ht="20.25" hidden="1">
      <c r="A22" s="532"/>
      <c r="B22" s="566"/>
      <c r="C22" s="554" t="s">
        <v>3233</v>
      </c>
      <c r="D22" s="557"/>
      <c r="E22" s="558" t="s">
        <v>3233</v>
      </c>
      <c r="F22" s="555"/>
      <c r="G22" s="556" t="s">
        <v>3233</v>
      </c>
      <c r="H22" s="555"/>
      <c r="I22" s="558" t="s">
        <v>3233</v>
      </c>
      <c r="J22" s="555"/>
      <c r="K22" s="531"/>
      <c r="L22" s="2142"/>
      <c r="M22" s="2132"/>
      <c r="N22" s="2132"/>
      <c r="O22" s="2141"/>
      <c r="P22" s="3787"/>
      <c r="Q22" s="1573"/>
      <c r="R22" s="1574"/>
      <c r="S22" s="1575"/>
      <c r="T22" s="1574"/>
      <c r="U22" s="1575"/>
      <c r="V22" s="1574"/>
      <c r="W22" s="1575"/>
      <c r="X22" s="1568"/>
      <c r="Y22" s="378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t="s">
        <v>3347</v>
      </c>
      <c r="F23" s="565">
        <f>SUMIF(96:96,E24,97:97)-SUMIF(96:96,C24,97:97)+100</f>
        <v>100</v>
      </c>
      <c r="G23" s="562" t="s">
        <v>3347</v>
      </c>
      <c r="H23" s="559">
        <f>SUMIF(96:96,G24,97:97)-SUMIF(96:96,C24,97:97)+100</f>
        <v>100</v>
      </c>
      <c r="I23" s="564" t="s">
        <v>3347</v>
      </c>
      <c r="J23" s="559">
        <f>SUMIF(96:96,I24,97:97)-SUMIF(96:96,C24,97:97)+100</f>
        <v>102</v>
      </c>
      <c r="K23" s="535">
        <v>2</v>
      </c>
      <c r="L23" s="2142"/>
      <c r="M23" s="2132"/>
      <c r="N23" s="2132"/>
      <c r="O23" s="2141"/>
      <c r="P23" s="3787"/>
      <c r="Q23" s="1573" t="str">
        <f>B23</f>
        <v>交通便捷度</v>
      </c>
      <c r="R23" s="1574" t="s">
        <v>8</v>
      </c>
      <c r="S23" s="1575">
        <f>F23</f>
        <v>100</v>
      </c>
      <c r="T23" s="1574" t="s">
        <v>8</v>
      </c>
      <c r="U23" s="1575">
        <f>H23</f>
        <v>100</v>
      </c>
      <c r="V23" s="1574" t="s">
        <v>8</v>
      </c>
      <c r="W23" s="1575">
        <f>J23</f>
        <v>102</v>
      </c>
      <c r="X23" s="1568"/>
      <c r="Y23" s="3787"/>
      <c r="Z23" s="1576" t="str">
        <f>Q23</f>
        <v>交通便捷度</v>
      </c>
      <c r="AA23" s="1577">
        <f t="shared" si="3"/>
        <v>1</v>
      </c>
      <c r="AB23" s="1577">
        <f t="shared" si="4"/>
        <v>1</v>
      </c>
      <c r="AC23" s="1577">
        <f t="shared" si="5"/>
        <v>0.98039215686274506</v>
      </c>
    </row>
    <row r="24" spans="1:29" ht="20.25">
      <c r="A24" s="532"/>
      <c r="B24" s="578"/>
      <c r="C24" s="554" t="s">
        <v>3233</v>
      </c>
      <c r="D24" s="557"/>
      <c r="E24" s="558" t="s">
        <v>3233</v>
      </c>
      <c r="F24" s="555"/>
      <c r="G24" s="556" t="s">
        <v>3233</v>
      </c>
      <c r="H24" s="555"/>
      <c r="I24" s="558" t="s">
        <v>3234</v>
      </c>
      <c r="J24" s="555"/>
      <c r="K24" s="531"/>
      <c r="L24" s="2142"/>
      <c r="M24" s="2132"/>
      <c r="N24" s="2132"/>
      <c r="O24" s="2141"/>
      <c r="P24" s="3787"/>
      <c r="Q24" s="1573"/>
      <c r="R24" s="1574"/>
      <c r="S24" s="1575"/>
      <c r="T24" s="1574"/>
      <c r="U24" s="1575"/>
      <c r="V24" s="1574"/>
      <c r="W24" s="1575"/>
      <c r="X24" s="1568"/>
      <c r="Y24" s="3787"/>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2</v>
      </c>
      <c r="L25" s="2142"/>
      <c r="M25" s="2132"/>
      <c r="N25" s="2132"/>
      <c r="O25" s="2141"/>
      <c r="P25" s="3787"/>
      <c r="Q25" s="1573" t="str">
        <f t="shared" ref="Q25:Q39" si="8">B25</f>
        <v>区域土地利用方向</v>
      </c>
      <c r="R25" s="1574" t="s">
        <v>8</v>
      </c>
      <c r="S25" s="1575">
        <f>F25</f>
        <v>100</v>
      </c>
      <c r="T25" s="1574" t="s">
        <v>8</v>
      </c>
      <c r="U25" s="1575">
        <f>H25</f>
        <v>100</v>
      </c>
      <c r="V25" s="1574" t="s">
        <v>8</v>
      </c>
      <c r="W25" s="1575">
        <f>J25</f>
        <v>100</v>
      </c>
      <c r="X25" s="1568"/>
      <c r="Y25" s="3787"/>
      <c r="Z25" s="1576" t="str">
        <f>Q25</f>
        <v>区域土地利用方向</v>
      </c>
      <c r="AA25" s="1577">
        <f t="shared" si="3"/>
        <v>1</v>
      </c>
      <c r="AB25" s="1577">
        <f t="shared" si="4"/>
        <v>1</v>
      </c>
      <c r="AC25" s="1577">
        <f t="shared" si="5"/>
        <v>1</v>
      </c>
    </row>
    <row r="26" spans="1:29" ht="20.25">
      <c r="A26" s="515"/>
      <c r="B26" s="1007"/>
      <c r="C26" s="554" t="s">
        <v>3234</v>
      </c>
      <c r="D26" s="557"/>
      <c r="E26" s="558" t="s">
        <v>3234</v>
      </c>
      <c r="F26" s="555"/>
      <c r="G26" s="556" t="s">
        <v>3234</v>
      </c>
      <c r="H26" s="555"/>
      <c r="I26" s="558" t="s">
        <v>3234</v>
      </c>
      <c r="J26" s="555"/>
      <c r="K26" s="531"/>
      <c r="L26" s="2142"/>
      <c r="M26" s="2132"/>
      <c r="N26" s="2132"/>
      <c r="O26" s="2141"/>
      <c r="P26" s="3787"/>
      <c r="Q26" s="1573"/>
      <c r="R26" s="1574"/>
      <c r="S26" s="1575"/>
      <c r="T26" s="1574"/>
      <c r="U26" s="1575"/>
      <c r="V26" s="1574"/>
      <c r="W26" s="1575"/>
      <c r="X26" s="1568"/>
      <c r="Y26" s="3787"/>
      <c r="Z26" s="1576"/>
      <c r="AA26" s="1577"/>
      <c r="AB26" s="1577"/>
      <c r="AC26" s="1577"/>
    </row>
    <row r="27" spans="1:29" ht="57">
      <c r="A27" s="515"/>
      <c r="B27" s="578" t="s">
        <v>545</v>
      </c>
      <c r="C27" s="561" t="str">
        <f>估价对象房地状况!C20</f>
        <v>区域自然环境：；人文环境；综合评价环境状况一般</v>
      </c>
      <c r="D27" s="563">
        <v>100</v>
      </c>
      <c r="E27" s="564" t="s">
        <v>3358</v>
      </c>
      <c r="F27" s="559">
        <f>SUMIF(100:100,E28,101:101)-SUMIF(100:100,C28,101:101)+100</f>
        <v>100</v>
      </c>
      <c r="G27" s="562" t="s">
        <v>3358</v>
      </c>
      <c r="H27" s="559">
        <f>SUMIF(100:100,G28,101:101)-SUMIF(100:100,C28,101:101)+100</f>
        <v>100</v>
      </c>
      <c r="I27" s="564" t="s">
        <v>3358</v>
      </c>
      <c r="J27" s="559">
        <f>SUMIF(100:100,I28,101:101)-SUMIF(100:100,C28,101:101)+100</f>
        <v>101</v>
      </c>
      <c r="K27" s="535">
        <v>1</v>
      </c>
      <c r="L27" s="2142"/>
      <c r="M27" s="2132"/>
      <c r="N27" s="2132"/>
      <c r="O27" s="2141"/>
      <c r="P27" s="3787"/>
      <c r="Q27" s="1573" t="str">
        <f t="shared" si="8"/>
        <v>自然及人文环境状况</v>
      </c>
      <c r="R27" s="1574" t="s">
        <v>8</v>
      </c>
      <c r="S27" s="1575">
        <f>F27</f>
        <v>100</v>
      </c>
      <c r="T27" s="1574" t="s">
        <v>8</v>
      </c>
      <c r="U27" s="1575">
        <f>H27</f>
        <v>100</v>
      </c>
      <c r="V27" s="1574" t="s">
        <v>8</v>
      </c>
      <c r="W27" s="1575">
        <f>J27</f>
        <v>101</v>
      </c>
      <c r="X27" s="1568"/>
      <c r="Y27" s="3787"/>
      <c r="Z27" s="1576" t="str">
        <f>Q27</f>
        <v>自然及人文环境状况</v>
      </c>
      <c r="AA27" s="1577">
        <f t="shared" si="3"/>
        <v>1</v>
      </c>
      <c r="AB27" s="1577">
        <f t="shared" si="4"/>
        <v>1</v>
      </c>
      <c r="AC27" s="1577">
        <f t="shared" si="5"/>
        <v>0.99009900990099009</v>
      </c>
    </row>
    <row r="28" spans="1:29" ht="20.25">
      <c r="A28" s="515"/>
      <c r="B28" s="566"/>
      <c r="C28" s="554" t="s">
        <v>3233</v>
      </c>
      <c r="D28" s="557"/>
      <c r="E28" s="576" t="s">
        <v>3233</v>
      </c>
      <c r="F28" s="555"/>
      <c r="G28" s="554" t="s">
        <v>3233</v>
      </c>
      <c r="H28" s="555"/>
      <c r="I28" s="576" t="s">
        <v>3234</v>
      </c>
      <c r="J28" s="555"/>
      <c r="K28" s="531"/>
      <c r="L28" s="2142"/>
      <c r="M28" s="2132"/>
      <c r="N28" s="2132"/>
      <c r="O28" s="2141"/>
      <c r="P28" s="3787"/>
      <c r="Q28" s="1573"/>
      <c r="R28" s="1574"/>
      <c r="S28" s="1575"/>
      <c r="T28" s="1574"/>
      <c r="U28" s="1575"/>
      <c r="V28" s="1574"/>
      <c r="W28" s="1575"/>
      <c r="X28" s="1568"/>
      <c r="Y28" s="3787"/>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t="s">
        <v>3349</v>
      </c>
      <c r="F29" s="559">
        <f>SUMIF(102:102,E30,103:103)-SUMIF(102:102,C30,103:103)+100</f>
        <v>100</v>
      </c>
      <c r="G29" s="562" t="s">
        <v>3349</v>
      </c>
      <c r="H29" s="559">
        <f>SUMIF(102:102,G30,103:103)-SUMIF(102:102,C30,103:103)+100</f>
        <v>100</v>
      </c>
      <c r="I29" s="564" t="s">
        <v>3349</v>
      </c>
      <c r="J29" s="559">
        <f>SUMIF(102:102,I30,103:103)-SUMIF(102:102,C30,103:103)+100</f>
        <v>101</v>
      </c>
      <c r="K29" s="535">
        <v>1</v>
      </c>
      <c r="L29" s="2135"/>
      <c r="M29" s="2132"/>
      <c r="N29" s="2132"/>
      <c r="O29" s="2137"/>
      <c r="P29" s="3787"/>
      <c r="Q29" s="1151" t="str">
        <f t="shared" si="8"/>
        <v>公共配套设施</v>
      </c>
      <c r="R29" s="1569" t="s">
        <v>8</v>
      </c>
      <c r="S29" s="1570">
        <f>F29</f>
        <v>100</v>
      </c>
      <c r="T29" s="1569" t="s">
        <v>8</v>
      </c>
      <c r="U29" s="1570">
        <f>H29</f>
        <v>100</v>
      </c>
      <c r="V29" s="1569" t="s">
        <v>8</v>
      </c>
      <c r="W29" s="1570">
        <f>J29</f>
        <v>101</v>
      </c>
      <c r="X29" s="1571"/>
      <c r="Y29" s="3787"/>
      <c r="Z29" s="1150" t="str">
        <f>Q29</f>
        <v>公共配套设施</v>
      </c>
      <c r="AA29" s="1577">
        <f>D29/F29</f>
        <v>1</v>
      </c>
      <c r="AB29" s="1577">
        <f>D29/H29</f>
        <v>1</v>
      </c>
      <c r="AC29" s="1577">
        <f>D29/J29</f>
        <v>0.99009900990099009</v>
      </c>
    </row>
    <row r="30" spans="1:29" s="1220" customFormat="1" ht="20.25">
      <c r="A30" s="577"/>
      <c r="B30" s="566"/>
      <c r="C30" s="579" t="s">
        <v>3233</v>
      </c>
      <c r="D30" s="557"/>
      <c r="E30" s="576" t="s">
        <v>3233</v>
      </c>
      <c r="F30" s="555"/>
      <c r="G30" s="554" t="s">
        <v>3233</v>
      </c>
      <c r="H30" s="555"/>
      <c r="I30" s="576" t="s">
        <v>3234</v>
      </c>
      <c r="J30" s="555"/>
      <c r="K30" s="531"/>
      <c r="L30" s="2135"/>
      <c r="M30" s="2132"/>
      <c r="N30" s="2132"/>
      <c r="O30" s="2137"/>
      <c r="P30" s="3787"/>
      <c r="Q30" s="1151"/>
      <c r="R30" s="1569"/>
      <c r="S30" s="1570"/>
      <c r="T30" s="1569"/>
      <c r="U30" s="1570"/>
      <c r="V30" s="1569"/>
      <c r="W30" s="1570"/>
      <c r="X30" s="1571"/>
      <c r="Y30" s="3787"/>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t="s">
        <v>3359</v>
      </c>
      <c r="F31" s="559">
        <f>SUMIF(104:104,E32,105:105)-SUMIF(104:104,C32,105:105)+100</f>
        <v>100</v>
      </c>
      <c r="G31" s="562" t="s">
        <v>3359</v>
      </c>
      <c r="H31" s="559">
        <f>SUMIF(104:104,G32,105:105)-SUMIF(104:104,C32,105:105)+100</f>
        <v>100</v>
      </c>
      <c r="I31" s="564" t="s">
        <v>3359</v>
      </c>
      <c r="J31" s="559">
        <f>SUMIF(104:104,I32,105:105)-SUMIF(104:104,C32,105:105)+100</f>
        <v>101</v>
      </c>
      <c r="K31" s="535">
        <v>1</v>
      </c>
      <c r="L31" s="2135"/>
      <c r="M31" s="2132"/>
      <c r="N31" s="2132"/>
      <c r="O31" s="2137"/>
      <c r="P31" s="3787"/>
      <c r="Q31" s="2557" t="str">
        <f t="shared" ref="Q31" si="9">B31</f>
        <v>基础设施水平</v>
      </c>
      <c r="R31" s="1569" t="s">
        <v>8</v>
      </c>
      <c r="S31" s="1570">
        <f>F31</f>
        <v>100</v>
      </c>
      <c r="T31" s="1569" t="s">
        <v>8</v>
      </c>
      <c r="U31" s="1570">
        <f>H31</f>
        <v>100</v>
      </c>
      <c r="V31" s="1569" t="s">
        <v>8</v>
      </c>
      <c r="W31" s="1570">
        <f>J31</f>
        <v>101</v>
      </c>
      <c r="X31" s="1571"/>
      <c r="Y31" s="3787"/>
      <c r="Z31" s="2554" t="str">
        <f>Q31</f>
        <v>基础设施水平</v>
      </c>
      <c r="AA31" s="1577">
        <f>D31/F31</f>
        <v>1</v>
      </c>
      <c r="AB31" s="1577">
        <f>D31/H31</f>
        <v>1</v>
      </c>
      <c r="AC31" s="1577">
        <f>D31/J31</f>
        <v>0.99009900990099009</v>
      </c>
    </row>
    <row r="32" spans="1:29" s="1220" customFormat="1" ht="21" thickBot="1">
      <c r="A32" s="577"/>
      <c r="B32" s="566"/>
      <c r="C32" s="579" t="s">
        <v>3348</v>
      </c>
      <c r="D32" s="557"/>
      <c r="E32" s="2571" t="s">
        <v>3348</v>
      </c>
      <c r="F32" s="555"/>
      <c r="G32" s="579" t="s">
        <v>3348</v>
      </c>
      <c r="H32" s="555"/>
      <c r="I32" s="579" t="s">
        <v>3238</v>
      </c>
      <c r="J32" s="555"/>
      <c r="K32" s="531"/>
      <c r="L32" s="2135"/>
      <c r="M32" s="2132"/>
      <c r="N32" s="2132"/>
      <c r="O32" s="2137"/>
      <c r="P32" s="3787"/>
      <c r="Q32" s="2557"/>
      <c r="R32" s="1569"/>
      <c r="S32" s="1570"/>
      <c r="T32" s="1569"/>
      <c r="U32" s="1570"/>
      <c r="V32" s="1569"/>
      <c r="W32" s="1570"/>
      <c r="X32" s="1571"/>
      <c r="Y32" s="3787"/>
      <c r="Z32" s="2554"/>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78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87"/>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87"/>
      <c r="Q34" s="1573" t="str">
        <f t="shared" si="8"/>
        <v>毗邻道路的类型与等级</v>
      </c>
      <c r="R34" s="1574" t="s">
        <v>8</v>
      </c>
      <c r="S34" s="1575">
        <f t="shared" si="10"/>
        <v>100</v>
      </c>
      <c r="T34" s="1574" t="s">
        <v>8</v>
      </c>
      <c r="U34" s="1575">
        <f t="shared" si="11"/>
        <v>100</v>
      </c>
      <c r="V34" s="1574" t="s">
        <v>8</v>
      </c>
      <c r="W34" s="1575">
        <f t="shared" si="12"/>
        <v>100</v>
      </c>
      <c r="X34" s="1568"/>
      <c r="Y34" s="3787"/>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2"/>
      <c r="M35" s="2132"/>
      <c r="N35" s="2132"/>
      <c r="O35" s="2141"/>
      <c r="P35" s="3787"/>
      <c r="Q35" s="1573"/>
      <c r="R35" s="1574"/>
      <c r="S35" s="1575"/>
      <c r="T35" s="1574"/>
      <c r="U35" s="1575"/>
      <c r="V35" s="1574"/>
      <c r="W35" s="1575"/>
      <c r="X35" s="1568"/>
      <c r="Y35" s="3787"/>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87"/>
      <c r="Q36" s="1573" t="str">
        <f t="shared" si="8"/>
        <v>土地级别</v>
      </c>
      <c r="R36" s="1574" t="s">
        <v>8</v>
      </c>
      <c r="S36" s="1575">
        <f t="shared" si="10"/>
        <v>100</v>
      </c>
      <c r="T36" s="1574" t="s">
        <v>8</v>
      </c>
      <c r="U36" s="1575">
        <f t="shared" si="11"/>
        <v>100</v>
      </c>
      <c r="V36" s="1574" t="s">
        <v>8</v>
      </c>
      <c r="W36" s="1575">
        <f t="shared" si="12"/>
        <v>100</v>
      </c>
      <c r="X36" s="1568"/>
      <c r="Y36" s="3787"/>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87"/>
      <c r="Q37" s="1573">
        <f t="shared" si="8"/>
        <v>111</v>
      </c>
      <c r="R37" s="1574" t="s">
        <v>8</v>
      </c>
      <c r="S37" s="1575">
        <f t="shared" si="10"/>
        <v>100</v>
      </c>
      <c r="T37" s="1574" t="s">
        <v>8</v>
      </c>
      <c r="U37" s="1575">
        <f t="shared" si="11"/>
        <v>100</v>
      </c>
      <c r="V37" s="1574" t="s">
        <v>8</v>
      </c>
      <c r="W37" s="1575">
        <f t="shared" si="12"/>
        <v>100</v>
      </c>
      <c r="X37" s="1568"/>
      <c r="Y37" s="3787"/>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88" t="s">
        <v>550</v>
      </c>
      <c r="Q38" s="1573">
        <f t="shared" si="8"/>
        <v>111</v>
      </c>
      <c r="R38" s="1574" t="s">
        <v>8</v>
      </c>
      <c r="S38" s="1575">
        <f t="shared" si="10"/>
        <v>100</v>
      </c>
      <c r="T38" s="1574" t="s">
        <v>8</v>
      </c>
      <c r="U38" s="1575">
        <f t="shared" si="11"/>
        <v>100</v>
      </c>
      <c r="V38" s="1574" t="s">
        <v>8</v>
      </c>
      <c r="W38" s="1575">
        <f t="shared" si="12"/>
        <v>100</v>
      </c>
      <c r="X38" s="1568"/>
      <c r="Y38" s="3789"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89"/>
      <c r="Q39" s="1573">
        <f t="shared" si="8"/>
        <v>111</v>
      </c>
      <c r="R39" s="1578" t="s">
        <v>8</v>
      </c>
      <c r="S39" s="1579">
        <f t="shared" si="10"/>
        <v>100</v>
      </c>
      <c r="T39" s="1578" t="s">
        <v>8</v>
      </c>
      <c r="U39" s="1579">
        <f t="shared" si="11"/>
        <v>100</v>
      </c>
      <c r="V39" s="1578" t="s">
        <v>8</v>
      </c>
      <c r="W39" s="1579">
        <f t="shared" si="12"/>
        <v>100</v>
      </c>
      <c r="X39" s="1580"/>
      <c r="Y39" s="3789"/>
      <c r="Z39" s="1581">
        <f t="shared" si="13"/>
        <v>111</v>
      </c>
      <c r="AA39" s="1577">
        <f t="shared" si="3"/>
        <v>1</v>
      </c>
      <c r="AB39" s="1577">
        <f t="shared" si="4"/>
        <v>1</v>
      </c>
      <c r="AC39" s="1577">
        <f t="shared" si="5"/>
        <v>1</v>
      </c>
    </row>
    <row r="40" spans="1:29" ht="20.25">
      <c r="A40" s="2885" t="s">
        <v>2756</v>
      </c>
      <c r="B40" s="595" t="s">
        <v>552</v>
      </c>
      <c r="C40" s="596">
        <f>'数据-基础表'!A3</f>
        <v>20854.2</v>
      </c>
      <c r="D40" s="597">
        <v>100</v>
      </c>
      <c r="E40" s="596">
        <f>Sheet1!F2</f>
        <v>2118.7800000000002</v>
      </c>
      <c r="F40" s="597">
        <f>LOOKUP(E40,119:119,120:120)-LOOKUP(C40,119:119,120:120)+100</f>
        <v>98</v>
      </c>
      <c r="G40" s="596">
        <f>Sheet1!F9</f>
        <v>1093.3699999999999</v>
      </c>
      <c r="H40" s="597">
        <f>LOOKUP(G40,119:119,120:120)-LOOKUP(C40,119:119,120:120)+100</f>
        <v>98</v>
      </c>
      <c r="I40" s="598">
        <f>Sheet1!F28</f>
        <v>37681.67</v>
      </c>
      <c r="J40" s="597">
        <f>LOOKUP(I40,119:119,120:120)-LOOKUP(C40,119:119,120:120)+100</f>
        <v>100</v>
      </c>
      <c r="K40" s="581"/>
      <c r="L40" s="2142"/>
      <c r="M40" s="2132"/>
      <c r="N40" s="2132"/>
      <c r="O40" s="2141"/>
      <c r="P40" s="3789"/>
      <c r="Q40" s="1573" t="str">
        <f>B40</f>
        <v>宗地面积</v>
      </c>
      <c r="R40" s="1574" t="s">
        <v>8</v>
      </c>
      <c r="S40" s="1575">
        <f t="shared" si="10"/>
        <v>98</v>
      </c>
      <c r="T40" s="1574" t="s">
        <v>8</v>
      </c>
      <c r="U40" s="1575">
        <f t="shared" si="11"/>
        <v>98</v>
      </c>
      <c r="V40" s="1574" t="s">
        <v>8</v>
      </c>
      <c r="W40" s="1575">
        <f t="shared" si="12"/>
        <v>100</v>
      </c>
      <c r="X40" s="1568"/>
      <c r="Y40" s="3789"/>
      <c r="Z40" s="1576" t="str">
        <f t="shared" si="13"/>
        <v>宗地面积</v>
      </c>
      <c r="AA40" s="1577">
        <f t="shared" si="3"/>
        <v>1.0204081632653061</v>
      </c>
      <c r="AB40" s="1577">
        <f t="shared" si="4"/>
        <v>1.0204081632653061</v>
      </c>
      <c r="AC40" s="1577">
        <f t="shared" si="5"/>
        <v>1</v>
      </c>
    </row>
    <row r="41" spans="1:29" ht="20.25">
      <c r="A41" s="594"/>
      <c r="B41" s="527" t="s">
        <v>553</v>
      </c>
      <c r="C41" s="599" t="s">
        <v>3352</v>
      </c>
      <c r="D41" s="540">
        <v>100</v>
      </c>
      <c r="E41" s="599" t="s">
        <v>3352</v>
      </c>
      <c r="F41" s="540">
        <f>SUMIF(121:121,E41,122:122)-SUMIF(121:121,C41,122:122)+100</f>
        <v>100</v>
      </c>
      <c r="G41" s="599" t="s">
        <v>3352</v>
      </c>
      <c r="H41" s="540">
        <f>SUMIF(121:121,G41,122:122)-SUMIF(121:121,C41,122:122)+100</f>
        <v>100</v>
      </c>
      <c r="I41" s="599" t="s">
        <v>3352</v>
      </c>
      <c r="J41" s="540">
        <f>SUMIF(121:121,I41,122:122)-SUMIF(121:121,C41,122:122)+100</f>
        <v>100</v>
      </c>
      <c r="K41" s="584">
        <v>2</v>
      </c>
      <c r="L41" s="2142"/>
      <c r="M41" s="2132"/>
      <c r="N41" s="2132"/>
      <c r="O41" s="2141"/>
      <c r="P41" s="3789"/>
      <c r="Q41" s="1573" t="str">
        <f t="shared" ref="Q41:Q47" si="14">B41</f>
        <v>宗地形状</v>
      </c>
      <c r="R41" s="1574" t="s">
        <v>8</v>
      </c>
      <c r="S41" s="1575">
        <f t="shared" si="10"/>
        <v>100</v>
      </c>
      <c r="T41" s="1574" t="s">
        <v>8</v>
      </c>
      <c r="U41" s="1575">
        <f t="shared" si="11"/>
        <v>100</v>
      </c>
      <c r="V41" s="1574" t="s">
        <v>8</v>
      </c>
      <c r="W41" s="1575">
        <f t="shared" si="12"/>
        <v>100</v>
      </c>
      <c r="X41" s="1568"/>
      <c r="Y41" s="378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89"/>
      <c r="Q42" s="1573" t="str">
        <f t="shared" si="14"/>
        <v>临街宽度及深度</v>
      </c>
      <c r="R42" s="1574" t="s">
        <v>8</v>
      </c>
      <c r="S42" s="1575">
        <f t="shared" si="10"/>
        <v>100</v>
      </c>
      <c r="T42" s="1574" t="s">
        <v>8</v>
      </c>
      <c r="U42" s="1575">
        <f t="shared" si="11"/>
        <v>100</v>
      </c>
      <c r="V42" s="1574" t="s">
        <v>8</v>
      </c>
      <c r="W42" s="1575">
        <f t="shared" si="12"/>
        <v>100</v>
      </c>
      <c r="X42" s="1568"/>
      <c r="Y42" s="3789"/>
      <c r="Z42" s="1576" t="str">
        <f t="shared" si="13"/>
        <v>临街宽度及深度</v>
      </c>
      <c r="AA42" s="1577">
        <f t="shared" si="3"/>
        <v>1</v>
      </c>
      <c r="AB42" s="1577">
        <f t="shared" si="4"/>
        <v>1</v>
      </c>
      <c r="AC42" s="1577">
        <f t="shared" si="5"/>
        <v>1</v>
      </c>
    </row>
    <row r="43" spans="1:29" s="1220" customFormat="1" ht="20.25">
      <c r="A43" s="600"/>
      <c r="B43" s="1895" t="s">
        <v>2425</v>
      </c>
      <c r="C43" s="601" t="s">
        <v>3234</v>
      </c>
      <c r="D43" s="255">
        <v>100</v>
      </c>
      <c r="E43" s="601" t="s">
        <v>3234</v>
      </c>
      <c r="F43" s="540">
        <f>SUMIF(125:125,E43,126:126)-SUMIF(125:125,C43,126:126)+100</f>
        <v>100</v>
      </c>
      <c r="G43" s="601" t="s">
        <v>3234</v>
      </c>
      <c r="H43" s="540">
        <f>SUMIF(125:125,G43,126:126)-SUMIF(125:125,C43,126:126)+100</f>
        <v>100</v>
      </c>
      <c r="I43" s="601" t="s">
        <v>3234</v>
      </c>
      <c r="J43" s="540">
        <f>SUMIF(125:125,I43,126:126)-SUMIF(125:125,C43,126:126)+100</f>
        <v>100</v>
      </c>
      <c r="K43" s="584">
        <v>2</v>
      </c>
      <c r="L43" s="2135"/>
      <c r="M43" s="2132"/>
      <c r="N43" s="2132"/>
      <c r="O43" s="2137"/>
      <c r="P43" s="3789"/>
      <c r="Q43" s="1573" t="str">
        <f t="shared" si="14"/>
        <v>宗地开发程度</v>
      </c>
      <c r="R43" s="1569" t="s">
        <v>8</v>
      </c>
      <c r="S43" s="1570">
        <f t="shared" si="10"/>
        <v>100</v>
      </c>
      <c r="T43" s="1569" t="s">
        <v>8</v>
      </c>
      <c r="U43" s="1570">
        <f t="shared" si="11"/>
        <v>100</v>
      </c>
      <c r="V43" s="1569" t="s">
        <v>8</v>
      </c>
      <c r="W43" s="1570">
        <f t="shared" si="12"/>
        <v>100</v>
      </c>
      <c r="X43" s="1571"/>
      <c r="Y43" s="3789"/>
      <c r="Z43" s="1150" t="str">
        <f t="shared" si="13"/>
        <v>宗地开发程度</v>
      </c>
      <c r="AA43" s="1572">
        <f t="shared" si="3"/>
        <v>1</v>
      </c>
      <c r="AB43" s="1572">
        <f t="shared" si="4"/>
        <v>1</v>
      </c>
      <c r="AC43" s="1572">
        <f t="shared" si="5"/>
        <v>1</v>
      </c>
    </row>
    <row r="44" spans="1:29" ht="20.25">
      <c r="A44" s="594"/>
      <c r="B44" s="527" t="s">
        <v>555</v>
      </c>
      <c r="C44" s="599" t="s">
        <v>3234</v>
      </c>
      <c r="D44" s="540">
        <v>100</v>
      </c>
      <c r="E44" s="599" t="s">
        <v>3234</v>
      </c>
      <c r="F44" s="540">
        <f>SUMIF(127:127,E44,128:128)-SUMIF(127:127,C44,128:128)+100</f>
        <v>100</v>
      </c>
      <c r="G44" s="599" t="s">
        <v>3234</v>
      </c>
      <c r="H44" s="540">
        <f>SUMIF(127:127,G44,128:128)-SUMIF(127:127,C44,128:128)+100</f>
        <v>100</v>
      </c>
      <c r="I44" s="599" t="s">
        <v>3234</v>
      </c>
      <c r="J44" s="540">
        <f>SUMIF(127:127,I44,128:128)-SUMIF(127:127,C44,128:128)+100</f>
        <v>100</v>
      </c>
      <c r="K44" s="584">
        <v>2</v>
      </c>
      <c r="L44" s="2142"/>
      <c r="M44" s="2132"/>
      <c r="N44" s="2132"/>
      <c r="O44" s="2141"/>
      <c r="P44" s="3789" t="s">
        <v>550</v>
      </c>
      <c r="Q44" s="1573" t="str">
        <f t="shared" si="14"/>
        <v>工程地质条件</v>
      </c>
      <c r="R44" s="1574" t="s">
        <v>8</v>
      </c>
      <c r="S44" s="1575">
        <f t="shared" si="10"/>
        <v>100</v>
      </c>
      <c r="T44" s="1574" t="s">
        <v>8</v>
      </c>
      <c r="U44" s="1575">
        <f t="shared" si="11"/>
        <v>100</v>
      </c>
      <c r="V44" s="1574" t="s">
        <v>8</v>
      </c>
      <c r="W44" s="1575">
        <f t="shared" si="12"/>
        <v>100</v>
      </c>
      <c r="X44" s="1568"/>
      <c r="Y44" s="378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89"/>
      <c r="Q45" s="1573">
        <f t="shared" si="14"/>
        <v>111</v>
      </c>
      <c r="R45" s="1574" t="s">
        <v>8</v>
      </c>
      <c r="S45" s="1575">
        <f t="shared" si="10"/>
        <v>100</v>
      </c>
      <c r="T45" s="1574" t="s">
        <v>8</v>
      </c>
      <c r="U45" s="1575">
        <f t="shared" si="11"/>
        <v>100</v>
      </c>
      <c r="V45" s="1574" t="s">
        <v>8</v>
      </c>
      <c r="W45" s="1575">
        <f t="shared" si="12"/>
        <v>100</v>
      </c>
      <c r="X45" s="1568"/>
      <c r="Y45" s="378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89"/>
      <c r="Q46" s="1573">
        <f t="shared" si="14"/>
        <v>111</v>
      </c>
      <c r="R46" s="1574" t="s">
        <v>8</v>
      </c>
      <c r="S46" s="1575">
        <f t="shared" si="10"/>
        <v>100</v>
      </c>
      <c r="T46" s="1574" t="s">
        <v>8</v>
      </c>
      <c r="U46" s="1575">
        <f t="shared" si="11"/>
        <v>100</v>
      </c>
      <c r="V46" s="1574" t="s">
        <v>8</v>
      </c>
      <c r="W46" s="1575">
        <f t="shared" si="12"/>
        <v>100</v>
      </c>
      <c r="X46" s="1568"/>
      <c r="Y46" s="378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89"/>
      <c r="Q47" s="1573">
        <f t="shared" si="14"/>
        <v>111</v>
      </c>
      <c r="R47" s="1578" t="s">
        <v>8</v>
      </c>
      <c r="S47" s="1579">
        <f t="shared" si="10"/>
        <v>100</v>
      </c>
      <c r="T47" s="1578" t="s">
        <v>8</v>
      </c>
      <c r="U47" s="1579">
        <f t="shared" si="11"/>
        <v>100</v>
      </c>
      <c r="V47" s="1578" t="s">
        <v>8</v>
      </c>
      <c r="W47" s="1579">
        <f t="shared" si="12"/>
        <v>100</v>
      </c>
      <c r="X47" s="1580"/>
      <c r="Y47" s="3789"/>
      <c r="Z47" s="1581">
        <f t="shared" si="13"/>
        <v>111</v>
      </c>
      <c r="AA47" s="1577">
        <f t="shared" si="3"/>
        <v>1</v>
      </c>
      <c r="AB47" s="1577">
        <f t="shared" si="4"/>
        <v>1</v>
      </c>
      <c r="AC47" s="1577">
        <f t="shared" si="5"/>
        <v>1</v>
      </c>
    </row>
    <row r="48" spans="1:29" ht="20.25">
      <c r="A48" s="607" t="s">
        <v>556</v>
      </c>
      <c r="B48" s="608" t="s">
        <v>3009</v>
      </c>
      <c r="C48" s="609" t="s">
        <v>1</v>
      </c>
      <c r="D48" s="610"/>
      <c r="E48" s="611">
        <f>ROUND(Sheet1!N2,0)</f>
        <v>1757</v>
      </c>
      <c r="F48" s="612"/>
      <c r="G48" s="613">
        <f>ROUND(Sheet1!N9,0)</f>
        <v>1652</v>
      </c>
      <c r="H48" s="614"/>
      <c r="I48" s="613">
        <f>ROUND(Sheet1!N28,0)</f>
        <v>1917</v>
      </c>
      <c r="J48" s="614"/>
      <c r="K48" s="1340"/>
      <c r="L48" s="2144"/>
      <c r="M48" s="2132"/>
      <c r="N48" s="2132"/>
      <c r="O48" s="2145"/>
      <c r="P48" s="3752" t="str">
        <f>A48</f>
        <v>成交单价</v>
      </c>
      <c r="Q48" s="3752"/>
      <c r="R48" s="3753">
        <f>E48</f>
        <v>1757</v>
      </c>
      <c r="S48" s="3753"/>
      <c r="T48" s="3753">
        <f>G48</f>
        <v>1652</v>
      </c>
      <c r="U48" s="3753"/>
      <c r="V48" s="3753">
        <f>I48</f>
        <v>1917</v>
      </c>
      <c r="W48" s="3753"/>
      <c r="X48" s="1560"/>
      <c r="Y48" s="1582"/>
      <c r="Z48" s="1560"/>
      <c r="AA48" s="1560"/>
      <c r="AB48" s="1560"/>
      <c r="AC48" s="1560"/>
    </row>
    <row r="49" spans="1:29" ht="21" thickBot="1">
      <c r="A49" s="615" t="s">
        <v>2694</v>
      </c>
      <c r="B49" s="616"/>
      <c r="C49" s="617">
        <f>R50</f>
        <v>1673</v>
      </c>
      <c r="D49" s="618"/>
      <c r="E49" s="617">
        <f>R49</f>
        <v>1716</v>
      </c>
      <c r="F49" s="619"/>
      <c r="G49" s="620">
        <f>T49</f>
        <v>1613</v>
      </c>
      <c r="H49" s="618"/>
      <c r="I49" s="617">
        <f>V49</f>
        <v>1690</v>
      </c>
      <c r="J49" s="618"/>
      <c r="K49" s="1341"/>
      <c r="L49" s="2144"/>
      <c r="M49" s="2132"/>
      <c r="N49" s="2132"/>
      <c r="O49" s="2145"/>
      <c r="P49" s="3752" t="str">
        <f>A49</f>
        <v>比较价格（元/平方米）</v>
      </c>
      <c r="Q49" s="3752"/>
      <c r="R49" s="3754">
        <f>ROUND(PRODUCT(R48,AA9:AA47),0)</f>
        <v>1716</v>
      </c>
      <c r="S49" s="3754"/>
      <c r="T49" s="3754">
        <f>ROUND(PRODUCT(T48,AB9:AB47),0)</f>
        <v>1613</v>
      </c>
      <c r="U49" s="3754"/>
      <c r="V49" s="3754">
        <f>ROUND(PRODUCT(V48,AC9:AC47),0)</f>
        <v>1690</v>
      </c>
      <c r="W49" s="3754"/>
      <c r="X49" s="1560"/>
      <c r="Y49" s="1560"/>
      <c r="Z49" s="1560"/>
      <c r="AA49" s="1560"/>
      <c r="AB49" s="1560"/>
      <c r="AC49" s="1560"/>
    </row>
    <row r="50" spans="1:29" ht="21" thickBot="1">
      <c r="A50" s="621" t="s">
        <v>2935</v>
      </c>
      <c r="B50" s="622"/>
      <c r="C50" s="623">
        <f>R50</f>
        <v>1673</v>
      </c>
      <c r="D50" s="623"/>
      <c r="E50" s="623"/>
      <c r="F50" s="623"/>
      <c r="G50" s="623"/>
      <c r="H50" s="623"/>
      <c r="I50" s="623"/>
      <c r="J50" s="623"/>
      <c r="K50" s="1342"/>
      <c r="L50" s="2144"/>
      <c r="M50" s="2132"/>
      <c r="N50" s="2132"/>
      <c r="O50" s="2145"/>
      <c r="P50" s="3749" t="str">
        <f>A50</f>
        <v>估价对象XX用房的比较价格（楼面单价，元/平方米）</v>
      </c>
      <c r="Q50" s="3750"/>
      <c r="R50" s="3751">
        <f>ROUND(AVERAGE(R49:V49),0)</f>
        <v>1673</v>
      </c>
      <c r="S50" s="3751"/>
      <c r="T50" s="3751"/>
      <c r="U50" s="3751"/>
      <c r="V50" s="3751"/>
      <c r="W50" s="3751"/>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2.3892773892773889E-2</v>
      </c>
      <c r="F53" s="627" t="str">
        <f>IF(OR(E53&gt;=0.3,E53&lt;=-0.3),"超过30%","")</f>
        <v/>
      </c>
      <c r="G53" s="626">
        <f>IF(G48&lt;G49,G49/G48-1,G48/G49-1)</f>
        <v>2.4178549287042772E-2</v>
      </c>
      <c r="H53" s="627" t="str">
        <f>IF(OR(G53&gt;=0.3,G53&lt;=-0.3),"超过30%","")</f>
        <v/>
      </c>
      <c r="I53" s="626">
        <f>IF(I48&lt;I49,I49/I48-1,I48/I49-1)</f>
        <v>0.13431952662721902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6.3856168629882193E-2</v>
      </c>
      <c r="F54" s="627" t="str">
        <f>IF(OR(E54&gt;=0.2,E54&lt;=-0.2),"超过20%","")</f>
        <v/>
      </c>
      <c r="G54" s="626">
        <f>IF(G49&lt;I49,I49/G49-1,G49/I49-1)</f>
        <v>4.7737135771853678E-2</v>
      </c>
      <c r="H54" s="627" t="str">
        <f>IF(OR(G54&gt;=0.2,G54&lt;=-0.2),"超过20%","")</f>
        <v/>
      </c>
      <c r="I54" s="626">
        <f>IF(I49&lt;E49,E49/I49-1,I49/E49-1)</f>
        <v>1.538461538461533E-2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6.3559322033898358E-2</v>
      </c>
      <c r="F55" s="627" t="str">
        <f>IF(OR(E55&gt;=0.3,E55&lt;=-0.3),"超过30%","")</f>
        <v/>
      </c>
      <c r="G55" s="626">
        <f>IF(G48&lt;I48,I48/G48-1,G48/I48-1)</f>
        <v>0.16041162227602901</v>
      </c>
      <c r="H55" s="627" t="str">
        <f>IF(OR(G55&gt;=0.3,G55&lt;=-0.3),"超过30%","")</f>
        <v/>
      </c>
      <c r="I55" s="626">
        <f>IF(I48&lt;E48,E48/I48-1,I48/E48-1)</f>
        <v>9.1064314171883876E-2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78" t="s">
        <v>2282</v>
      </c>
      <c r="H57" s="3779"/>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1673</v>
      </c>
      <c r="C58" s="635">
        <v>1</v>
      </c>
      <c r="D58" s="2228">
        <v>1</v>
      </c>
      <c r="E58" s="635">
        <f>'数据-汇总表'!E8+'数据-汇总表'!E9</f>
        <v>72989.7</v>
      </c>
      <c r="F58" s="636">
        <f t="shared" ref="F58:F67" si="15">ROUND(B58*E58/10000,0)</f>
        <v>12211</v>
      </c>
      <c r="G58" s="3780"/>
      <c r="H58" s="3781"/>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82"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82"/>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82"/>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82"/>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72989.7</v>
      </c>
      <c r="F68" s="644">
        <f>IF(B48="楼面地价",SUM(F58:F67),ROUND(C50*E68/10000,0))</f>
        <v>12211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3363</v>
      </c>
      <c r="D77" s="3177"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20000(含)-50000</v>
      </c>
      <c r="E118" s="704" t="str">
        <f t="shared" si="25"/>
        <v>50000(含)-100000</v>
      </c>
      <c r="F118" s="704" t="str">
        <f t="shared" si="25"/>
        <v>100000(含)-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100000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70" t="s">
        <v>3353</v>
      </c>
      <c r="D121" s="3570" t="s">
        <v>3354</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3355</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71" t="s">
        <v>3355</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18978</v>
      </c>
      <c r="D13" s="451"/>
      <c r="E13" s="365"/>
      <c r="F13" s="452"/>
      <c r="G13" s="444"/>
      <c r="H13" s="447"/>
      <c r="I13" s="447"/>
      <c r="J13" s="447"/>
      <c r="K13" s="448"/>
    </row>
    <row r="14" spans="1:41" s="2116" customFormat="1" ht="13.5" customHeight="1">
      <c r="A14" s="1634" t="s">
        <v>1850</v>
      </c>
      <c r="B14" s="449" t="s">
        <v>480</v>
      </c>
      <c r="C14" s="53">
        <f ca="1">ROUND(C13*F14,0)</f>
        <v>569</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1025</v>
      </c>
      <c r="D15" s="451"/>
      <c r="E15" s="365"/>
      <c r="F15" s="453">
        <f>'数据-取费表'!B34</f>
        <v>0.06</v>
      </c>
      <c r="G15" s="444" t="s">
        <v>502</v>
      </c>
      <c r="H15" s="447"/>
      <c r="I15" s="447"/>
      <c r="J15" s="447"/>
      <c r="K15" s="448"/>
    </row>
    <row r="16" spans="1:41" s="2117" customFormat="1" ht="13.5" customHeight="1">
      <c r="A16" s="1634" t="s">
        <v>1852</v>
      </c>
      <c r="B16" s="449" t="s">
        <v>484</v>
      </c>
      <c r="C16" s="53">
        <f ca="1">ROUND(D16*E16/10000,0)</f>
        <v>1460</v>
      </c>
      <c r="D16" s="451">
        <f ca="1">IF(B1="",'数据-汇总表'!E3,INDIRECT("'数据-取费表'!K"&amp;$K$1)+INDIRECT("'数据-取费表'!S"&amp;$K$1))</f>
        <v>72989.7</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285</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22317</v>
      </c>
      <c r="D18" s="461"/>
      <c r="E18" s="462"/>
      <c r="F18" s="462"/>
      <c r="G18" s="1327" t="s">
        <v>2433</v>
      </c>
      <c r="H18" s="447"/>
      <c r="I18" s="447"/>
      <c r="J18" s="447"/>
      <c r="K18" s="448"/>
    </row>
    <row r="19" spans="1:14" s="2119" customFormat="1" ht="13.5" customHeight="1">
      <c r="A19" s="1635" t="s">
        <v>1855</v>
      </c>
      <c r="B19" s="459" t="s">
        <v>493</v>
      </c>
      <c r="C19" s="460">
        <f ca="1">ROUND(C18*F19,0)</f>
        <v>446</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1081</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1081</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4553</v>
      </c>
      <c r="D24" s="489">
        <f ca="1">C26</f>
        <v>4.0000000000000001E-3</v>
      </c>
      <c r="E24" s="469" t="s">
        <v>507</v>
      </c>
      <c r="F24" s="479">
        <f ca="1">IF(B1="",'数据-取费表'!Q16,INDIRECT("'数据-取费表'!q"&amp;$K$1))</f>
        <v>0.2</v>
      </c>
      <c r="G24" s="444"/>
      <c r="H24" s="447"/>
      <c r="I24" s="447"/>
      <c r="J24" s="447"/>
      <c r="K24" s="448"/>
    </row>
    <row r="25" spans="1:14" s="2120" customFormat="1" ht="13.5" customHeight="1">
      <c r="A25" s="1634" t="s">
        <v>1849</v>
      </c>
      <c r="B25" s="1328" t="s">
        <v>2437</v>
      </c>
      <c r="C25" s="490">
        <f ca="1">ROUND((C18+C19)*F24,0)</f>
        <v>4553</v>
      </c>
      <c r="D25" s="472"/>
      <c r="E25" s="473"/>
      <c r="F25" s="480"/>
      <c r="G25" s="1326" t="s">
        <v>2434</v>
      </c>
      <c r="H25" s="457"/>
      <c r="I25" s="457"/>
      <c r="J25" s="457"/>
      <c r="K25" s="458"/>
    </row>
    <row r="26" spans="1:14" s="2120" customFormat="1" ht="13.5" customHeight="1">
      <c r="A26" s="1634" t="s">
        <v>1850</v>
      </c>
      <c r="B26" s="1328" t="s">
        <v>509</v>
      </c>
      <c r="C26" s="491">
        <f ca="1">ROUND(F20*F24,4)</f>
        <v>4.0000000000000001E-3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30809</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84" t="str">
        <f>项目基本情况!B1</f>
        <v>江苏省镇江市扬中市油坊镇出让国有建设用地使用权抵押价格预评估</v>
      </c>
      <c r="C37" s="3584"/>
      <c r="D37" s="3584"/>
      <c r="E37" s="3584"/>
      <c r="F37" s="3584"/>
      <c r="G37" s="3584"/>
      <c r="H37" s="3584"/>
      <c r="I37" s="3584"/>
    </row>
    <row r="38" spans="1:9">
      <c r="A38" s="1657"/>
      <c r="B38" s="1657"/>
    </row>
    <row r="39" spans="1:9">
      <c r="A39" s="1655" t="s">
        <v>1902</v>
      </c>
      <c r="B39" s="1655" t="s">
        <v>2047</v>
      </c>
    </row>
    <row r="40" spans="1:9">
      <c r="A40" s="1655"/>
      <c r="B40" s="1655" t="str">
        <f>项目基本情况!B5</f>
        <v>扬中绿洲新城实业集团有限公司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赵雯、崔锴</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58" t="s">
        <v>522</v>
      </c>
      <c r="D6" s="3759"/>
      <c r="E6" s="3792" t="s">
        <v>523</v>
      </c>
      <c r="F6" s="3793"/>
      <c r="G6" s="3758" t="s">
        <v>524</v>
      </c>
      <c r="H6" s="3759"/>
      <c r="I6" s="3758" t="s">
        <v>525</v>
      </c>
      <c r="J6" s="3759"/>
      <c r="K6" s="514" t="s">
        <v>526</v>
      </c>
      <c r="L6" s="2133"/>
      <c r="M6" s="2134"/>
      <c r="N6" s="2134"/>
      <c r="O6" s="2134"/>
      <c r="P6" s="3760" t="s">
        <v>527</v>
      </c>
      <c r="Q6" s="3761"/>
      <c r="R6" s="3766" t="s">
        <v>523</v>
      </c>
      <c r="S6" s="3767"/>
      <c r="T6" s="3766" t="s">
        <v>524</v>
      </c>
      <c r="U6" s="3767"/>
      <c r="V6" s="3753" t="s">
        <v>525</v>
      </c>
      <c r="W6" s="3753"/>
      <c r="X6" s="1568"/>
      <c r="Y6" s="3766" t="s">
        <v>527</v>
      </c>
      <c r="Z6" s="3767"/>
      <c r="AA6" s="3755" t="s">
        <v>523</v>
      </c>
      <c r="AB6" s="3756" t="s">
        <v>524</v>
      </c>
      <c r="AC6" s="3755" t="s">
        <v>525</v>
      </c>
    </row>
    <row r="7" spans="1:29" ht="15">
      <c r="A7" s="515"/>
      <c r="B7" s="516"/>
      <c r="C7" s="3774" t="s">
        <v>2929</v>
      </c>
      <c r="D7" s="3775"/>
      <c r="E7" s="3794" t="s">
        <v>2930</v>
      </c>
      <c r="F7" s="3795"/>
      <c r="G7" s="3774" t="s">
        <v>2931</v>
      </c>
      <c r="H7" s="3775"/>
      <c r="I7" s="3774" t="s">
        <v>2932</v>
      </c>
      <c r="J7" s="3775"/>
      <c r="K7" s="514"/>
      <c r="L7" s="2133"/>
      <c r="M7" s="2134"/>
      <c r="N7" s="2134"/>
      <c r="O7" s="2134"/>
      <c r="P7" s="3762"/>
      <c r="Q7" s="3763"/>
      <c r="R7" s="3768"/>
      <c r="S7" s="3769"/>
      <c r="T7" s="3768"/>
      <c r="U7" s="3769"/>
      <c r="V7" s="3753"/>
      <c r="W7" s="3753"/>
      <c r="X7" s="1568"/>
      <c r="Y7" s="3768"/>
      <c r="Z7" s="3769"/>
      <c r="AA7" s="3756"/>
      <c r="AB7" s="3756"/>
      <c r="AC7" s="3756"/>
    </row>
    <row r="8" spans="1:29" ht="15.75" thickBot="1">
      <c r="A8" s="517"/>
      <c r="B8" s="518"/>
      <c r="C8" s="3772" t="s">
        <v>2933</v>
      </c>
      <c r="D8" s="3773"/>
      <c r="E8" s="3790" t="s">
        <v>2933</v>
      </c>
      <c r="F8" s="3791"/>
      <c r="G8" s="3772" t="s">
        <v>2933</v>
      </c>
      <c r="H8" s="3773"/>
      <c r="I8" s="3772" t="s">
        <v>2933</v>
      </c>
      <c r="J8" s="3773"/>
      <c r="K8" s="514" t="s">
        <v>528</v>
      </c>
      <c r="L8" s="2133"/>
      <c r="M8" s="2134"/>
      <c r="N8" s="2134"/>
      <c r="O8" s="2134"/>
      <c r="P8" s="3764"/>
      <c r="Q8" s="3765"/>
      <c r="R8" s="3768"/>
      <c r="S8" s="3769"/>
      <c r="T8" s="3770"/>
      <c r="U8" s="3771"/>
      <c r="V8" s="3753"/>
      <c r="W8" s="3753"/>
      <c r="X8" s="1568"/>
      <c r="Y8" s="3770"/>
      <c r="Z8" s="3771"/>
      <c r="AA8" s="3757"/>
      <c r="AB8" s="3757"/>
      <c r="AC8" s="3757"/>
    </row>
    <row r="9" spans="1:29" s="1220" customFormat="1" ht="15.75" thickBot="1">
      <c r="A9" s="2890"/>
      <c r="B9" s="2897" t="s">
        <v>529</v>
      </c>
      <c r="C9" s="519">
        <f>'数据-取费表'!B2</f>
        <v>43648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83" t="s">
        <v>530</v>
      </c>
      <c r="Q9" s="3785"/>
      <c r="R9" s="1569" t="s">
        <v>8</v>
      </c>
      <c r="S9" s="1570">
        <f t="shared" ref="S9:S17" si="0">F9</f>
        <v>0</v>
      </c>
      <c r="T9" s="1569" t="s">
        <v>8</v>
      </c>
      <c r="U9" s="1570">
        <f t="shared" ref="U9:U17" si="1">H9</f>
        <v>0</v>
      </c>
      <c r="V9" s="1569" t="s">
        <v>8</v>
      </c>
      <c r="W9" s="1570">
        <f t="shared" ref="W9:W17" si="2">J9</f>
        <v>0</v>
      </c>
      <c r="X9" s="1571"/>
      <c r="Y9" s="3783" t="s">
        <v>530</v>
      </c>
      <c r="Z9" s="3784"/>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83" t="s">
        <v>533</v>
      </c>
      <c r="Q10" s="3784"/>
      <c r="R10" s="1569" t="s">
        <v>8</v>
      </c>
      <c r="S10" s="1570">
        <f t="shared" si="0"/>
        <v>0</v>
      </c>
      <c r="T10" s="1569" t="s">
        <v>8</v>
      </c>
      <c r="U10" s="1570">
        <f t="shared" si="1"/>
        <v>0</v>
      </c>
      <c r="V10" s="1569" t="s">
        <v>8</v>
      </c>
      <c r="W10" s="1570">
        <f t="shared" si="2"/>
        <v>0</v>
      </c>
      <c r="X10" s="1571"/>
      <c r="Y10" s="3783" t="s">
        <v>533</v>
      </c>
      <c r="Z10" s="3784"/>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52" t="s">
        <v>535</v>
      </c>
      <c r="Q11" s="1151" t="str">
        <f t="shared" ref="Q11:Q17" si="6">B11</f>
        <v>用途</v>
      </c>
      <c r="R11" s="1569" t="s">
        <v>8</v>
      </c>
      <c r="S11" s="1570">
        <f t="shared" si="0"/>
        <v>100</v>
      </c>
      <c r="T11" s="1569" t="s">
        <v>8</v>
      </c>
      <c r="U11" s="1570">
        <f t="shared" si="1"/>
        <v>100</v>
      </c>
      <c r="V11" s="1569" t="s">
        <v>8</v>
      </c>
      <c r="W11" s="1570">
        <f t="shared" si="2"/>
        <v>100</v>
      </c>
      <c r="X11" s="1571"/>
      <c r="Y11" s="3698"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752"/>
      <c r="Q12" s="1151" t="str">
        <f t="shared" si="6"/>
        <v>土地使用年限（年）</v>
      </c>
      <c r="R12" s="1569" t="s">
        <v>8</v>
      </c>
      <c r="S12" s="1570">
        <f t="shared" si="0"/>
        <v>102</v>
      </c>
      <c r="T12" s="1569" t="s">
        <v>8</v>
      </c>
      <c r="U12" s="1570">
        <f t="shared" si="1"/>
        <v>102</v>
      </c>
      <c r="V12" s="1569" t="s">
        <v>8</v>
      </c>
      <c r="W12" s="1570">
        <f t="shared" si="2"/>
        <v>102</v>
      </c>
      <c r="X12" s="1571"/>
      <c r="Y12" s="3698"/>
      <c r="Z12" s="1150" t="str">
        <f t="shared" si="7"/>
        <v>土地使用年限（年）</v>
      </c>
      <c r="AA12" s="1572">
        <f t="shared" si="3"/>
        <v>0.98039215686274506</v>
      </c>
      <c r="AB12" s="1572">
        <f t="shared" si="4"/>
        <v>0.98039215686274506</v>
      </c>
      <c r="AC12" s="1572">
        <f t="shared" si="5"/>
        <v>0.98039215686274506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52"/>
      <c r="Q13" s="1151" t="str">
        <f t="shared" si="6"/>
        <v>容积率</v>
      </c>
      <c r="R13" s="1569" t="s">
        <v>8</v>
      </c>
      <c r="S13" s="1570" t="e">
        <f t="shared" si="0"/>
        <v>#N/A</v>
      </c>
      <c r="T13" s="1569" t="s">
        <v>8</v>
      </c>
      <c r="U13" s="1570" t="e">
        <f t="shared" si="1"/>
        <v>#N/A</v>
      </c>
      <c r="V13" s="1569" t="s">
        <v>8</v>
      </c>
      <c r="W13" s="1570" t="e">
        <f t="shared" si="2"/>
        <v>#N/A</v>
      </c>
      <c r="X13" s="1571"/>
      <c r="Y13" s="3698"/>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52"/>
      <c r="Q14" s="1151">
        <f t="shared" si="6"/>
        <v>111</v>
      </c>
      <c r="R14" s="1569" t="s">
        <v>8</v>
      </c>
      <c r="S14" s="1570">
        <f t="shared" si="0"/>
        <v>100</v>
      </c>
      <c r="T14" s="1569" t="s">
        <v>8</v>
      </c>
      <c r="U14" s="1570">
        <f t="shared" si="1"/>
        <v>100</v>
      </c>
      <c r="V14" s="1569" t="s">
        <v>8</v>
      </c>
      <c r="W14" s="1570">
        <f t="shared" si="2"/>
        <v>100</v>
      </c>
      <c r="X14" s="1571"/>
      <c r="Y14" s="3698"/>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52"/>
      <c r="Q15" s="1151">
        <f t="shared" si="6"/>
        <v>111</v>
      </c>
      <c r="R15" s="1569" t="s">
        <v>8</v>
      </c>
      <c r="S15" s="1570">
        <f t="shared" si="0"/>
        <v>100</v>
      </c>
      <c r="T15" s="1569" t="s">
        <v>8</v>
      </c>
      <c r="U15" s="1570">
        <f t="shared" si="1"/>
        <v>100</v>
      </c>
      <c r="V15" s="1569" t="s">
        <v>8</v>
      </c>
      <c r="W15" s="1570">
        <f t="shared" si="2"/>
        <v>100</v>
      </c>
      <c r="X15" s="1571"/>
      <c r="Y15" s="3698"/>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52"/>
      <c r="Q16" s="1151">
        <f t="shared" si="6"/>
        <v>111</v>
      </c>
      <c r="R16" s="1569" t="s">
        <v>8</v>
      </c>
      <c r="S16" s="1570">
        <f t="shared" si="0"/>
        <v>100</v>
      </c>
      <c r="T16" s="1569" t="s">
        <v>8</v>
      </c>
      <c r="U16" s="1570">
        <f t="shared" si="1"/>
        <v>100</v>
      </c>
      <c r="V16" s="1569" t="s">
        <v>8</v>
      </c>
      <c r="W16" s="1570">
        <f t="shared" si="2"/>
        <v>100</v>
      </c>
      <c r="X16" s="1571"/>
      <c r="Y16" s="3698"/>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86" t="s">
        <v>540</v>
      </c>
      <c r="Q17" s="1573" t="str">
        <f t="shared" si="6"/>
        <v>产业集聚程度</v>
      </c>
      <c r="R17" s="1574" t="s">
        <v>8</v>
      </c>
      <c r="S17" s="1575">
        <f t="shared" si="0"/>
        <v>100</v>
      </c>
      <c r="T17" s="1574" t="s">
        <v>8</v>
      </c>
      <c r="U17" s="1575">
        <f t="shared" si="1"/>
        <v>100</v>
      </c>
      <c r="V17" s="1574" t="s">
        <v>8</v>
      </c>
      <c r="W17" s="1575">
        <f t="shared" si="2"/>
        <v>100</v>
      </c>
      <c r="X17" s="1568"/>
      <c r="Y17" s="378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87"/>
      <c r="Q18" s="1573"/>
      <c r="R18" s="1574"/>
      <c r="S18" s="1575"/>
      <c r="T18" s="1574"/>
      <c r="U18" s="1575"/>
      <c r="V18" s="1574"/>
      <c r="W18" s="1575"/>
      <c r="X18" s="1568"/>
      <c r="Y18" s="378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87"/>
      <c r="Q19" s="1573" t="str">
        <f>B19</f>
        <v>交通便捷度</v>
      </c>
      <c r="R19" s="1574" t="s">
        <v>8</v>
      </c>
      <c r="S19" s="1575">
        <f>F19</f>
        <v>100</v>
      </c>
      <c r="T19" s="1574" t="s">
        <v>8</v>
      </c>
      <c r="U19" s="1575">
        <f>H19</f>
        <v>100</v>
      </c>
      <c r="V19" s="1574" t="s">
        <v>8</v>
      </c>
      <c r="W19" s="1575">
        <f>J19</f>
        <v>100</v>
      </c>
      <c r="X19" s="1568"/>
      <c r="Y19" s="378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87"/>
      <c r="Q20" s="1573"/>
      <c r="R20" s="1574"/>
      <c r="S20" s="1575"/>
      <c r="T20" s="1574"/>
      <c r="U20" s="1575"/>
      <c r="V20" s="1574"/>
      <c r="W20" s="1575"/>
      <c r="X20" s="1568"/>
      <c r="Y20" s="378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87"/>
      <c r="Q21" s="1573" t="str">
        <f t="shared" ref="Q21:Q35" si="8">B21</f>
        <v>区域土地利用方向</v>
      </c>
      <c r="R21" s="1574" t="s">
        <v>8</v>
      </c>
      <c r="S21" s="1575">
        <f>F21</f>
        <v>100</v>
      </c>
      <c r="T21" s="1574" t="s">
        <v>8</v>
      </c>
      <c r="U21" s="1575">
        <f>H21</f>
        <v>100</v>
      </c>
      <c r="V21" s="1574" t="s">
        <v>8</v>
      </c>
      <c r="W21" s="1575">
        <f>J21</f>
        <v>100</v>
      </c>
      <c r="X21" s="1568"/>
      <c r="Y21" s="378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87"/>
      <c r="Q22" s="1573"/>
      <c r="R22" s="1574"/>
      <c r="S22" s="1575"/>
      <c r="T22" s="1574"/>
      <c r="U22" s="1575"/>
      <c r="V22" s="1574"/>
      <c r="W22" s="1575"/>
      <c r="X22" s="1568"/>
      <c r="Y22" s="378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87"/>
      <c r="Q23" s="1573" t="str">
        <f t="shared" si="8"/>
        <v>环境状况</v>
      </c>
      <c r="R23" s="1574" t="s">
        <v>8</v>
      </c>
      <c r="S23" s="1575">
        <f>F23</f>
        <v>100</v>
      </c>
      <c r="T23" s="1574" t="s">
        <v>8</v>
      </c>
      <c r="U23" s="1575">
        <f>H23</f>
        <v>100</v>
      </c>
      <c r="V23" s="1574" t="s">
        <v>8</v>
      </c>
      <c r="W23" s="1575">
        <f>J23</f>
        <v>100</v>
      </c>
      <c r="X23" s="1568"/>
      <c r="Y23" s="378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87"/>
      <c r="Q24" s="1573"/>
      <c r="R24" s="1574"/>
      <c r="S24" s="1575"/>
      <c r="T24" s="1574"/>
      <c r="U24" s="1575"/>
      <c r="V24" s="1574"/>
      <c r="W24" s="1575"/>
      <c r="X24" s="1568"/>
      <c r="Y24" s="3787"/>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87"/>
      <c r="Q25" s="1151" t="str">
        <f t="shared" si="8"/>
        <v>公共配套设施</v>
      </c>
      <c r="R25" s="1569" t="s">
        <v>8</v>
      </c>
      <c r="S25" s="1570">
        <f>F25</f>
        <v>100</v>
      </c>
      <c r="T25" s="1569" t="s">
        <v>8</v>
      </c>
      <c r="U25" s="1570">
        <f>H25</f>
        <v>100</v>
      </c>
      <c r="V25" s="1569" t="s">
        <v>8</v>
      </c>
      <c r="W25" s="1570">
        <f>J25</f>
        <v>100</v>
      </c>
      <c r="X25" s="1571"/>
      <c r="Y25" s="3787"/>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87"/>
      <c r="Q26" s="1151"/>
      <c r="R26" s="1569"/>
      <c r="S26" s="1570"/>
      <c r="T26" s="1569"/>
      <c r="U26" s="1570"/>
      <c r="V26" s="1569"/>
      <c r="W26" s="1570"/>
      <c r="X26" s="1571"/>
      <c r="Y26" s="3787"/>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87"/>
      <c r="Q27" s="2557" t="str">
        <f t="shared" ref="Q27" si="9">B27</f>
        <v>基础设施水平</v>
      </c>
      <c r="R27" s="1569" t="s">
        <v>8</v>
      </c>
      <c r="S27" s="1570">
        <f>F27</f>
        <v>100</v>
      </c>
      <c r="T27" s="1569" t="s">
        <v>8</v>
      </c>
      <c r="U27" s="1570">
        <f>H27</f>
        <v>100</v>
      </c>
      <c r="V27" s="1569" t="s">
        <v>8</v>
      </c>
      <c r="W27" s="1570">
        <f>J27</f>
        <v>100</v>
      </c>
      <c r="X27" s="1571"/>
      <c r="Y27" s="3787"/>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87"/>
      <c r="Q28" s="2557"/>
      <c r="R28" s="1569"/>
      <c r="S28" s="1570"/>
      <c r="T28" s="1569"/>
      <c r="U28" s="1570"/>
      <c r="V28" s="1569"/>
      <c r="W28" s="1570"/>
      <c r="X28" s="1571"/>
      <c r="Y28" s="3787"/>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8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87"/>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87"/>
      <c r="Q30" s="1573" t="str">
        <f t="shared" si="8"/>
        <v>毗邻道路的类型与等级</v>
      </c>
      <c r="R30" s="1574" t="s">
        <v>8</v>
      </c>
      <c r="S30" s="1575">
        <f t="shared" si="10"/>
        <v>100</v>
      </c>
      <c r="T30" s="1574" t="s">
        <v>8</v>
      </c>
      <c r="U30" s="1575">
        <f t="shared" si="11"/>
        <v>100</v>
      </c>
      <c r="V30" s="1574" t="s">
        <v>8</v>
      </c>
      <c r="W30" s="1575">
        <f t="shared" si="12"/>
        <v>100</v>
      </c>
      <c r="X30" s="1568"/>
      <c r="Y30" s="378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87"/>
      <c r="Q31" s="1573"/>
      <c r="R31" s="1574"/>
      <c r="S31" s="1575"/>
      <c r="T31" s="1574"/>
      <c r="U31" s="1575"/>
      <c r="V31" s="1574"/>
      <c r="W31" s="1575"/>
      <c r="X31" s="1568"/>
      <c r="Y31" s="3787"/>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87"/>
      <c r="Q32" s="1573" t="str">
        <f t="shared" si="8"/>
        <v>土地级别</v>
      </c>
      <c r="R32" s="1574" t="s">
        <v>8</v>
      </c>
      <c r="S32" s="1575">
        <f t="shared" si="10"/>
        <v>100</v>
      </c>
      <c r="T32" s="1574" t="s">
        <v>8</v>
      </c>
      <c r="U32" s="1575">
        <f t="shared" si="11"/>
        <v>100</v>
      </c>
      <c r="V32" s="1574" t="s">
        <v>8</v>
      </c>
      <c r="W32" s="1575">
        <f t="shared" si="12"/>
        <v>100</v>
      </c>
      <c r="X32" s="1568"/>
      <c r="Y32" s="378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87"/>
      <c r="Q33" s="1573">
        <f t="shared" si="8"/>
        <v>111</v>
      </c>
      <c r="R33" s="1574" t="s">
        <v>8</v>
      </c>
      <c r="S33" s="1575">
        <f t="shared" si="10"/>
        <v>100</v>
      </c>
      <c r="T33" s="1574" t="s">
        <v>8</v>
      </c>
      <c r="U33" s="1575">
        <f t="shared" si="11"/>
        <v>100</v>
      </c>
      <c r="V33" s="1574" t="s">
        <v>8</v>
      </c>
      <c r="W33" s="1575">
        <f t="shared" si="12"/>
        <v>100</v>
      </c>
      <c r="X33" s="1568"/>
      <c r="Y33" s="378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88" t="s">
        <v>550</v>
      </c>
      <c r="Q34" s="1573">
        <f t="shared" si="8"/>
        <v>111</v>
      </c>
      <c r="R34" s="1574" t="s">
        <v>8</v>
      </c>
      <c r="S34" s="1575">
        <f t="shared" si="10"/>
        <v>100</v>
      </c>
      <c r="T34" s="1574" t="s">
        <v>8</v>
      </c>
      <c r="U34" s="1575">
        <f t="shared" si="11"/>
        <v>100</v>
      </c>
      <c r="V34" s="1574" t="s">
        <v>8</v>
      </c>
      <c r="W34" s="1575">
        <f t="shared" si="12"/>
        <v>100</v>
      </c>
      <c r="X34" s="1568"/>
      <c r="Y34" s="3789"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89"/>
      <c r="Q35" s="1573">
        <f t="shared" si="8"/>
        <v>111</v>
      </c>
      <c r="R35" s="1578" t="s">
        <v>8</v>
      </c>
      <c r="S35" s="1579">
        <f t="shared" si="10"/>
        <v>100</v>
      </c>
      <c r="T35" s="1578" t="s">
        <v>8</v>
      </c>
      <c r="U35" s="1579">
        <f t="shared" si="11"/>
        <v>100</v>
      </c>
      <c r="V35" s="1578" t="s">
        <v>8</v>
      </c>
      <c r="W35" s="1579">
        <f t="shared" si="12"/>
        <v>100</v>
      </c>
      <c r="X35" s="1580"/>
      <c r="Y35" s="3789"/>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89"/>
      <c r="Q36" s="1573" t="str">
        <f>B36</f>
        <v>宗地面积</v>
      </c>
      <c r="R36" s="1574" t="s">
        <v>8</v>
      </c>
      <c r="S36" s="1575" t="e">
        <f t="shared" si="10"/>
        <v>#N/A</v>
      </c>
      <c r="T36" s="1574" t="s">
        <v>8</v>
      </c>
      <c r="U36" s="1575" t="e">
        <f t="shared" si="11"/>
        <v>#N/A</v>
      </c>
      <c r="V36" s="1574" t="s">
        <v>8</v>
      </c>
      <c r="W36" s="1575" t="e">
        <f t="shared" si="12"/>
        <v>#N/A</v>
      </c>
      <c r="X36" s="1568"/>
      <c r="Y36" s="378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89"/>
      <c r="Q37" s="1573" t="str">
        <f t="shared" ref="Q37:Q42" si="14">B37</f>
        <v>宗地形状</v>
      </c>
      <c r="R37" s="1574" t="s">
        <v>8</v>
      </c>
      <c r="S37" s="1575">
        <f t="shared" si="10"/>
        <v>100</v>
      </c>
      <c r="T37" s="1574" t="s">
        <v>8</v>
      </c>
      <c r="U37" s="1575">
        <f t="shared" si="11"/>
        <v>100</v>
      </c>
      <c r="V37" s="1574" t="s">
        <v>8</v>
      </c>
      <c r="W37" s="1575">
        <f t="shared" si="12"/>
        <v>100</v>
      </c>
      <c r="X37" s="1568"/>
      <c r="Y37" s="3789"/>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89"/>
      <c r="Q38" s="1573" t="str">
        <f t="shared" si="14"/>
        <v>宗地开发程度</v>
      </c>
      <c r="R38" s="1569" t="s">
        <v>8</v>
      </c>
      <c r="S38" s="1570">
        <f t="shared" si="10"/>
        <v>100</v>
      </c>
      <c r="T38" s="1569" t="s">
        <v>8</v>
      </c>
      <c r="U38" s="1570">
        <f t="shared" si="11"/>
        <v>100</v>
      </c>
      <c r="V38" s="1569" t="s">
        <v>8</v>
      </c>
      <c r="W38" s="1570">
        <f t="shared" si="12"/>
        <v>100</v>
      </c>
      <c r="X38" s="1571"/>
      <c r="Y38" s="378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89" t="s">
        <v>601</v>
      </c>
      <c r="Q39" s="1573" t="str">
        <f t="shared" si="14"/>
        <v>工程地质条件</v>
      </c>
      <c r="R39" s="1574" t="s">
        <v>8</v>
      </c>
      <c r="S39" s="1575">
        <f t="shared" si="10"/>
        <v>100</v>
      </c>
      <c r="T39" s="1574" t="s">
        <v>8</v>
      </c>
      <c r="U39" s="1575">
        <f t="shared" si="11"/>
        <v>100</v>
      </c>
      <c r="V39" s="1574" t="s">
        <v>8</v>
      </c>
      <c r="W39" s="1575">
        <f t="shared" si="12"/>
        <v>100</v>
      </c>
      <c r="X39" s="1568"/>
      <c r="Y39" s="378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89"/>
      <c r="Q40" s="1573">
        <f t="shared" si="14"/>
        <v>111</v>
      </c>
      <c r="R40" s="1574" t="s">
        <v>8</v>
      </c>
      <c r="S40" s="1575">
        <f t="shared" si="10"/>
        <v>100</v>
      </c>
      <c r="T40" s="1574" t="s">
        <v>8</v>
      </c>
      <c r="U40" s="1575">
        <f t="shared" si="11"/>
        <v>100</v>
      </c>
      <c r="V40" s="1574" t="s">
        <v>8</v>
      </c>
      <c r="W40" s="1575">
        <f t="shared" si="12"/>
        <v>100</v>
      </c>
      <c r="X40" s="1568"/>
      <c r="Y40" s="378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89"/>
      <c r="Q41" s="1573">
        <f t="shared" si="14"/>
        <v>111</v>
      </c>
      <c r="R41" s="1574" t="s">
        <v>8</v>
      </c>
      <c r="S41" s="1575">
        <f t="shared" si="10"/>
        <v>100</v>
      </c>
      <c r="T41" s="1574" t="s">
        <v>8</v>
      </c>
      <c r="U41" s="1575">
        <f t="shared" si="11"/>
        <v>100</v>
      </c>
      <c r="V41" s="1574" t="s">
        <v>8</v>
      </c>
      <c r="W41" s="1575">
        <f t="shared" si="12"/>
        <v>100</v>
      </c>
      <c r="X41" s="1568"/>
      <c r="Y41" s="378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89"/>
      <c r="Q42" s="1573">
        <f t="shared" si="14"/>
        <v>111</v>
      </c>
      <c r="R42" s="1578" t="s">
        <v>8</v>
      </c>
      <c r="S42" s="1579">
        <f t="shared" si="10"/>
        <v>100</v>
      </c>
      <c r="T42" s="1578" t="s">
        <v>8</v>
      </c>
      <c r="U42" s="1579">
        <f t="shared" si="11"/>
        <v>100</v>
      </c>
      <c r="V42" s="1578" t="s">
        <v>8</v>
      </c>
      <c r="W42" s="1579">
        <f t="shared" si="12"/>
        <v>100</v>
      </c>
      <c r="X42" s="1580"/>
      <c r="Y42" s="3789"/>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52" t="str">
        <f>A43</f>
        <v>成交单价</v>
      </c>
      <c r="Q43" s="3752"/>
      <c r="R43" s="3753">
        <f>E43</f>
        <v>0</v>
      </c>
      <c r="S43" s="3753"/>
      <c r="T43" s="3753">
        <f>G43</f>
        <v>0</v>
      </c>
      <c r="U43" s="3753"/>
      <c r="V43" s="3753">
        <f>I43</f>
        <v>0</v>
      </c>
      <c r="W43" s="375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52" t="str">
        <f>A44</f>
        <v>比较价格（元/平方米）</v>
      </c>
      <c r="Q44" s="3752"/>
      <c r="R44" s="3754" t="e">
        <f>ROUND(PRODUCT(R43,AA9:AA42),0)</f>
        <v>#DIV/0!</v>
      </c>
      <c r="S44" s="3754"/>
      <c r="T44" s="3754" t="e">
        <f>ROUND(PRODUCT(T43,AB9:AB42),0)</f>
        <v>#DIV/0!</v>
      </c>
      <c r="U44" s="3754"/>
      <c r="V44" s="3754" t="e">
        <f>ROUND(PRODUCT(V43,AC9:AC42),0)</f>
        <v>#DIV/0!</v>
      </c>
      <c r="W44" s="3754"/>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749" t="str">
        <f>A45</f>
        <v>估价对象XX用房的比较价格（楼面单价，元/平方米）</v>
      </c>
      <c r="Q45" s="3750"/>
      <c r="R45" s="3751" t="e">
        <f>ROUND(AVERAGE(R44:V44),0)</f>
        <v>#DIV/0!</v>
      </c>
      <c r="S45" s="3751"/>
      <c r="T45" s="3751"/>
      <c r="U45" s="3751"/>
      <c r="V45" s="3751"/>
      <c r="W45" s="3751"/>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796" t="s">
        <v>2285</v>
      </c>
      <c r="H52" s="3797"/>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72989.7</v>
      </c>
      <c r="F53" s="1950" t="e">
        <f t="shared" ref="F53:F62" si="15">ROUND(B53*E53/10000,0)</f>
        <v>#DIV/0!</v>
      </c>
      <c r="G53" s="3798"/>
      <c r="H53" s="3799"/>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800"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800"/>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800"/>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800"/>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20854.2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810"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811"/>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802" t="s">
        <v>2784</v>
      </c>
      <c r="X8" s="3803"/>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811"/>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801"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811"/>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801"/>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811"/>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801"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810"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801"/>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812"/>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801"/>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812"/>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81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81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81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43648</v>
      </c>
      <c r="H19" s="1476" t="s">
        <v>2937</v>
      </c>
      <c r="I19" s="2762" t="str">
        <f>IF(H19="季度增幅（自定义）",SUMIF(N21:N24,E2,O21:O24),"")</f>
        <v/>
      </c>
      <c r="J19" s="1472"/>
      <c r="K19" s="1482"/>
      <c r="L19" s="3015" t="s">
        <v>2842</v>
      </c>
      <c r="M19" s="3016">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816"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817"/>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817"/>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18"/>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4" t="s">
        <v>2990</v>
      </c>
      <c r="C41" s="839" t="e">
        <f>ROUND(POWER(1+E41,H41-G41)*(POWER(1+E41,G41)-1)/(POWER(1+E41,H41)-1),4)</f>
        <v>#DIV/0!</v>
      </c>
      <c r="D41" s="378" t="s">
        <v>2988</v>
      </c>
      <c r="E41" s="3173">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3"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2"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3"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2"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2"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2"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14" t="s">
        <v>1634</v>
      </c>
      <c r="B90" s="3814"/>
      <c r="C90" s="3814"/>
      <c r="D90" s="3814"/>
      <c r="E90" s="3814"/>
      <c r="F90" s="3814"/>
      <c r="G90" s="3814"/>
      <c r="H90" s="3814"/>
      <c r="I90" s="3814"/>
      <c r="J90" s="3814"/>
      <c r="K90" s="2429"/>
      <c r="L90" s="2429"/>
      <c r="M90" s="2429"/>
      <c r="N90" s="2429"/>
    </row>
    <row r="91" spans="1:40">
      <c r="A91" s="3815" t="s">
        <v>1444</v>
      </c>
      <c r="B91" s="3815" t="s">
        <v>1635</v>
      </c>
      <c r="C91" s="1140" t="s">
        <v>1636</v>
      </c>
      <c r="D91" s="1141"/>
      <c r="E91" s="1141"/>
      <c r="F91" s="1141"/>
      <c r="G91" s="1141"/>
      <c r="H91" s="1141"/>
      <c r="I91" s="1141"/>
      <c r="J91" s="1142"/>
      <c r="K91" s="1134"/>
      <c r="L91" s="1134"/>
      <c r="M91" s="1134"/>
      <c r="N91" s="1134"/>
    </row>
    <row r="92" spans="1:40">
      <c r="A92" s="3815"/>
      <c r="B92" s="3815"/>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04"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0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0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0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0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0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0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0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04"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05"/>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05"/>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05"/>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05"/>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05"/>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05"/>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05"/>
      <c r="B108" s="380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06"/>
      <c r="B109" s="3808"/>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809" t="s">
        <v>1640</v>
      </c>
      <c r="B110" s="3809"/>
      <c r="C110" s="3809"/>
      <c r="D110" s="3809"/>
      <c r="E110" s="3809"/>
      <c r="F110" s="3809"/>
      <c r="G110" s="3809"/>
      <c r="H110" s="3809"/>
      <c r="I110" s="3809"/>
      <c r="J110" s="3809"/>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15" t="s">
        <v>1008</v>
      </c>
      <c r="B18" s="1154" t="s">
        <v>1447</v>
      </c>
      <c r="C18" s="1131" t="s">
        <v>1448</v>
      </c>
      <c r="D18" s="1132"/>
      <c r="E18" s="1154">
        <v>1</v>
      </c>
      <c r="F18" s="1133" t="s">
        <v>1449</v>
      </c>
      <c r="G18" s="1134"/>
      <c r="H18" s="1105"/>
      <c r="I18" s="1105"/>
    </row>
    <row r="19" spans="1:9" s="1600" customFormat="1" ht="19.5" customHeight="1">
      <c r="A19" s="3815"/>
      <c r="B19" s="3815" t="s">
        <v>1450</v>
      </c>
      <c r="C19" s="1131" t="s">
        <v>1451</v>
      </c>
      <c r="D19" s="1132"/>
      <c r="E19" s="1154">
        <v>0.9</v>
      </c>
      <c r="F19" s="1133" t="s">
        <v>1452</v>
      </c>
      <c r="G19" s="1134"/>
      <c r="H19" s="1105"/>
      <c r="I19" s="1105"/>
    </row>
    <row r="20" spans="1:9" s="1600" customFormat="1" ht="19.5" customHeight="1">
      <c r="A20" s="3815"/>
      <c r="B20" s="3815"/>
      <c r="C20" s="1131" t="s">
        <v>1453</v>
      </c>
      <c r="D20" s="1132"/>
      <c r="E20" s="1154">
        <v>1.1000000000000001</v>
      </c>
      <c r="F20" s="1133" t="s">
        <v>1454</v>
      </c>
      <c r="G20" s="1134"/>
      <c r="H20" s="1105"/>
      <c r="I20" s="1105"/>
    </row>
    <row r="21" spans="1:9" s="1600" customFormat="1" ht="19.5" customHeight="1">
      <c r="A21" s="3815"/>
      <c r="B21" s="3815"/>
      <c r="C21" s="1131" t="s">
        <v>1455</v>
      </c>
      <c r="D21" s="1132"/>
      <c r="E21" s="1154">
        <v>0.8</v>
      </c>
      <c r="F21" s="1133" t="s">
        <v>1456</v>
      </c>
      <c r="G21" s="1134"/>
      <c r="H21" s="1105"/>
      <c r="I21" s="1105"/>
    </row>
    <row r="22" spans="1:9" s="1600" customFormat="1" ht="19.5" customHeight="1">
      <c r="A22" s="3815"/>
      <c r="B22" s="3815"/>
      <c r="C22" s="1131" t="s">
        <v>1457</v>
      </c>
      <c r="D22" s="1132"/>
      <c r="E22" s="1154">
        <v>0.5</v>
      </c>
      <c r="F22" s="1133"/>
      <c r="G22" s="1134"/>
      <c r="H22" s="1105"/>
      <c r="I22" s="1105"/>
    </row>
    <row r="23" spans="1:9" s="1600" customFormat="1" ht="19.5" customHeight="1">
      <c r="A23" s="3815" t="s">
        <v>1030</v>
      </c>
      <c r="B23" s="1154" t="s">
        <v>1447</v>
      </c>
      <c r="C23" s="1131" t="s">
        <v>1458</v>
      </c>
      <c r="D23" s="1132"/>
      <c r="E23" s="1154">
        <v>1</v>
      </c>
      <c r="F23" s="1133" t="s">
        <v>1459</v>
      </c>
      <c r="G23" s="1134"/>
      <c r="H23" s="1105"/>
      <c r="I23" s="1105"/>
    </row>
    <row r="24" spans="1:9" s="1600" customFormat="1" ht="19.5" customHeight="1">
      <c r="A24" s="3815"/>
      <c r="B24" s="3815" t="s">
        <v>1450</v>
      </c>
      <c r="C24" s="1131" t="s">
        <v>1460</v>
      </c>
      <c r="D24" s="1132"/>
      <c r="E24" s="1154">
        <v>0.5</v>
      </c>
      <c r="F24" s="1133"/>
      <c r="G24" s="1134"/>
      <c r="H24" s="1105"/>
      <c r="I24" s="1105"/>
    </row>
    <row r="25" spans="1:9" s="1600" customFormat="1" ht="19.5" customHeight="1">
      <c r="A25" s="3815"/>
      <c r="B25" s="3815"/>
      <c r="C25" s="1131" t="s">
        <v>1461</v>
      </c>
      <c r="D25" s="1132"/>
      <c r="E25" s="1154">
        <v>1.1000000000000001</v>
      </c>
      <c r="F25" s="1133"/>
      <c r="G25" s="1134"/>
      <c r="H25" s="1105"/>
      <c r="I25" s="1105"/>
    </row>
    <row r="26" spans="1:9" s="1600" customFormat="1" ht="19.5" customHeight="1">
      <c r="A26" s="3815"/>
      <c r="B26" s="3815"/>
      <c r="C26" s="1131" t="s">
        <v>1462</v>
      </c>
      <c r="D26" s="1132"/>
      <c r="E26" s="1154">
        <v>1.1000000000000001</v>
      </c>
      <c r="F26" s="1133"/>
      <c r="G26" s="1134"/>
      <c r="H26" s="1105"/>
      <c r="I26" s="1105"/>
    </row>
    <row r="27" spans="1:9" s="1600" customFormat="1" ht="19.5" customHeight="1">
      <c r="A27" s="3815"/>
      <c r="B27" s="3815"/>
      <c r="C27" s="1131" t="s">
        <v>1463</v>
      </c>
      <c r="D27" s="1132"/>
      <c r="E27" s="1154">
        <v>0.9</v>
      </c>
      <c r="F27" s="1133" t="s">
        <v>1464</v>
      </c>
      <c r="G27" s="1134"/>
      <c r="H27" s="1105"/>
      <c r="I27" s="1105"/>
    </row>
    <row r="28" spans="1:9" s="1600" customFormat="1" ht="19.5" customHeight="1">
      <c r="A28" s="3815"/>
      <c r="B28" s="3815"/>
      <c r="C28" s="1131" t="s">
        <v>1465</v>
      </c>
      <c r="D28" s="1132"/>
      <c r="E28" s="1154">
        <v>0.9</v>
      </c>
      <c r="F28" s="1133" t="s">
        <v>1466</v>
      </c>
      <c r="G28" s="1134"/>
      <c r="H28" s="1105"/>
      <c r="I28" s="1105"/>
    </row>
    <row r="29" spans="1:9" s="1600" customFormat="1" ht="19.5" customHeight="1">
      <c r="A29" s="3815"/>
      <c r="B29" s="3815"/>
      <c r="C29" s="1131" t="s">
        <v>1467</v>
      </c>
      <c r="D29" s="1132"/>
      <c r="E29" s="1154">
        <v>0.9</v>
      </c>
      <c r="F29" s="1133" t="s">
        <v>1468</v>
      </c>
      <c r="G29" s="1134"/>
      <c r="H29" s="1105"/>
      <c r="I29" s="1105"/>
    </row>
    <row r="30" spans="1:9" s="1600" customFormat="1" ht="19.5" customHeight="1">
      <c r="A30" s="3815"/>
      <c r="B30" s="3815"/>
      <c r="C30" s="1131" t="s">
        <v>1469</v>
      </c>
      <c r="D30" s="1132"/>
      <c r="E30" s="1154">
        <v>0.9</v>
      </c>
      <c r="F30" s="1133" t="s">
        <v>1470</v>
      </c>
      <c r="G30" s="1134"/>
      <c r="H30" s="1105"/>
      <c r="I30" s="1105"/>
    </row>
    <row r="31" spans="1:9" s="1600" customFormat="1" ht="19.5" customHeight="1">
      <c r="A31" s="3815"/>
      <c r="B31" s="3815"/>
      <c r="C31" s="1131" t="s">
        <v>1471</v>
      </c>
      <c r="D31" s="1132"/>
      <c r="E31" s="1154">
        <v>0.8</v>
      </c>
      <c r="F31" s="1133" t="s">
        <v>1472</v>
      </c>
      <c r="G31" s="1134"/>
      <c r="H31" s="1105"/>
      <c r="I31" s="1105"/>
    </row>
    <row r="32" spans="1:9" s="1600" customFormat="1" ht="19.5" customHeight="1">
      <c r="A32" s="3815"/>
      <c r="B32" s="3815"/>
      <c r="C32" s="1131" t="s">
        <v>1473</v>
      </c>
      <c r="D32" s="1132"/>
      <c r="E32" s="1154">
        <v>0.8</v>
      </c>
      <c r="F32" s="1133" t="s">
        <v>1474</v>
      </c>
      <c r="G32" s="1134"/>
      <c r="H32" s="1105"/>
      <c r="I32" s="1105"/>
    </row>
    <row r="33" spans="1:9" s="1600" customFormat="1" ht="19.5" customHeight="1">
      <c r="A33" s="3815" t="s">
        <v>1475</v>
      </c>
      <c r="B33" s="1154" t="s">
        <v>1447</v>
      </c>
      <c r="C33" s="1131" t="s">
        <v>1476</v>
      </c>
      <c r="D33" s="1132"/>
      <c r="E33" s="1154">
        <v>1</v>
      </c>
      <c r="F33" s="1133" t="s">
        <v>1477</v>
      </c>
      <c r="G33" s="1134"/>
      <c r="H33" s="1105"/>
      <c r="I33" s="1105"/>
    </row>
    <row r="34" spans="1:9" s="1600" customFormat="1" ht="19.5" customHeight="1">
      <c r="A34" s="3815"/>
      <c r="B34" s="1154" t="s">
        <v>1450</v>
      </c>
      <c r="C34" s="1131" t="s">
        <v>1478</v>
      </c>
      <c r="D34" s="1132"/>
      <c r="E34" s="1154">
        <v>1.5</v>
      </c>
      <c r="F34" s="1133" t="s">
        <v>1479</v>
      </c>
      <c r="G34" s="1134"/>
      <c r="H34" s="1105"/>
      <c r="I34" s="1105"/>
    </row>
    <row r="35" spans="1:9" s="1600" customFormat="1" ht="19.5" customHeight="1">
      <c r="A35" s="3815" t="s">
        <v>1433</v>
      </c>
      <c r="B35" s="1154" t="s">
        <v>1447</v>
      </c>
      <c r="C35" s="1131" t="s">
        <v>1480</v>
      </c>
      <c r="D35" s="1132"/>
      <c r="E35" s="1154">
        <v>1</v>
      </c>
      <c r="F35" s="1133" t="s">
        <v>1481</v>
      </c>
      <c r="G35" s="1134"/>
      <c r="H35" s="1105"/>
      <c r="I35" s="1105"/>
    </row>
    <row r="36" spans="1:9" s="1600" customFormat="1" ht="19.5" customHeight="1">
      <c r="A36" s="3815"/>
      <c r="B36" s="3815" t="s">
        <v>1450</v>
      </c>
      <c r="C36" s="1131" t="s">
        <v>1482</v>
      </c>
      <c r="D36" s="1132"/>
      <c r="E36" s="1154">
        <v>1</v>
      </c>
      <c r="F36" s="1133" t="s">
        <v>1483</v>
      </c>
      <c r="G36" s="1134"/>
      <c r="H36" s="1105"/>
      <c r="I36" s="1105"/>
    </row>
    <row r="37" spans="1:9" s="1600" customFormat="1" ht="19.5" customHeight="1">
      <c r="A37" s="3815"/>
      <c r="B37" s="3815"/>
      <c r="C37" s="1131" t="s">
        <v>1484</v>
      </c>
      <c r="D37" s="1132"/>
      <c r="E37" s="1154">
        <v>1.5</v>
      </c>
      <c r="F37" s="1133" t="s">
        <v>1485</v>
      </c>
      <c r="G37" s="1134"/>
      <c r="H37" s="1105"/>
      <c r="I37" s="1105"/>
    </row>
    <row r="38" spans="1:9" s="1600" customFormat="1" ht="19.5" customHeight="1">
      <c r="A38" s="3815"/>
      <c r="B38" s="3815"/>
      <c r="C38" s="1131" t="s">
        <v>1486</v>
      </c>
      <c r="D38" s="1132"/>
      <c r="E38" s="1154">
        <v>1</v>
      </c>
      <c r="F38" s="1133" t="s">
        <v>1487</v>
      </c>
      <c r="G38" s="1134"/>
      <c r="H38" s="1105"/>
      <c r="I38" s="1105"/>
    </row>
    <row r="39" spans="1:9" s="1600" customFormat="1" ht="19.5" customHeight="1">
      <c r="A39" s="3815"/>
      <c r="B39" s="381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15" t="s">
        <v>1502</v>
      </c>
      <c r="C61" s="1068" t="s">
        <v>1503</v>
      </c>
      <c r="D61" s="1068" t="s">
        <v>1504</v>
      </c>
      <c r="E61" s="1139">
        <v>0.5</v>
      </c>
      <c r="F61" s="1154">
        <v>80</v>
      </c>
      <c r="H61" s="1105">
        <f>SUMIF(C59:C119,基准地价!C8,E59:E119)</f>
        <v>0</v>
      </c>
    </row>
    <row r="62" spans="1:8" s="1105" customFormat="1" ht="24">
      <c r="A62" s="1154">
        <v>2</v>
      </c>
      <c r="B62" s="3815"/>
      <c r="C62" s="1068" t="s">
        <v>1505</v>
      </c>
      <c r="D62" s="1068" t="s">
        <v>1506</v>
      </c>
      <c r="E62" s="1139">
        <v>0.5</v>
      </c>
      <c r="F62" s="1154">
        <v>80</v>
      </c>
    </row>
    <row r="63" spans="1:8" s="1105" customFormat="1" ht="36">
      <c r="A63" s="1154">
        <v>3</v>
      </c>
      <c r="B63" s="3815"/>
      <c r="C63" s="1068" t="s">
        <v>1507</v>
      </c>
      <c r="D63" s="1068" t="s">
        <v>1508</v>
      </c>
      <c r="E63" s="1139">
        <v>0.5</v>
      </c>
      <c r="F63" s="1154">
        <v>80</v>
      </c>
    </row>
    <row r="64" spans="1:8" s="1105" customFormat="1" ht="36">
      <c r="A64" s="1154">
        <v>4</v>
      </c>
      <c r="B64" s="3815"/>
      <c r="C64" s="1068" t="s">
        <v>1509</v>
      </c>
      <c r="D64" s="1068" t="s">
        <v>1510</v>
      </c>
      <c r="E64" s="1139">
        <v>0.4</v>
      </c>
      <c r="F64" s="1154">
        <v>60</v>
      </c>
    </row>
    <row r="65" spans="1:6" s="1105" customFormat="1" ht="36">
      <c r="A65" s="1154">
        <v>5</v>
      </c>
      <c r="B65" s="3815"/>
      <c r="C65" s="1068" t="s">
        <v>1511</v>
      </c>
      <c r="D65" s="1068" t="s">
        <v>1512</v>
      </c>
      <c r="E65" s="1139">
        <v>0.2</v>
      </c>
      <c r="F65" s="1154">
        <v>30</v>
      </c>
    </row>
    <row r="66" spans="1:6" s="1105" customFormat="1" ht="36">
      <c r="A66" s="1154">
        <v>6</v>
      </c>
      <c r="B66" s="3815"/>
      <c r="C66" s="1068" t="s">
        <v>1513</v>
      </c>
      <c r="D66" s="1068" t="s">
        <v>1514</v>
      </c>
      <c r="E66" s="1139">
        <v>0.3</v>
      </c>
      <c r="F66" s="1154">
        <v>50</v>
      </c>
    </row>
    <row r="67" spans="1:6" s="1105" customFormat="1" ht="36">
      <c r="A67" s="1154">
        <v>7</v>
      </c>
      <c r="B67" s="3815"/>
      <c r="C67" s="1068" t="s">
        <v>1515</v>
      </c>
      <c r="D67" s="1068" t="s">
        <v>1516</v>
      </c>
      <c r="E67" s="1139">
        <v>0.2</v>
      </c>
      <c r="F67" s="1154">
        <v>30</v>
      </c>
    </row>
    <row r="68" spans="1:6" s="1105" customFormat="1" ht="36">
      <c r="A68" s="1154">
        <v>8</v>
      </c>
      <c r="B68" s="3815"/>
      <c r="C68" s="1068" t="s">
        <v>1517</v>
      </c>
      <c r="D68" s="1068" t="s">
        <v>1518</v>
      </c>
      <c r="E68" s="1139">
        <v>0.2</v>
      </c>
      <c r="F68" s="1154">
        <v>30</v>
      </c>
    </row>
    <row r="69" spans="1:6" s="1105" customFormat="1" ht="36">
      <c r="A69" s="1154">
        <v>9</v>
      </c>
      <c r="B69" s="3815"/>
      <c r="C69" s="1068" t="s">
        <v>1519</v>
      </c>
      <c r="D69" s="1068" t="s">
        <v>1520</v>
      </c>
      <c r="E69" s="1139">
        <v>0.2</v>
      </c>
      <c r="F69" s="1154">
        <v>30</v>
      </c>
    </row>
    <row r="70" spans="1:6" s="1105" customFormat="1" ht="48">
      <c r="A70" s="1154">
        <v>10</v>
      </c>
      <c r="B70" s="3815"/>
      <c r="C70" s="1068" t="s">
        <v>1521</v>
      </c>
      <c r="D70" s="1068" t="s">
        <v>1522</v>
      </c>
      <c r="E70" s="1139">
        <v>0.2</v>
      </c>
      <c r="F70" s="1154">
        <v>30</v>
      </c>
    </row>
    <row r="71" spans="1:6" s="1105" customFormat="1" ht="48">
      <c r="A71" s="1154">
        <v>11</v>
      </c>
      <c r="B71" s="3815"/>
      <c r="C71" s="1068" t="s">
        <v>1523</v>
      </c>
      <c r="D71" s="1068" t="s">
        <v>1524</v>
      </c>
      <c r="E71" s="1139">
        <v>0.2</v>
      </c>
      <c r="F71" s="1154">
        <v>30</v>
      </c>
    </row>
    <row r="72" spans="1:6" s="1105" customFormat="1" ht="36">
      <c r="A72" s="1154">
        <v>12</v>
      </c>
      <c r="B72" s="3815"/>
      <c r="C72" s="1068" t="s">
        <v>1525</v>
      </c>
      <c r="D72" s="1068" t="s">
        <v>1526</v>
      </c>
      <c r="E72" s="1139">
        <v>0.5</v>
      </c>
      <c r="F72" s="1154">
        <v>80</v>
      </c>
    </row>
    <row r="73" spans="1:6" s="1105" customFormat="1" ht="24">
      <c r="A73" s="1154">
        <v>13</v>
      </c>
      <c r="B73" s="3815"/>
      <c r="C73" s="1068" t="s">
        <v>1527</v>
      </c>
      <c r="D73" s="1068" t="s">
        <v>1528</v>
      </c>
      <c r="E73" s="1139">
        <v>0.4</v>
      </c>
      <c r="F73" s="1154">
        <v>60</v>
      </c>
    </row>
    <row r="74" spans="1:6" s="1105" customFormat="1" ht="24">
      <c r="A74" s="1154">
        <v>14</v>
      </c>
      <c r="B74" s="3815"/>
      <c r="C74" s="1068" t="s">
        <v>1529</v>
      </c>
      <c r="D74" s="1068" t="s">
        <v>1530</v>
      </c>
      <c r="E74" s="1139">
        <v>0.2</v>
      </c>
      <c r="F74" s="1154">
        <v>30</v>
      </c>
    </row>
    <row r="75" spans="1:6" s="1105" customFormat="1" ht="24">
      <c r="A75" s="1154">
        <v>15</v>
      </c>
      <c r="B75" s="3815"/>
      <c r="C75" s="1068" t="s">
        <v>1531</v>
      </c>
      <c r="D75" s="1068" t="s">
        <v>1532</v>
      </c>
      <c r="E75" s="1139">
        <v>0.2</v>
      </c>
      <c r="F75" s="1154">
        <v>30</v>
      </c>
    </row>
    <row r="76" spans="1:6" s="1105" customFormat="1" ht="24">
      <c r="A76" s="1154">
        <v>16</v>
      </c>
      <c r="B76" s="3815" t="s">
        <v>1533</v>
      </c>
      <c r="C76" s="1068" t="s">
        <v>1534</v>
      </c>
      <c r="D76" s="1068" t="s">
        <v>1535</v>
      </c>
      <c r="E76" s="1139">
        <v>0.5</v>
      </c>
      <c r="F76" s="1154">
        <v>80</v>
      </c>
    </row>
    <row r="77" spans="1:6" s="1105" customFormat="1" ht="24">
      <c r="A77" s="1154">
        <v>17</v>
      </c>
      <c r="B77" s="3815"/>
      <c r="C77" s="1068" t="s">
        <v>1536</v>
      </c>
      <c r="D77" s="1068" t="s">
        <v>1537</v>
      </c>
      <c r="E77" s="1139">
        <v>0.5</v>
      </c>
      <c r="F77" s="1154">
        <v>80</v>
      </c>
    </row>
    <row r="78" spans="1:6" s="1105" customFormat="1" ht="24">
      <c r="A78" s="1154">
        <v>18</v>
      </c>
      <c r="B78" s="3815"/>
      <c r="C78" s="1068" t="s">
        <v>1538</v>
      </c>
      <c r="D78" s="1068" t="s">
        <v>1539</v>
      </c>
      <c r="E78" s="1139">
        <v>0.2</v>
      </c>
      <c r="F78" s="1154">
        <v>30</v>
      </c>
    </row>
    <row r="79" spans="1:6" s="1105" customFormat="1" ht="24">
      <c r="A79" s="1154">
        <v>19</v>
      </c>
      <c r="B79" s="3815"/>
      <c r="C79" s="1068" t="s">
        <v>1540</v>
      </c>
      <c r="D79" s="1068" t="s">
        <v>1541</v>
      </c>
      <c r="E79" s="1139">
        <v>0.5</v>
      </c>
      <c r="F79" s="1154">
        <v>80</v>
      </c>
    </row>
    <row r="80" spans="1:6" s="1105" customFormat="1" ht="36">
      <c r="A80" s="1154">
        <v>20</v>
      </c>
      <c r="B80" s="3815"/>
      <c r="C80" s="1068" t="s">
        <v>1542</v>
      </c>
      <c r="D80" s="1068" t="s">
        <v>1543</v>
      </c>
      <c r="E80" s="1139">
        <v>0.2</v>
      </c>
      <c r="F80" s="1154">
        <v>30</v>
      </c>
    </row>
    <row r="81" spans="1:6" s="1105" customFormat="1" ht="36">
      <c r="A81" s="1154">
        <v>21</v>
      </c>
      <c r="B81" s="3815"/>
      <c r="C81" s="1068" t="s">
        <v>1544</v>
      </c>
      <c r="D81" s="1068" t="s">
        <v>1545</v>
      </c>
      <c r="E81" s="1139">
        <v>0.2</v>
      </c>
      <c r="F81" s="1154">
        <v>30</v>
      </c>
    </row>
    <row r="82" spans="1:6" s="1105" customFormat="1" ht="48">
      <c r="A82" s="1154">
        <v>22</v>
      </c>
      <c r="B82" s="3815"/>
      <c r="C82" s="1068" t="s">
        <v>1546</v>
      </c>
      <c r="D82" s="1068" t="s">
        <v>1547</v>
      </c>
      <c r="E82" s="1139">
        <v>0.2</v>
      </c>
      <c r="F82" s="1154">
        <v>30</v>
      </c>
    </row>
    <row r="83" spans="1:6" s="1105" customFormat="1" ht="48">
      <c r="A83" s="1154">
        <v>23</v>
      </c>
      <c r="B83" s="3815"/>
      <c r="C83" s="1068" t="s">
        <v>1548</v>
      </c>
      <c r="D83" s="1068" t="s">
        <v>1549</v>
      </c>
      <c r="E83" s="1139">
        <v>0.2</v>
      </c>
      <c r="F83" s="1154">
        <v>30</v>
      </c>
    </row>
    <row r="84" spans="1:6" s="1105" customFormat="1" ht="36">
      <c r="A84" s="1154">
        <v>24</v>
      </c>
      <c r="B84" s="3815"/>
      <c r="C84" s="1068" t="s">
        <v>1550</v>
      </c>
      <c r="D84" s="1068" t="s">
        <v>1551</v>
      </c>
      <c r="E84" s="1139">
        <v>0.2</v>
      </c>
      <c r="F84" s="1154">
        <v>30</v>
      </c>
    </row>
    <row r="85" spans="1:6" s="1105" customFormat="1" ht="36">
      <c r="A85" s="1154">
        <v>25</v>
      </c>
      <c r="B85" s="3815"/>
      <c r="C85" s="1068" t="s">
        <v>1552</v>
      </c>
      <c r="D85" s="1068" t="s">
        <v>1553</v>
      </c>
      <c r="E85" s="1139">
        <v>0.5</v>
      </c>
      <c r="F85" s="1154">
        <v>80</v>
      </c>
    </row>
    <row r="86" spans="1:6" s="1105" customFormat="1" ht="36">
      <c r="A86" s="1154">
        <v>26</v>
      </c>
      <c r="B86" s="3815"/>
      <c r="C86" s="1068" t="s">
        <v>1554</v>
      </c>
      <c r="D86" s="1068" t="s">
        <v>1555</v>
      </c>
      <c r="E86" s="1139">
        <v>0.2</v>
      </c>
      <c r="F86" s="1154">
        <v>30</v>
      </c>
    </row>
    <row r="87" spans="1:6" s="1105" customFormat="1" ht="36">
      <c r="A87" s="1154">
        <v>27</v>
      </c>
      <c r="B87" s="3815"/>
      <c r="C87" s="1068" t="s">
        <v>1556</v>
      </c>
      <c r="D87" s="1068" t="s">
        <v>1557</v>
      </c>
      <c r="E87" s="1139">
        <v>0.2</v>
      </c>
      <c r="F87" s="1154">
        <v>30</v>
      </c>
    </row>
    <row r="88" spans="1:6" s="1105" customFormat="1" ht="36">
      <c r="A88" s="1154">
        <v>28</v>
      </c>
      <c r="B88" s="3815"/>
      <c r="C88" s="1068" t="s">
        <v>1558</v>
      </c>
      <c r="D88" s="1068" t="s">
        <v>1559</v>
      </c>
      <c r="E88" s="1139">
        <v>0.2</v>
      </c>
      <c r="F88" s="1154">
        <v>30</v>
      </c>
    </row>
    <row r="89" spans="1:6" s="1105" customFormat="1" ht="24">
      <c r="A89" s="1154">
        <v>29</v>
      </c>
      <c r="B89" s="3815"/>
      <c r="C89" s="1068" t="s">
        <v>1560</v>
      </c>
      <c r="D89" s="1068" t="s">
        <v>1561</v>
      </c>
      <c r="E89" s="1139">
        <v>0.2</v>
      </c>
      <c r="F89" s="1154">
        <v>30</v>
      </c>
    </row>
    <row r="90" spans="1:6" s="1105" customFormat="1" ht="24">
      <c r="A90" s="1154">
        <v>30</v>
      </c>
      <c r="B90" s="3815"/>
      <c r="C90" s="1068" t="s">
        <v>1562</v>
      </c>
      <c r="D90" s="1068" t="s">
        <v>1563</v>
      </c>
      <c r="E90" s="1139">
        <v>0.2</v>
      </c>
      <c r="F90" s="1154">
        <v>30</v>
      </c>
    </row>
    <row r="91" spans="1:6" s="1105" customFormat="1" ht="36">
      <c r="A91" s="1154">
        <v>31</v>
      </c>
      <c r="B91" s="3815"/>
      <c r="C91" s="1068" t="s">
        <v>1564</v>
      </c>
      <c r="D91" s="1068" t="s">
        <v>1565</v>
      </c>
      <c r="E91" s="1139">
        <v>0.2</v>
      </c>
      <c r="F91" s="1154">
        <v>30</v>
      </c>
    </row>
    <row r="92" spans="1:6" s="1105" customFormat="1" ht="24">
      <c r="A92" s="1154">
        <v>32</v>
      </c>
      <c r="B92" s="3815" t="s">
        <v>1566</v>
      </c>
      <c r="C92" s="1154" t="s">
        <v>1567</v>
      </c>
      <c r="D92" s="1068" t="s">
        <v>1568</v>
      </c>
      <c r="E92" s="1139">
        <v>0.2</v>
      </c>
      <c r="F92" s="1154">
        <v>30</v>
      </c>
    </row>
    <row r="93" spans="1:6" s="1105" customFormat="1" ht="36">
      <c r="A93" s="1154">
        <v>33</v>
      </c>
      <c r="B93" s="3815"/>
      <c r="C93" s="1154" t="s">
        <v>1569</v>
      </c>
      <c r="D93" s="1068" t="s">
        <v>1570</v>
      </c>
      <c r="E93" s="1139">
        <v>0.2</v>
      </c>
      <c r="F93" s="1154">
        <v>30</v>
      </c>
    </row>
    <row r="94" spans="1:6" s="1105" customFormat="1" ht="48">
      <c r="A94" s="1154">
        <v>34</v>
      </c>
      <c r="B94" s="3815"/>
      <c r="C94" s="1154" t="s">
        <v>1571</v>
      </c>
      <c r="D94" s="1068" t="s">
        <v>1572</v>
      </c>
      <c r="E94" s="1139">
        <v>0.2</v>
      </c>
      <c r="F94" s="1154">
        <v>30</v>
      </c>
    </row>
    <row r="95" spans="1:6" s="1105" customFormat="1" ht="36">
      <c r="A95" s="1154">
        <v>35</v>
      </c>
      <c r="B95" s="3815"/>
      <c r="C95" s="1154" t="s">
        <v>1573</v>
      </c>
      <c r="D95" s="1068" t="s">
        <v>1574</v>
      </c>
      <c r="E95" s="1139">
        <v>0.2</v>
      </c>
      <c r="F95" s="1154">
        <v>30</v>
      </c>
    </row>
    <row r="96" spans="1:6" s="1105" customFormat="1" ht="48">
      <c r="A96" s="1154">
        <v>36</v>
      </c>
      <c r="B96" s="3815"/>
      <c r="C96" s="1068" t="s">
        <v>1575</v>
      </c>
      <c r="D96" s="1068" t="s">
        <v>1576</v>
      </c>
      <c r="E96" s="1139">
        <v>0.2</v>
      </c>
      <c r="F96" s="1154">
        <v>30</v>
      </c>
    </row>
    <row r="97" spans="1:6" s="1105" customFormat="1" ht="36">
      <c r="A97" s="1154">
        <v>37</v>
      </c>
      <c r="B97" s="3815"/>
      <c r="C97" s="1154" t="s">
        <v>1577</v>
      </c>
      <c r="D97" s="1068" t="s">
        <v>1578</v>
      </c>
      <c r="E97" s="1139">
        <v>0.2</v>
      </c>
      <c r="F97" s="1154">
        <v>30</v>
      </c>
    </row>
    <row r="98" spans="1:6" s="1105" customFormat="1" ht="36">
      <c r="A98" s="1154">
        <v>38</v>
      </c>
      <c r="B98" s="3815"/>
      <c r="C98" s="1154" t="s">
        <v>1579</v>
      </c>
      <c r="D98" s="1068" t="s">
        <v>1580</v>
      </c>
      <c r="E98" s="1139">
        <v>0.2</v>
      </c>
      <c r="F98" s="1154">
        <v>30</v>
      </c>
    </row>
    <row r="99" spans="1:6" s="1105" customFormat="1" ht="36">
      <c r="A99" s="1154">
        <v>39</v>
      </c>
      <c r="B99" s="3815" t="s">
        <v>1581</v>
      </c>
      <c r="C99" s="1154" t="s">
        <v>1582</v>
      </c>
      <c r="D99" s="1068" t="s">
        <v>1583</v>
      </c>
      <c r="E99" s="1139">
        <v>0.3</v>
      </c>
      <c r="F99" s="1154">
        <v>50</v>
      </c>
    </row>
    <row r="100" spans="1:6" s="1105" customFormat="1" ht="24">
      <c r="A100" s="1154">
        <v>40</v>
      </c>
      <c r="B100" s="3815"/>
      <c r="C100" s="1154" t="s">
        <v>1584</v>
      </c>
      <c r="D100" s="1068" t="s">
        <v>1585</v>
      </c>
      <c r="E100" s="1139">
        <v>0.2</v>
      </c>
      <c r="F100" s="1154">
        <v>30</v>
      </c>
    </row>
    <row r="101" spans="1:6" s="1105" customFormat="1" ht="36">
      <c r="A101" s="1154">
        <v>41</v>
      </c>
      <c r="B101" s="381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15" t="s">
        <v>1596</v>
      </c>
      <c r="C105" s="1154" t="s">
        <v>1597</v>
      </c>
      <c r="D105" s="1068" t="s">
        <v>1598</v>
      </c>
      <c r="E105" s="1139">
        <v>0.2</v>
      </c>
      <c r="F105" s="1154">
        <v>30</v>
      </c>
    </row>
    <row r="106" spans="1:6" s="1105" customFormat="1" ht="36">
      <c r="A106" s="1154">
        <v>46</v>
      </c>
      <c r="B106" s="3815"/>
      <c r="C106" s="1154" t="s">
        <v>1599</v>
      </c>
      <c r="D106" s="1068" t="s">
        <v>1600</v>
      </c>
      <c r="E106" s="1139">
        <v>0.2</v>
      </c>
      <c r="F106" s="1154">
        <v>30</v>
      </c>
    </row>
    <row r="107" spans="1:6" s="1105" customFormat="1" ht="36">
      <c r="A107" s="1154">
        <v>47</v>
      </c>
      <c r="B107" s="3815" t="s">
        <v>1601</v>
      </c>
      <c r="C107" s="1154" t="s">
        <v>1602</v>
      </c>
      <c r="D107" s="1068" t="s">
        <v>1603</v>
      </c>
      <c r="E107" s="1139">
        <v>0.3</v>
      </c>
      <c r="F107" s="1154">
        <v>50</v>
      </c>
    </row>
    <row r="108" spans="1:6" s="1105" customFormat="1" ht="36">
      <c r="A108" s="1154">
        <v>48</v>
      </c>
      <c r="B108" s="381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15" t="s">
        <v>1612</v>
      </c>
      <c r="C111" s="1154" t="s">
        <v>1613</v>
      </c>
      <c r="D111" s="1068" t="s">
        <v>1614</v>
      </c>
      <c r="E111" s="1139">
        <v>0.2</v>
      </c>
      <c r="F111" s="1154">
        <v>30</v>
      </c>
    </row>
    <row r="112" spans="1:6" s="1105" customFormat="1" ht="24">
      <c r="A112" s="1154">
        <v>52</v>
      </c>
      <c r="B112" s="3815"/>
      <c r="C112" s="1154" t="s">
        <v>1615</v>
      </c>
      <c r="D112" s="1068" t="s">
        <v>1616</v>
      </c>
      <c r="E112" s="1139">
        <v>0.2</v>
      </c>
      <c r="F112" s="1154">
        <v>30</v>
      </c>
    </row>
    <row r="113" spans="1:14" s="1105" customFormat="1" ht="24">
      <c r="A113" s="1154">
        <v>53</v>
      </c>
      <c r="B113" s="381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15" t="s">
        <v>1625</v>
      </c>
      <c r="C116" s="1154" t="s">
        <v>1626</v>
      </c>
      <c r="D116" s="1068" t="s">
        <v>1627</v>
      </c>
      <c r="E116" s="1139">
        <v>0.2</v>
      </c>
      <c r="F116" s="1154">
        <v>30</v>
      </c>
    </row>
    <row r="117" spans="1:14" ht="36">
      <c r="A117" s="1154">
        <v>57</v>
      </c>
      <c r="B117" s="381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14" t="s">
        <v>1634</v>
      </c>
      <c r="B121" s="3814"/>
      <c r="C121" s="3814"/>
      <c r="D121" s="3814"/>
      <c r="E121" s="3814"/>
      <c r="F121" s="3814"/>
      <c r="G121" s="3814"/>
      <c r="H121" s="3814"/>
      <c r="I121" s="3814"/>
      <c r="J121" s="381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19" t="s">
        <v>1040</v>
      </c>
      <c r="B1" s="3819"/>
      <c r="C1" s="3819"/>
      <c r="D1" s="3819"/>
      <c r="E1" s="3819"/>
      <c r="F1" s="381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20" t="s">
        <v>1053</v>
      </c>
      <c r="B2" s="3820"/>
      <c r="C2" s="3820"/>
      <c r="D2" s="3820"/>
      <c r="E2" s="3820"/>
      <c r="F2" s="382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2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2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23" t="s">
        <v>2080</v>
      </c>
      <c r="B1" s="3823"/>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25" t="s">
        <v>2464</v>
      </c>
      <c r="C8" s="1825">
        <f ca="1">ROUND(F8*F10*F9*(1-F11)/10000,0)</f>
        <v>0</v>
      </c>
      <c r="D8" s="1822" t="s">
        <v>2535</v>
      </c>
      <c r="E8" s="61" t="s">
        <v>637</v>
      </c>
      <c r="F8" s="785">
        <f ca="1">INDIRECT("'数据-取费表'!u"&amp;$G$1)</f>
        <v>0</v>
      </c>
      <c r="G8" s="1593"/>
      <c r="H8" s="2483" t="s">
        <v>1825</v>
      </c>
      <c r="I8" s="3825" t="s">
        <v>2464</v>
      </c>
      <c r="J8" s="783">
        <f ca="1">ROUND(M8*M10*M9*(1-M11)/10000,0)</f>
        <v>0</v>
      </c>
      <c r="K8" s="341" t="s">
        <v>2535</v>
      </c>
      <c r="L8" s="784" t="s">
        <v>1739</v>
      </c>
      <c r="M8" s="785">
        <f ca="1">INDIRECT("'数据-取费表'!z"&amp;$G$1)</f>
        <v>0</v>
      </c>
    </row>
    <row r="9" spans="1:25" ht="18" customHeight="1">
      <c r="A9" s="2479"/>
      <c r="B9" s="3826"/>
      <c r="C9" s="1826"/>
      <c r="D9" s="1823"/>
      <c r="E9" s="61" t="s">
        <v>638</v>
      </c>
      <c r="F9" s="785">
        <f ca="1">IF(INDIRECT("'数据-取费表'!ah"&amp;$G$1)="",INDIRECT("'数据-取费表'!k"&amp;$G$1),INDIRECT("'数据-取费表'!ah"&amp;$G$1))</f>
        <v>0</v>
      </c>
      <c r="G9" s="1593"/>
      <c r="H9" s="2468"/>
      <c r="I9" s="3826"/>
      <c r="J9" s="788"/>
      <c r="K9" s="789"/>
      <c r="L9" s="784" t="s">
        <v>1740</v>
      </c>
      <c r="M9" s="785">
        <f ca="1">F9</f>
        <v>0</v>
      </c>
    </row>
    <row r="10" spans="1:25" ht="18" customHeight="1">
      <c r="A10" s="2472"/>
      <c r="B10" s="3827"/>
      <c r="C10" s="1826"/>
      <c r="D10" s="1823"/>
      <c r="E10" s="61" t="s">
        <v>639</v>
      </c>
      <c r="F10" s="785">
        <f ca="1">INDIRECT("'数据-取费表'!ai"&amp;$G$1)</f>
        <v>0</v>
      </c>
      <c r="G10" s="1593"/>
      <c r="H10" s="2468"/>
      <c r="I10" s="3827"/>
      <c r="J10" s="788"/>
      <c r="K10" s="789"/>
      <c r="L10" s="784" t="s">
        <v>1741</v>
      </c>
      <c r="M10" s="785">
        <f ca="1">INDIRECT("'数据-取费表'!ai"&amp;$G$1)</f>
        <v>0</v>
      </c>
    </row>
    <row r="11" spans="1:25" ht="18" customHeight="1">
      <c r="A11" s="786"/>
      <c r="B11" s="3828"/>
      <c r="C11" s="1826"/>
      <c r="D11" s="1823"/>
      <c r="E11" s="61" t="s">
        <v>640</v>
      </c>
      <c r="F11" s="794">
        <f ca="1">INDIRECT("'数据-取费表'!w"&amp;$G$1)</f>
        <v>0</v>
      </c>
      <c r="G11" s="1593"/>
      <c r="H11" s="2484"/>
      <c r="I11" s="3827"/>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24"/>
      <c r="J36" s="2079"/>
      <c r="K36" s="2080"/>
      <c r="L36" s="2079"/>
      <c r="M36" s="2079"/>
    </row>
    <row r="37" spans="1:18" ht="18" customHeight="1">
      <c r="A37" s="815"/>
      <c r="B37" s="793"/>
      <c r="C37" s="69"/>
      <c r="D37" s="816"/>
      <c r="E37" s="784" t="s">
        <v>674</v>
      </c>
      <c r="F37" s="785">
        <f ca="1">INDIRECT("'数据-取费表'!r"&amp;$G$1)</f>
        <v>0</v>
      </c>
      <c r="G37" s="2062"/>
      <c r="H37" s="2065"/>
      <c r="I37" s="3824"/>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3"/>
      <c r="Q47" s="1605"/>
      <c r="R47" s="1593"/>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2980</v>
      </c>
      <c r="J54" s="3129">
        <f ca="1">IF(M48="住宅",MAX(J52,L49-'数据-取费表'!B20),MIN(J52,L49-'数据-取费表'!B20))</f>
        <v>-2</v>
      </c>
      <c r="K54" s="3829"/>
      <c r="L54" s="3830"/>
      <c r="O54" s="2380" t="s">
        <v>2389</v>
      </c>
      <c r="P54" s="2378" t="s">
        <v>2390</v>
      </c>
      <c r="Q54" s="2379">
        <f ca="1">J54</f>
        <v>-2</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3"/>
      <c r="Q56" s="1605"/>
      <c r="R56" s="1593"/>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2944</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3"/>
      <c r="Q65" s="1605"/>
      <c r="R65" s="1593"/>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38" t="s">
        <v>2577</v>
      </c>
      <c r="C1" s="3838"/>
      <c r="D1" s="3838"/>
      <c r="E1" s="3838"/>
      <c r="F1" s="3838"/>
      <c r="G1" s="3837" t="s">
        <v>2578</v>
      </c>
      <c r="H1" s="3837"/>
      <c r="I1" s="3837"/>
      <c r="J1" s="3837"/>
      <c r="K1" s="3837"/>
      <c r="L1" s="3837"/>
      <c r="N1" s="3837" t="s">
        <v>2579</v>
      </c>
      <c r="O1" s="3837"/>
      <c r="P1" s="3837"/>
      <c r="Q1" s="3837"/>
      <c r="R1" s="2633"/>
      <c r="S1" s="3837" t="s">
        <v>2580</v>
      </c>
      <c r="T1" s="3837"/>
      <c r="U1" s="3837"/>
      <c r="V1" s="3837"/>
      <c r="X1" s="3836" t="s">
        <v>2640</v>
      </c>
      <c r="Y1" s="3837"/>
      <c r="Z1" s="3837"/>
      <c r="AA1" s="3837"/>
      <c r="AB1" s="3837"/>
      <c r="AD1" s="3836" t="s">
        <v>2644</v>
      </c>
      <c r="AE1" s="3837"/>
      <c r="AF1" s="3837"/>
      <c r="AG1" s="3837"/>
      <c r="AH1" s="3837"/>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2972</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32">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3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3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33"/>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1">
        <v>439</v>
      </c>
      <c r="C10" s="3121">
        <v>327</v>
      </c>
      <c r="D10" s="3121">
        <f t="shared" si="43"/>
        <v>327</v>
      </c>
      <c r="E10" s="3121">
        <v>627</v>
      </c>
      <c r="F10" s="3122">
        <v>283</v>
      </c>
      <c r="G10" s="3831">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3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3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33"/>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31">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3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3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35"/>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34">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3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3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35"/>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34">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3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3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35"/>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39">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40"/>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40"/>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41"/>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34">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3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3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35"/>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34">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3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3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35">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34">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3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3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35">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34">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3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3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35">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34">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3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3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35">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34">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3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3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35">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34">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3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3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35">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34">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3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3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35">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34">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3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3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35">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34">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32">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32">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35">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34">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32">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32">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35">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19" sqref="E1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13089</v>
      </c>
      <c r="C2" s="2104"/>
      <c r="D2" s="2104"/>
      <c r="E2" s="2104"/>
      <c r="F2" s="2104"/>
      <c r="G2" s="2104"/>
      <c r="H2" s="2104"/>
      <c r="I2" s="2104"/>
      <c r="J2" s="2104"/>
      <c r="K2" s="2104"/>
    </row>
    <row r="3" spans="1:31" s="2041" customFormat="1" ht="18" customHeight="1">
      <c r="A3" s="2106" t="s">
        <v>1685</v>
      </c>
      <c r="B3" s="2107">
        <f ca="1">ROUND(B2*10000/IF(B1="",'数据-汇总表'!E3,INDIRECT("'数据-取费表'!K"&amp;$K$1)),0)</f>
        <v>1793</v>
      </c>
      <c r="C3" s="2104"/>
      <c r="D3" s="2104"/>
      <c r="E3" s="2104"/>
      <c r="F3" s="2104"/>
      <c r="G3" s="2104"/>
      <c r="H3" s="2104"/>
      <c r="I3" s="2104"/>
      <c r="J3" s="2104"/>
      <c r="K3" s="2104"/>
    </row>
    <row r="4" spans="1:31" s="2041" customFormat="1" ht="18" customHeight="1">
      <c r="A4" s="426" t="s">
        <v>468</v>
      </c>
      <c r="B4" s="427">
        <f ca="1">ROUND(B2*10000/IF(B1="",'数据-汇总表'!D3,INDIRECT("'数据-取费表'!R"&amp;$K$1)),0)</f>
        <v>6276</v>
      </c>
      <c r="C4" s="428"/>
      <c r="D4" s="422"/>
      <c r="E4" s="422"/>
      <c r="F4" s="422"/>
      <c r="G4" s="422"/>
      <c r="H4" s="422"/>
      <c r="I4" s="422"/>
      <c r="J4" s="422"/>
      <c r="K4" s="422"/>
    </row>
    <row r="5" spans="1:31" s="2041" customFormat="1" ht="18" customHeight="1" thickBot="1">
      <c r="A5" s="429"/>
      <c r="B5" s="430">
        <f ca="1">ROUND(B2/(IF(B1="",'数据-汇总表'!D3,INDIRECT("'数据-取费表'!R"&amp;$K$1))/666.67),0)</f>
        <v>418</v>
      </c>
      <c r="C5" s="431" t="s">
        <v>469</v>
      </c>
      <c r="D5" s="422"/>
      <c r="E5" s="422"/>
      <c r="F5" s="422"/>
      <c r="G5" s="422"/>
      <c r="H5" s="422"/>
      <c r="I5" s="422"/>
      <c r="J5" s="422"/>
      <c r="K5" s="422"/>
    </row>
    <row r="6" spans="1:31" s="2111" customFormat="1" ht="16.5" customHeight="1">
      <c r="A6" s="2806" t="s">
        <v>1843</v>
      </c>
      <c r="B6" s="2807"/>
      <c r="C6" s="2808">
        <f ca="1">SUM(C10:K10)</f>
        <v>52839</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7215</v>
      </c>
      <c r="D8" s="2812">
        <f ca="1">不动产收益法!B3</f>
        <v>7457</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65690.73</v>
      </c>
      <c r="D9" s="441">
        <f>SUMIF('数据-汇总表'!$C19:$C33,'剩余法-待开发'!D7,'数据-汇总表'!$E19:$E33)</f>
        <v>7298.9700000000012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47396</v>
      </c>
      <c r="D10" s="3004">
        <f ca="1">不动产收益法!B2</f>
        <v>5443</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18978</v>
      </c>
      <c r="D13" s="2822"/>
      <c r="E13" s="2823"/>
      <c r="F13" s="2824"/>
      <c r="G13" s="2790"/>
      <c r="H13" s="2791"/>
      <c r="I13" s="2791"/>
      <c r="J13" s="2791"/>
      <c r="K13" s="2792"/>
    </row>
    <row r="14" spans="1:31" s="2116" customFormat="1" ht="13.5" customHeight="1">
      <c r="A14" s="2820" t="s">
        <v>1850</v>
      </c>
      <c r="B14" s="2821" t="s">
        <v>480</v>
      </c>
      <c r="C14" s="53">
        <f ca="1">ROUND(C13*F14,0)</f>
        <v>569</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1025</v>
      </c>
      <c r="D15" s="2822"/>
      <c r="E15" s="2823"/>
      <c r="F15" s="2825">
        <f>'数据-取费表'!B34</f>
        <v>0.06</v>
      </c>
      <c r="G15" s="2790" t="s">
        <v>483</v>
      </c>
      <c r="H15" s="2791"/>
      <c r="I15" s="2791"/>
      <c r="J15" s="2791"/>
      <c r="K15" s="2792"/>
    </row>
    <row r="16" spans="1:31" s="2117" customFormat="1" ht="13.5" customHeight="1">
      <c r="A16" s="2820" t="s">
        <v>1852</v>
      </c>
      <c r="B16" s="2821" t="s">
        <v>484</v>
      </c>
      <c r="C16" s="53">
        <f ca="1">ROUND(D16*E16/10000,0)</f>
        <v>1460</v>
      </c>
      <c r="D16" s="2822">
        <f ca="1">IF(B1="",'数据-汇总表'!E3,INDIRECT("'数据-取费表'!K"&amp;$K$1)+INDIRECT("'数据-取费表'!S"&amp;$K$1))</f>
        <v>72989.7</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285</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22317</v>
      </c>
      <c r="D18" s="2831"/>
      <c r="E18" s="468"/>
      <c r="F18" s="468"/>
      <c r="G18" s="2794" t="s">
        <v>2431</v>
      </c>
      <c r="H18" s="2795"/>
      <c r="I18" s="2795"/>
      <c r="J18" s="2795"/>
      <c r="K18" s="2796"/>
    </row>
    <row r="19" spans="1:14" s="2116" customFormat="1" ht="13.5" customHeight="1">
      <c r="A19" s="2828" t="s">
        <v>1855</v>
      </c>
      <c r="B19" s="2829" t="s">
        <v>488</v>
      </c>
      <c r="C19" s="2786">
        <f ca="1">ROUND(D19*E19/10000,0)</f>
        <v>1460</v>
      </c>
      <c r="D19" s="2832">
        <f ca="1">D16</f>
        <v>72989.7</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767</v>
      </c>
      <c r="D20" s="2832"/>
      <c r="E20" s="2786"/>
      <c r="F20" s="2833"/>
      <c r="G20" s="3064"/>
      <c r="H20" s="2788"/>
      <c r="I20" s="2789" t="s">
        <v>2652</v>
      </c>
      <c r="J20" s="2795"/>
      <c r="K20" s="2796"/>
    </row>
    <row r="21" spans="1:14" s="2116" customFormat="1" ht="13.5" customHeight="1">
      <c r="A21" s="2820" t="s">
        <v>1857</v>
      </c>
      <c r="B21" s="2821" t="s">
        <v>491</v>
      </c>
      <c r="C21" s="53">
        <f ca="1">ROUND(D21*E21/10000,0)</f>
        <v>690</v>
      </c>
      <c r="D21" s="2822">
        <f ca="1">IF(B1="",'数据-汇总表'!E5,IF(INDIRECT("'数据-取费表'!c"&amp;$K$1)="住宅",INDIRECT("'数据-取费表'!k"&amp;$K$1),0))</f>
        <v>65690.73</v>
      </c>
      <c r="E21" s="53">
        <f>'数据-取费表'!B27</f>
        <v>105</v>
      </c>
      <c r="F21" s="2825"/>
      <c r="G21" s="26"/>
      <c r="H21" s="51"/>
      <c r="I21" s="51"/>
      <c r="J21" s="51"/>
      <c r="K21" s="2797"/>
    </row>
    <row r="22" spans="1:14" s="2116" customFormat="1" ht="13.5" customHeight="1">
      <c r="A22" s="2820" t="s">
        <v>1858</v>
      </c>
      <c r="B22" s="2821" t="s">
        <v>492</v>
      </c>
      <c r="C22" s="53">
        <f ca="1">ROUND(D22*E22/10000,0)</f>
        <v>77</v>
      </c>
      <c r="D22" s="2822">
        <f ca="1">IF(B1="",'数据-汇总表'!E6,IF(INDIRECT("'数据-取费表'!c"&amp;$K$1)="住宅",INDIRECT("'数据-取费表'!s"&amp;$K$1),INDIRECT("'数据-取费表'!k"&amp;$K$1)+INDIRECT("'数据-取费表'!s"&amp;$K$1)))</f>
        <v>7298.9700000000012</v>
      </c>
      <c r="E22" s="53">
        <f>'数据-取费表'!B28</f>
        <v>105</v>
      </c>
      <c r="F22" s="2825"/>
      <c r="G22" s="26"/>
      <c r="H22" s="51"/>
      <c r="I22" s="51"/>
      <c r="J22" s="51"/>
      <c r="K22" s="2797"/>
    </row>
    <row r="23" spans="1:14" s="2116" customFormat="1" ht="13.5" customHeight="1">
      <c r="A23" s="2828" t="s">
        <v>1859</v>
      </c>
      <c r="B23" s="3010" t="s">
        <v>2835</v>
      </c>
      <c r="C23" s="2830">
        <f ca="1">ROUND((C18+C19+C20)*F23,0)</f>
        <v>491</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1057</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1239</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1239</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2818</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30149</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30149</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5218</v>
      </c>
      <c r="D33" s="467">
        <f ca="1">C34</f>
        <v>0.20580000000000001</v>
      </c>
      <c r="E33" s="469" t="s">
        <v>495</v>
      </c>
      <c r="F33" s="479">
        <f ca="1">IF(B1="",'数据-取费表'!Q16,INDIRECT("'数据-取费表'!q"&amp;$K$1))</f>
        <v>0.2</v>
      </c>
      <c r="G33" s="2794"/>
      <c r="H33" s="2795"/>
      <c r="I33" s="2795"/>
      <c r="J33" s="2795"/>
      <c r="K33" s="2796"/>
    </row>
    <row r="34" spans="1:11" s="2123" customFormat="1" ht="13.5" customHeight="1">
      <c r="A34" s="375" t="s">
        <v>1857</v>
      </c>
      <c r="B34" s="2841" t="s">
        <v>501</v>
      </c>
      <c r="C34" s="472">
        <f ca="1">ROUND((1+C25)*F33,4)</f>
        <v>0.20580000000000001</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5218</v>
      </c>
      <c r="D35" s="1630"/>
      <c r="E35" s="2842"/>
      <c r="F35" s="1631"/>
      <c r="G35" s="2800"/>
      <c r="H35" s="2801"/>
      <c r="I35" s="2801"/>
      <c r="J35" s="2801"/>
      <c r="K35" s="2802"/>
    </row>
    <row r="36" spans="1:11" s="2085" customFormat="1" ht="13.5" customHeight="1" thickBot="1">
      <c r="A36" s="284" t="s">
        <v>1845</v>
      </c>
      <c r="B36" s="2804"/>
      <c r="C36" s="2843">
        <f ca="1">ROUND((C6-C30-C33)/(1+D30+D33),0)</f>
        <v>13089</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2019年7月2日（评估专业人员勘察现场之日）</v>
      </c>
    </row>
    <row r="12" spans="1:4" ht="18.75">
      <c r="A12" s="1797" t="s">
        <v>2026</v>
      </c>
    </row>
    <row r="13" spans="1:4" ht="18.75">
      <c r="A13" s="1791" t="s">
        <v>2943</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I32" sqref="I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1" t="s">
        <v>952</v>
      </c>
      <c r="E1" s="2366" t="s">
        <v>2375</v>
      </c>
      <c r="F1" s="2367">
        <f ca="1">J53</f>
        <v>34.06</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5443</v>
      </c>
      <c r="C2" s="2057"/>
      <c r="D2" s="2055"/>
      <c r="E2" s="2056"/>
      <c r="F2" s="2056"/>
      <c r="G2" s="1591"/>
      <c r="H2" s="2057"/>
      <c r="I2" s="2057"/>
      <c r="J2" s="2057"/>
      <c r="K2" s="2058"/>
      <c r="L2" s="2057"/>
      <c r="M2" s="2057"/>
    </row>
    <row r="3" spans="1:33" ht="18" customHeight="1" thickBot="1">
      <c r="A3" s="833" t="s">
        <v>1728</v>
      </c>
      <c r="B3" s="834">
        <f ca="1">IF(ISERROR(B2*10000/F43),0,ROUND(B2*10000/F43,0))</f>
        <v>7457</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360</v>
      </c>
      <c r="D5" s="2475" t="s">
        <v>2462</v>
      </c>
      <c r="E5" s="2469"/>
      <c r="F5" s="2470"/>
      <c r="G5" s="1593"/>
      <c r="H5" s="781">
        <v>1</v>
      </c>
      <c r="I5" s="782" t="s">
        <v>2459</v>
      </c>
      <c r="J5" s="55">
        <f ca="1">J6+J10+J12</f>
        <v>0</v>
      </c>
      <c r="K5" s="2475" t="s">
        <v>2462</v>
      </c>
      <c r="L5" s="2469"/>
      <c r="M5" s="2470"/>
    </row>
    <row r="6" spans="1:33" ht="18" customHeight="1">
      <c r="A6" s="1830" t="s">
        <v>1825</v>
      </c>
      <c r="B6" s="3825" t="s">
        <v>2464</v>
      </c>
      <c r="C6" s="783">
        <f ca="1">ROUND(F6*F8*F7*(1-F9)/10000,0)</f>
        <v>360</v>
      </c>
      <c r="D6" s="2476" t="s">
        <v>2463</v>
      </c>
      <c r="E6" s="784" t="s">
        <v>1739</v>
      </c>
      <c r="F6" s="785">
        <f ca="1">INDIRECT("'数据-取费表'!u"&amp;$G$1)</f>
        <v>1.5</v>
      </c>
      <c r="G6" s="1593"/>
      <c r="H6" s="2483" t="s">
        <v>2469</v>
      </c>
      <c r="I6" s="3825" t="s">
        <v>2464</v>
      </c>
      <c r="J6" s="783">
        <f ca="1">ROUND(M6*M8*M7*(1-M9)/10000,0)</f>
        <v>0</v>
      </c>
      <c r="K6" s="341" t="s">
        <v>1738</v>
      </c>
      <c r="L6" s="784" t="s">
        <v>1739</v>
      </c>
      <c r="M6" s="785">
        <f ca="1">INDIRECT("'数据-取费表'!z"&amp;$G$1)</f>
        <v>0</v>
      </c>
    </row>
    <row r="7" spans="1:33" ht="18" customHeight="1">
      <c r="A7" s="2479"/>
      <c r="B7" s="3826"/>
      <c r="C7" s="788"/>
      <c r="D7" s="789"/>
      <c r="E7" s="784" t="s">
        <v>1740</v>
      </c>
      <c r="F7" s="785">
        <f ca="1">IF(INDIRECT("'数据-取费表'!ah"&amp;$G$1)="",INDIRECT("'数据-取费表'!k"&amp;$G$1),INDIRECT("'数据-取费表'!ah"&amp;$G$1))</f>
        <v>7298.9700000000012</v>
      </c>
      <c r="G7" s="1593"/>
      <c r="H7" s="2468"/>
      <c r="I7" s="3826"/>
      <c r="J7" s="788"/>
      <c r="K7" s="789"/>
      <c r="L7" s="784" t="s">
        <v>1740</v>
      </c>
      <c r="M7" s="785">
        <f ca="1">F7</f>
        <v>7298.9700000000012</v>
      </c>
    </row>
    <row r="8" spans="1:33" ht="18" customHeight="1">
      <c r="A8" s="2472"/>
      <c r="B8" s="3827"/>
      <c r="C8" s="788"/>
      <c r="D8" s="789"/>
      <c r="E8" s="784" t="s">
        <v>1741</v>
      </c>
      <c r="F8" s="785">
        <f ca="1">INDIRECT("'数据-取费表'!ai"&amp;$G$1)</f>
        <v>365</v>
      </c>
      <c r="G8" s="1593"/>
      <c r="H8" s="2468"/>
      <c r="I8" s="3827"/>
      <c r="J8" s="788"/>
      <c r="K8" s="789"/>
      <c r="L8" s="784" t="s">
        <v>1741</v>
      </c>
      <c r="M8" s="785">
        <f ca="1">INDIRECT("'数据-取费表'!ai"&amp;$G$1)</f>
        <v>365</v>
      </c>
    </row>
    <row r="9" spans="1:33" ht="18" customHeight="1">
      <c r="A9" s="786"/>
      <c r="B9" s="3828"/>
      <c r="C9" s="788"/>
      <c r="D9" s="789"/>
      <c r="E9" s="784" t="s">
        <v>1742</v>
      </c>
      <c r="F9" s="794">
        <f ca="1">INDIRECT("'数据-取费表'!w"&amp;$G$1)</f>
        <v>0.1</v>
      </c>
      <c r="G9" s="1593"/>
      <c r="H9" s="2484"/>
      <c r="I9" s="3827"/>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t="s">
        <v>3168</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2939</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1898</v>
      </c>
      <c r="D14" s="1979" t="s">
        <v>1746</v>
      </c>
      <c r="E14" s="1980"/>
      <c r="F14" s="805"/>
      <c r="G14" s="1593"/>
      <c r="H14" s="1650" t="s">
        <v>1831</v>
      </c>
      <c r="I14" s="2231" t="s">
        <v>2827</v>
      </c>
      <c r="J14" s="53">
        <f ca="1">C29</f>
        <v>2939</v>
      </c>
      <c r="K14" s="26"/>
      <c r="L14" s="801"/>
      <c r="M14" s="802"/>
    </row>
    <row r="15" spans="1:33" s="2064" customFormat="1" ht="18" customHeight="1" thickBot="1">
      <c r="A15" s="1649" t="s">
        <v>1886</v>
      </c>
      <c r="B15" s="784" t="s">
        <v>647</v>
      </c>
      <c r="C15" s="53">
        <f ca="1">ROUND(C14*F15,0)</f>
        <v>57</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277</v>
      </c>
      <c r="K16" s="1821" t="s">
        <v>1751</v>
      </c>
      <c r="L16" s="2465"/>
      <c r="M16" s="2470"/>
    </row>
    <row r="17" spans="1:33" s="2064" customFormat="1" ht="18" customHeight="1">
      <c r="A17" s="1649" t="s">
        <v>1888</v>
      </c>
      <c r="B17" s="784" t="s">
        <v>653</v>
      </c>
      <c r="C17" s="53">
        <f ca="1">ROUND(F17*(F43+INDIRECT("'数据-取费表'!S"&amp;$G$1))/10000,0)</f>
        <v>146</v>
      </c>
      <c r="D17" s="784" t="s">
        <v>1752</v>
      </c>
      <c r="E17" s="784" t="s">
        <v>1753</v>
      </c>
      <c r="F17" s="56">
        <f>'数据-取费表'!B35</f>
        <v>200</v>
      </c>
      <c r="G17" s="1594"/>
      <c r="H17" s="1650" t="s">
        <v>1831</v>
      </c>
      <c r="I17" s="784" t="s">
        <v>656</v>
      </c>
      <c r="J17" s="53">
        <f ca="1">ROUND(IF(项目基本情况!B11="自然人",J5*M17,J18+J19+J20),0)</f>
        <v>248</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28</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2129</v>
      </c>
      <c r="D19" s="261" t="s">
        <v>1758</v>
      </c>
      <c r="E19" s="1982"/>
      <c r="F19" s="56"/>
      <c r="G19" s="1593"/>
      <c r="H19" s="1649" t="s">
        <v>1886</v>
      </c>
      <c r="I19" s="784" t="s">
        <v>1759</v>
      </c>
      <c r="J19" s="53">
        <f ca="1">IF(K19="按租金收入计税",ROUND(J5*M19,1),ROUND(C29*F33*0.7,1))</f>
        <v>246.9</v>
      </c>
      <c r="K19" s="811" t="s">
        <v>665</v>
      </c>
      <c r="L19" s="784" t="s">
        <v>1748</v>
      </c>
      <c r="M19" s="809">
        <f>IF(K19="按租金收入计税",'数据-取费表'!B51,'数据-取费表'!B50)</f>
        <v>1.2E-2</v>
      </c>
    </row>
    <row r="20" spans="1:33" s="2064" customFormat="1" ht="18" customHeight="1">
      <c r="A20" s="1650" t="s">
        <v>1890</v>
      </c>
      <c r="B20" s="784" t="s">
        <v>666</v>
      </c>
      <c r="C20" s="53">
        <f ca="1">ROUND(C19*F20,0)</f>
        <v>43</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2085.42</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29</v>
      </c>
      <c r="K22" s="2463" t="s">
        <v>1770</v>
      </c>
      <c r="L22" s="784" t="s">
        <v>1748</v>
      </c>
      <c r="M22" s="817">
        <f ca="1">INDIRECT("'数据-取费表'!Ak"&amp;$G$1)</f>
        <v>0.01</v>
      </c>
    </row>
    <row r="23" spans="1:33" s="2064" customFormat="1" ht="18" customHeight="1">
      <c r="A23" s="1649" t="s">
        <v>1832</v>
      </c>
      <c r="B23" s="784" t="s">
        <v>2536</v>
      </c>
      <c r="C23" s="53">
        <f ca="1">ROUND(IF('数据-取费表'!B22&lt;=1,(C19+C20)*F24*F23/2,(C19+C20)*(POWER((1+F24),F23/2)-1)),0)</f>
        <v>103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-277</v>
      </c>
      <c r="K25" s="2527" t="s">
        <v>1778</v>
      </c>
      <c r="L25" s="2528"/>
      <c r="M25" s="2529"/>
    </row>
    <row r="26" spans="1:33" ht="18" customHeight="1">
      <c r="A26" s="1649" t="s">
        <v>1832</v>
      </c>
      <c r="B26" s="784" t="s">
        <v>2439</v>
      </c>
      <c r="C26" s="53">
        <f ca="1">ROUND((C19+C20)*F26,0)</f>
        <v>434</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2939</v>
      </c>
      <c r="D29" s="2524"/>
      <c r="E29" s="2525"/>
      <c r="F29" s="2526"/>
      <c r="G29" s="1594"/>
      <c r="H29" s="823" t="s">
        <v>1788</v>
      </c>
      <c r="I29" s="824" t="s">
        <v>1789</v>
      </c>
      <c r="J29" s="825">
        <f ca="1">ROUND(J26/(1+F40)^F41,0)</f>
        <v>0</v>
      </c>
      <c r="K29" s="826" t="s">
        <v>1790</v>
      </c>
      <c r="L29" s="827"/>
      <c r="M29" s="828">
        <f ca="1">INDIRECT("'数据-取费表'!k"&amp;$G$1)</f>
        <v>7298.9700000000012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99</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63.1</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19.2</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43.2</v>
      </c>
      <c r="D33" s="811" t="s">
        <v>3169</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0.7</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2085.42</v>
      </c>
      <c r="G35" s="2062"/>
      <c r="H35" s="2065"/>
      <c r="I35" s="837" t="s">
        <v>1815</v>
      </c>
      <c r="J35" s="838">
        <f ca="1">ROUND(C13*J36,0)</f>
        <v>250</v>
      </c>
      <c r="K35" s="2078"/>
      <c r="L35" s="2077"/>
      <c r="M35" s="2077"/>
    </row>
    <row r="36" spans="1:18" ht="18" customHeight="1">
      <c r="A36" s="1650" t="s">
        <v>1890</v>
      </c>
      <c r="B36" s="784" t="s">
        <v>1803</v>
      </c>
      <c r="C36" s="53">
        <f ca="1">ROUND(C29*F36,1)</f>
        <v>29.4</v>
      </c>
      <c r="D36" s="1977" t="s">
        <v>1804</v>
      </c>
      <c r="E36" s="784" t="s">
        <v>1797</v>
      </c>
      <c r="F36" s="817">
        <f ca="1">INDIRECT("'数据-取费表'!Ak"&amp;$G$1)</f>
        <v>0.01</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2.9</v>
      </c>
      <c r="D37" s="1977" t="s">
        <v>1805</v>
      </c>
      <c r="E37" s="784" t="s">
        <v>1797</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3.6</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261</v>
      </c>
      <c r="D39" s="2527" t="s">
        <v>1807</v>
      </c>
      <c r="E39" s="2528"/>
      <c r="F39" s="2529"/>
      <c r="G39" s="2062"/>
      <c r="H39" s="2077"/>
      <c r="I39" s="837" t="s">
        <v>1819</v>
      </c>
      <c r="J39" s="845">
        <f ca="1">ROUND(J35/C39,3)</f>
        <v>0.95799999999999996</v>
      </c>
      <c r="K39" s="2083"/>
      <c r="L39" s="2077"/>
      <c r="M39" s="2077"/>
    </row>
    <row r="40" spans="1:18" ht="18" customHeight="1">
      <c r="A40" s="781" t="s">
        <v>1896</v>
      </c>
      <c r="B40" s="2232" t="s">
        <v>2302</v>
      </c>
      <c r="C40" s="783">
        <f ca="1">ROUND(C39*(1-((1+F42)/(1+F40))^F41)/(F40-F42),0)</f>
        <v>5443</v>
      </c>
      <c r="D40" s="814" t="s">
        <v>1808</v>
      </c>
      <c r="E40" s="784" t="s">
        <v>2420</v>
      </c>
      <c r="F40" s="794">
        <f ca="1">INDIRECT("'数据-取费表'!I"&amp;$G$1)</f>
        <v>5.5E-2</v>
      </c>
      <c r="G40" s="2062"/>
      <c r="H40" s="2062"/>
      <c r="I40" s="837" t="s">
        <v>1820</v>
      </c>
      <c r="J40" s="845">
        <f ca="1">1-J39</f>
        <v>4.2000000000000037E-2</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34.06</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0.54</v>
      </c>
      <c r="K42" s="2082"/>
      <c r="L42" s="1988"/>
      <c r="M42" s="1988"/>
    </row>
    <row r="43" spans="1:18" ht="18" customHeight="1" thickBot="1">
      <c r="A43" s="823" t="s">
        <v>1788</v>
      </c>
      <c r="B43" s="824" t="s">
        <v>1811</v>
      </c>
      <c r="C43" s="825">
        <f ca="1">ROUND(C40*10000/F43,0)</f>
        <v>7457</v>
      </c>
      <c r="D43" s="826" t="s">
        <v>1812</v>
      </c>
      <c r="E43" s="827" t="s">
        <v>1813</v>
      </c>
      <c r="F43" s="828">
        <f ca="1">INDIRECT("'数据-取费表'!k"&amp;$G$1)</f>
        <v>7298.9700000000012</v>
      </c>
      <c r="G43" s="2062"/>
      <c r="H43" s="1988"/>
      <c r="I43" s="847" t="s">
        <v>1823</v>
      </c>
      <c r="J43" s="848">
        <f ca="1">1-J42</f>
        <v>0.45999999999999996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-5946</v>
      </c>
      <c r="D46" s="2085"/>
      <c r="E46" s="2085"/>
      <c r="F46" s="2085"/>
      <c r="I46" s="2357" t="s">
        <v>2344</v>
      </c>
      <c r="J46" s="2358"/>
      <c r="K46" s="2359"/>
      <c r="L46" s="3133"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3" t="s">
        <v>2345</v>
      </c>
      <c r="J47" s="2360" t="s">
        <v>3170</v>
      </c>
      <c r="K47" s="3130" t="s">
        <v>2350</v>
      </c>
      <c r="L47" s="3134">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1" t="s">
        <v>2352</v>
      </c>
      <c r="L48" s="1908">
        <f ca="1">INDIRECT("'数据-取费表'!f"&amp;$G$1)</f>
        <v>34.06</v>
      </c>
      <c r="O48" s="2377" t="s">
        <v>2380</v>
      </c>
      <c r="P48" s="2378" t="s">
        <v>2406</v>
      </c>
      <c r="Q48" s="2379">
        <f ca="1">C40+J29</f>
        <v>5443</v>
      </c>
      <c r="R48" s="2378" t="s">
        <v>2381</v>
      </c>
    </row>
    <row r="49" spans="1:18" s="2059" customFormat="1" ht="18" customHeight="1" thickBot="1">
      <c r="A49" s="786"/>
      <c r="B49" s="787"/>
      <c r="C49" s="788"/>
      <c r="D49" s="789"/>
      <c r="E49" s="784" t="s">
        <v>1740</v>
      </c>
      <c r="F49" s="785">
        <f ca="1">F7</f>
        <v>7298.9700000000012</v>
      </c>
      <c r="G49" s="2090"/>
      <c r="H49" s="2093"/>
      <c r="I49" s="3102" t="s">
        <v>2347</v>
      </c>
      <c r="J49" s="2362">
        <v>2019</v>
      </c>
      <c r="K49" s="3132"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27">
        <f>SUMPRODUCT((I63:I65=J47)*(J62:L62=J48)*(J63:L65))</f>
        <v>60</v>
      </c>
      <c r="K50" s="3132" t="s">
        <v>2354</v>
      </c>
      <c r="L50" s="2363"/>
      <c r="O50" s="2380" t="s">
        <v>2384</v>
      </c>
      <c r="P50" s="2378" t="s">
        <v>2408</v>
      </c>
      <c r="Q50" s="2379">
        <f ca="1">C29</f>
        <v>2939</v>
      </c>
      <c r="R50" s="2378" t="s">
        <v>2381</v>
      </c>
    </row>
    <row r="51" spans="1:18" s="2059" customFormat="1" ht="18" customHeight="1" thickBot="1">
      <c r="A51" s="786"/>
      <c r="B51" s="787"/>
      <c r="C51" s="788"/>
      <c r="D51" s="789"/>
      <c r="E51" s="784" t="s">
        <v>640</v>
      </c>
      <c r="F51" s="2350"/>
      <c r="H51" s="2093"/>
      <c r="I51" s="3124" t="s">
        <v>2349</v>
      </c>
      <c r="J51" s="3128">
        <f>IF(J49="",J50,J49+J50-YEAR('数据-取费表'!B2))</f>
        <v>60</v>
      </c>
      <c r="K51" s="3102" t="s">
        <v>2355</v>
      </c>
      <c r="L51" s="3135">
        <f ca="1">ROUND(-PV(INDIRECT("'数据-取费表'!h"&amp;$G$1),L48,(C39-C13*J36),0),0)</f>
        <v>181</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5" t="s">
        <v>2422</v>
      </c>
      <c r="J52" s="2364">
        <v>0.09</v>
      </c>
      <c r="K52" s="3125"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34.06</v>
      </c>
      <c r="K53" s="3842" t="s">
        <v>2968</v>
      </c>
      <c r="L53" s="3843"/>
      <c r="O53" s="2380" t="s">
        <v>2389</v>
      </c>
      <c r="P53" s="2378" t="s">
        <v>2390</v>
      </c>
      <c r="Q53" s="2379">
        <f ca="1">J53</f>
        <v>34.06</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5443</v>
      </c>
      <c r="R54" s="2382" t="s">
        <v>2393</v>
      </c>
    </row>
    <row r="55" spans="1:18" s="2059" customFormat="1" ht="18" customHeight="1" thickTop="1" thickBot="1">
      <c r="A55" s="797">
        <v>2</v>
      </c>
      <c r="B55" s="798" t="s">
        <v>644</v>
      </c>
      <c r="C55" s="799">
        <f ca="1">C13</f>
        <v>2939</v>
      </c>
      <c r="D55" s="795"/>
      <c r="E55" s="795"/>
      <c r="F55" s="800"/>
      <c r="I55" s="3138" t="s">
        <v>2356</v>
      </c>
      <c r="J55" s="3077" t="e">
        <f ca="1">ROUND(IF(J47="钢混",J57/J50,1-(1-2%)*(J50-J57)/J50),3)</f>
        <v>#VALUE!</v>
      </c>
      <c r="K55" s="3139" t="s">
        <v>2357</v>
      </c>
      <c r="L55" s="2365"/>
      <c r="O55" s="2383" t="s">
        <v>2412</v>
      </c>
      <c r="P55" s="1593"/>
      <c r="Q55" s="1605"/>
      <c r="R55" s="1593"/>
    </row>
    <row r="56" spans="1:18" s="2059" customFormat="1" ht="42.75" customHeight="1" thickBot="1">
      <c r="A56" s="1651"/>
      <c r="B56" s="2231" t="s">
        <v>2303</v>
      </c>
      <c r="C56" s="53">
        <f ca="1">C29</f>
        <v>2939</v>
      </c>
      <c r="D56" s="2618"/>
      <c r="E56" s="784"/>
      <c r="F56" s="809"/>
      <c r="I56" s="3140" t="s">
        <v>2358</v>
      </c>
      <c r="J56" s="3150"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33</v>
      </c>
      <c r="D57" s="26" t="s">
        <v>1751</v>
      </c>
      <c r="E57" s="2619"/>
      <c r="F57" s="56"/>
      <c r="I57" s="3141" t="s">
        <v>2359</v>
      </c>
      <c r="J57" s="3142" t="str">
        <f ca="1">IF(OR(M47="住宅",J51&lt;L48,J56="是"),"——",J51-L48)</f>
        <v>——</v>
      </c>
      <c r="K57" s="3102" t="s">
        <v>2364</v>
      </c>
      <c r="L57" s="1908" t="str">
        <f ca="1">IF(L48&lt;J51,"——",IF(L55="比较法",L49,IF(L55="基准地价",L50,L51)))</f>
        <v>——</v>
      </c>
      <c r="O57" s="2377" t="s">
        <v>2380</v>
      </c>
      <c r="P57" s="2378" t="s">
        <v>2410</v>
      </c>
      <c r="Q57" s="2379">
        <f ca="1">C40+J29</f>
        <v>5443</v>
      </c>
      <c r="R57" s="2378" t="s">
        <v>2381</v>
      </c>
    </row>
    <row r="58" spans="1:18" s="2059" customFormat="1" ht="28.5" customHeight="1" thickBot="1">
      <c r="A58" s="1650" t="s">
        <v>1825</v>
      </c>
      <c r="B58" s="784" t="s">
        <v>656</v>
      </c>
      <c r="C58" s="53">
        <f ca="1">ROUND(IF(项目基本情况!B11="自然人",C47*F58,C59+C60+C61),1)</f>
        <v>0.7</v>
      </c>
      <c r="D58" s="2617" t="s">
        <v>657</v>
      </c>
      <c r="E58" s="2618" t="s">
        <v>690</v>
      </c>
      <c r="F58" s="810" t="str">
        <f ca="1">IF(项目基本情况!B11="企业","",IF(INDIRECT("'数据-取费表'!c"&amp;$G$1)="住宅",5%,IF(F48*F49*F50/12/(1+'数据-取费表'!C42)&gt;20000,12%,7%)))</f>
        <v/>
      </c>
      <c r="I58" s="3141"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0.7</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2085.42</v>
      </c>
      <c r="I62" s="3146" t="s">
        <v>2368</v>
      </c>
      <c r="J62" s="3147" t="s">
        <v>2369</v>
      </c>
      <c r="K62" s="3147" t="s">
        <v>2370</v>
      </c>
      <c r="L62" s="3147" t="s">
        <v>2351</v>
      </c>
      <c r="M62" s="3148"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29.4</v>
      </c>
      <c r="D63" s="2618" t="s">
        <v>1804</v>
      </c>
      <c r="E63" s="784" t="s">
        <v>1748</v>
      </c>
      <c r="F63" s="817">
        <f t="shared" ca="1" si="0"/>
        <v>0.01</v>
      </c>
      <c r="I63" s="3146" t="s">
        <v>2371</v>
      </c>
      <c r="J63" s="3147">
        <v>70</v>
      </c>
      <c r="K63" s="3147">
        <v>50</v>
      </c>
      <c r="L63" s="3147">
        <v>80</v>
      </c>
      <c r="M63" s="3149">
        <v>0.02</v>
      </c>
      <c r="O63" s="2377" t="s">
        <v>2392</v>
      </c>
      <c r="P63" s="2378" t="s">
        <v>2409</v>
      </c>
      <c r="Q63" s="2379">
        <f ca="1">Q57+Q58</f>
        <v>5443</v>
      </c>
      <c r="R63" s="2382" t="s">
        <v>2393</v>
      </c>
    </row>
    <row r="64" spans="1:18" s="2059" customFormat="1" ht="16.5" thickBot="1">
      <c r="A64" s="1650" t="s">
        <v>1891</v>
      </c>
      <c r="B64" s="784" t="s">
        <v>679</v>
      </c>
      <c r="C64" s="53">
        <f ca="1">ROUND(C55*F64,1)</f>
        <v>2.9</v>
      </c>
      <c r="D64" s="2618" t="s">
        <v>680</v>
      </c>
      <c r="E64" s="784" t="s">
        <v>1748</v>
      </c>
      <c r="F64" s="818">
        <f t="shared" ca="1" si="0"/>
        <v>1E-3</v>
      </c>
      <c r="I64" s="3146" t="s">
        <v>2372</v>
      </c>
      <c r="J64" s="3147">
        <v>50</v>
      </c>
      <c r="K64" s="3147">
        <v>35</v>
      </c>
      <c r="L64" s="3147">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2823</v>
      </c>
      <c r="C66" s="799">
        <f ca="1">C47-C57</f>
        <v>-33</v>
      </c>
      <c r="D66" s="2617" t="s">
        <v>700</v>
      </c>
      <c r="E66" s="2616"/>
      <c r="F66" s="820"/>
      <c r="K66" s="2086"/>
      <c r="O66" s="2377" t="s">
        <v>2380</v>
      </c>
      <c r="P66" s="2378" t="s">
        <v>2410</v>
      </c>
      <c r="Q66" s="2379">
        <f ca="1">C40+J29</f>
        <v>5443</v>
      </c>
      <c r="R66" s="2378" t="s">
        <v>2381</v>
      </c>
    </row>
    <row r="67" spans="1:18" s="2059" customFormat="1" ht="20.25" thickBot="1">
      <c r="A67" s="781" t="s">
        <v>1781</v>
      </c>
      <c r="B67" s="2232" t="s">
        <v>2302</v>
      </c>
      <c r="C67" s="783">
        <f ca="1">ROUND(C66*(1-((1+F69)/(1+F67))^F68)/(F67-F69),0)</f>
        <v>-503</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34.06</v>
      </c>
      <c r="O68" s="2380" t="s">
        <v>2384</v>
      </c>
      <c r="P68" s="2378" t="s">
        <v>2414</v>
      </c>
      <c r="Q68" s="2384">
        <f ca="1">L51</f>
        <v>181</v>
      </c>
      <c r="R68" s="2385" t="s">
        <v>2417</v>
      </c>
    </row>
    <row r="69" spans="1:18" ht="20.25" thickBot="1">
      <c r="A69" s="790"/>
      <c r="B69" s="791"/>
      <c r="C69" s="792"/>
      <c r="D69" s="816"/>
      <c r="E69" s="784" t="s">
        <v>710</v>
      </c>
      <c r="F69" s="2350"/>
      <c r="O69" s="2380" t="s">
        <v>2385</v>
      </c>
      <c r="P69" s="2386" t="s">
        <v>2399</v>
      </c>
      <c r="Q69" s="2379">
        <f ca="1">ROUND(Q70-Q71*Q72,0)</f>
        <v>11</v>
      </c>
      <c r="R69" s="2382"/>
    </row>
    <row r="70" spans="1:18" ht="15.75" thickBot="1">
      <c r="A70" s="823" t="s">
        <v>1788</v>
      </c>
      <c r="B70" s="824" t="s">
        <v>1811</v>
      </c>
      <c r="C70" s="825">
        <f ca="1">ROUND(C67*10000/F70,0)</f>
        <v>-689</v>
      </c>
      <c r="D70" s="826" t="s">
        <v>1812</v>
      </c>
      <c r="E70" s="827" t="s">
        <v>1813</v>
      </c>
      <c r="F70" s="828">
        <f ca="1">F43</f>
        <v>7298.9700000000012</v>
      </c>
      <c r="O70" s="2380" t="s">
        <v>2400</v>
      </c>
      <c r="P70" s="2386" t="s">
        <v>2401</v>
      </c>
      <c r="Q70" s="2379">
        <f ca="1">C39</f>
        <v>261</v>
      </c>
      <c r="R70" s="2378" t="s">
        <v>2381</v>
      </c>
    </row>
    <row r="71" spans="1:18" ht="15.75" thickBot="1">
      <c r="O71" s="2380" t="s">
        <v>2402</v>
      </c>
      <c r="P71" s="2386" t="s">
        <v>2403</v>
      </c>
      <c r="Q71" s="2379">
        <f ca="1">C13</f>
        <v>2939</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5443</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44" t="s">
        <v>2472</v>
      </c>
      <c r="B1" s="3845"/>
      <c r="C1" s="3846"/>
      <c r="D1" s="3847">
        <f>SUM(I10,I15,I20,I21,I23)</f>
        <v>0</v>
      </c>
      <c r="E1" s="3847"/>
      <c r="F1" s="3847"/>
      <c r="G1" s="3847"/>
      <c r="H1" s="3847"/>
      <c r="I1" s="3848"/>
    </row>
    <row r="2" spans="1:9">
      <c r="A2" s="3849" t="s">
        <v>2473</v>
      </c>
      <c r="B2" s="3850" t="s">
        <v>2474</v>
      </c>
      <c r="C2" s="3850"/>
      <c r="D2" s="2486" t="s">
        <v>2475</v>
      </c>
      <c r="E2" s="2486" t="s">
        <v>2476</v>
      </c>
      <c r="F2" s="2486" t="s">
        <v>2477</v>
      </c>
      <c r="G2" s="2486" t="s">
        <v>2478</v>
      </c>
      <c r="H2" s="2486" t="s">
        <v>2479</v>
      </c>
      <c r="I2" s="2487" t="s">
        <v>2480</v>
      </c>
    </row>
    <row r="3" spans="1:9">
      <c r="A3" s="3849"/>
      <c r="B3" s="3850" t="s">
        <v>2481</v>
      </c>
      <c r="C3" s="3850"/>
      <c r="D3" s="2488"/>
      <c r="E3" s="2486"/>
      <c r="F3" s="2489"/>
      <c r="G3" s="2489"/>
      <c r="H3" s="2490"/>
      <c r="I3" s="2491">
        <f>ROUND(D3*E3*F3*G3*H3/10000,0)</f>
        <v>0</v>
      </c>
    </row>
    <row r="4" spans="1:9">
      <c r="A4" s="3849"/>
      <c r="B4" s="3850" t="s">
        <v>2482</v>
      </c>
      <c r="C4" s="3850"/>
      <c r="D4" s="2488"/>
      <c r="E4" s="2486"/>
      <c r="F4" s="2489"/>
      <c r="G4" s="2489"/>
      <c r="H4" s="2490"/>
      <c r="I4" s="2491">
        <f t="shared" ref="I4:I9" si="0">ROUND(D4*E4*F4*G4*H4/10000,0)</f>
        <v>0</v>
      </c>
    </row>
    <row r="5" spans="1:9">
      <c r="A5" s="3849"/>
      <c r="B5" s="3850" t="s">
        <v>2483</v>
      </c>
      <c r="C5" s="3850"/>
      <c r="D5" s="2488"/>
      <c r="E5" s="2486"/>
      <c r="F5" s="2489"/>
      <c r="G5" s="2489"/>
      <c r="H5" s="2490"/>
      <c r="I5" s="2491">
        <f t="shared" si="0"/>
        <v>0</v>
      </c>
    </row>
    <row r="6" spans="1:9">
      <c r="A6" s="3849"/>
      <c r="B6" s="3850" t="s">
        <v>2484</v>
      </c>
      <c r="C6" s="3850"/>
      <c r="D6" s="2488"/>
      <c r="E6" s="2486"/>
      <c r="F6" s="2489"/>
      <c r="G6" s="2489"/>
      <c r="H6" s="2490"/>
      <c r="I6" s="2491">
        <f t="shared" si="0"/>
        <v>0</v>
      </c>
    </row>
    <row r="7" spans="1:9">
      <c r="A7" s="3849"/>
      <c r="B7" s="3850" t="s">
        <v>2485</v>
      </c>
      <c r="C7" s="3850"/>
      <c r="D7" s="2488"/>
      <c r="E7" s="2486"/>
      <c r="F7" s="2489"/>
      <c r="G7" s="2489"/>
      <c r="H7" s="2490"/>
      <c r="I7" s="2491">
        <f t="shared" si="0"/>
        <v>0</v>
      </c>
    </row>
    <row r="8" spans="1:9">
      <c r="A8" s="3849"/>
      <c r="B8" s="3850" t="s">
        <v>2486</v>
      </c>
      <c r="C8" s="3850"/>
      <c r="D8" s="2488"/>
      <c r="E8" s="2486"/>
      <c r="F8" s="2489"/>
      <c r="G8" s="2489"/>
      <c r="H8" s="2490"/>
      <c r="I8" s="2491">
        <f t="shared" si="0"/>
        <v>0</v>
      </c>
    </row>
    <row r="9" spans="1:9">
      <c r="A9" s="3849"/>
      <c r="B9" s="3850" t="s">
        <v>2487</v>
      </c>
      <c r="C9" s="3850"/>
      <c r="D9" s="2488"/>
      <c r="E9" s="2486"/>
      <c r="F9" s="2489"/>
      <c r="G9" s="2489"/>
      <c r="H9" s="2490"/>
      <c r="I9" s="2491">
        <f t="shared" si="0"/>
        <v>0</v>
      </c>
    </row>
    <row r="10" spans="1:9">
      <c r="A10" s="3849"/>
      <c r="B10" s="3851" t="s">
        <v>2488</v>
      </c>
      <c r="C10" s="3851"/>
      <c r="D10" s="2492">
        <v>527</v>
      </c>
      <c r="E10" s="2492" t="e">
        <f>ROUND(D1*10000/D10/H9,0)</f>
        <v>#DIV/0!</v>
      </c>
      <c r="F10" s="2493"/>
      <c r="G10" s="2493"/>
      <c r="H10" s="2494"/>
      <c r="I10" s="2495">
        <f>SUM(I3:I9)</f>
        <v>0</v>
      </c>
    </row>
    <row r="11" spans="1:9" ht="14.25">
      <c r="A11" s="3849" t="s">
        <v>2489</v>
      </c>
      <c r="B11" s="3850" t="s">
        <v>2490</v>
      </c>
      <c r="C11" s="3850"/>
      <c r="D11" s="2488" t="s">
        <v>2491</v>
      </c>
      <c r="E11" s="2488" t="s">
        <v>2492</v>
      </c>
      <c r="F11" s="2489" t="s">
        <v>2493</v>
      </c>
      <c r="G11" s="2489" t="s">
        <v>2494</v>
      </c>
      <c r="H11" s="2496" t="s">
        <v>2495</v>
      </c>
      <c r="I11" s="2487" t="s">
        <v>2496</v>
      </c>
    </row>
    <row r="12" spans="1:9">
      <c r="A12" s="3849"/>
      <c r="B12" s="3850" t="s">
        <v>2497</v>
      </c>
      <c r="C12" s="3850"/>
      <c r="D12" s="2488"/>
      <c r="E12" s="2488"/>
      <c r="F12" s="2489"/>
      <c r="G12" s="2490"/>
      <c r="H12" s="2497"/>
      <c r="I12" s="2487">
        <f>ROUND(D12*E12*F12*G12/10000,0)</f>
        <v>0</v>
      </c>
    </row>
    <row r="13" spans="1:9">
      <c r="A13" s="3849"/>
      <c r="B13" s="3850" t="s">
        <v>2498</v>
      </c>
      <c r="C13" s="3850"/>
      <c r="D13" s="2488"/>
      <c r="E13" s="2488"/>
      <c r="F13" s="2489"/>
      <c r="G13" s="2490"/>
      <c r="H13" s="2497"/>
      <c r="I13" s="2487">
        <f>ROUND(D13*E13*F13*G13/10000,0)</f>
        <v>0</v>
      </c>
    </row>
    <row r="14" spans="1:9">
      <c r="A14" s="3849"/>
      <c r="B14" s="3850" t="s">
        <v>2499</v>
      </c>
      <c r="C14" s="3850"/>
      <c r="D14" s="2488"/>
      <c r="E14" s="2488"/>
      <c r="F14" s="2489"/>
      <c r="G14" s="2490"/>
      <c r="H14" s="2497"/>
      <c r="I14" s="2487">
        <f>ROUND(D14*E14*F14*G14/10000,0)</f>
        <v>0</v>
      </c>
    </row>
    <row r="15" spans="1:9">
      <c r="A15" s="3849"/>
      <c r="B15" s="3851" t="s">
        <v>2488</v>
      </c>
      <c r="C15" s="3851"/>
      <c r="D15" s="2492"/>
      <c r="E15" s="2492">
        <f>SUM(E12:E14)</f>
        <v>0</v>
      </c>
      <c r="F15" s="2493"/>
      <c r="G15" s="2490"/>
      <c r="H15" s="2497"/>
      <c r="I15" s="2498">
        <f>SUM(I12:I14)</f>
        <v>0</v>
      </c>
    </row>
    <row r="16" spans="1:9" ht="24">
      <c r="A16" s="3849" t="s">
        <v>2500</v>
      </c>
      <c r="B16" s="3850" t="s">
        <v>2501</v>
      </c>
      <c r="C16" s="3850"/>
      <c r="D16" s="2488" t="s">
        <v>2502</v>
      </c>
      <c r="E16" s="2499" t="s">
        <v>2503</v>
      </c>
      <c r="F16" s="2489" t="s">
        <v>2504</v>
      </c>
      <c r="G16" s="2490" t="s">
        <v>2494</v>
      </c>
      <c r="H16" s="2496" t="s">
        <v>2495</v>
      </c>
      <c r="I16" s="2487" t="s">
        <v>2496</v>
      </c>
    </row>
    <row r="17" spans="1:9" ht="14.25">
      <c r="A17" s="3849"/>
      <c r="B17" s="3850" t="s">
        <v>2505</v>
      </c>
      <c r="C17" s="3850"/>
      <c r="D17" s="2488"/>
      <c r="E17" s="2488"/>
      <c r="F17" s="2489"/>
      <c r="G17" s="2490"/>
      <c r="H17" s="2500"/>
      <c r="I17" s="2501">
        <f>ROUND(D17*E17*F17*G17/10000,0)</f>
        <v>0</v>
      </c>
    </row>
    <row r="18" spans="1:9" ht="14.25">
      <c r="A18" s="3849"/>
      <c r="B18" s="3850" t="s">
        <v>2506</v>
      </c>
      <c r="C18" s="3850"/>
      <c r="D18" s="2488"/>
      <c r="E18" s="2488"/>
      <c r="F18" s="2489"/>
      <c r="G18" s="2490"/>
      <c r="H18" s="2500"/>
      <c r="I18" s="2501">
        <f>ROUND(D18*E18*F18*G18/10000,0)</f>
        <v>0</v>
      </c>
    </row>
    <row r="19" spans="1:9" ht="14.25">
      <c r="A19" s="3849"/>
      <c r="B19" s="3850" t="s">
        <v>2507</v>
      </c>
      <c r="C19" s="3850"/>
      <c r="D19" s="2488"/>
      <c r="E19" s="2488"/>
      <c r="F19" s="2489"/>
      <c r="G19" s="2490"/>
      <c r="H19" s="2500"/>
      <c r="I19" s="2501">
        <f>ROUND(D19*E19*F19*G19/10000,0)</f>
        <v>0</v>
      </c>
    </row>
    <row r="20" spans="1:9">
      <c r="A20" s="3849"/>
      <c r="B20" s="3851" t="s">
        <v>2488</v>
      </c>
      <c r="C20" s="3851"/>
      <c r="D20" s="2492">
        <f>SUM(D17:D19)</f>
        <v>0</v>
      </c>
      <c r="E20" s="2492"/>
      <c r="F20" s="2493"/>
      <c r="G20" s="2490"/>
      <c r="H20" s="2497"/>
      <c r="I20" s="2498">
        <f>SUM(I17:I19)</f>
        <v>0</v>
      </c>
    </row>
    <row r="21" spans="1:9">
      <c r="A21" s="3849" t="s">
        <v>2508</v>
      </c>
      <c r="B21" s="3853"/>
      <c r="C21" s="3853"/>
      <c r="D21" s="3853"/>
      <c r="E21" s="3853"/>
      <c r="F21" s="3853"/>
      <c r="G21" s="3853"/>
      <c r="H21" s="2502">
        <v>0.1</v>
      </c>
      <c r="I21" s="2495">
        <f>ROUND(I10*H21,0)</f>
        <v>0</v>
      </c>
    </row>
    <row r="22" spans="1:9" ht="14.25">
      <c r="A22" s="3854" t="s">
        <v>2509</v>
      </c>
      <c r="B22" s="3855"/>
      <c r="C22" s="3856"/>
      <c r="D22" s="2503" t="s">
        <v>2510</v>
      </c>
      <c r="E22" s="2503" t="s">
        <v>2511</v>
      </c>
      <c r="F22" s="2504" t="s">
        <v>2512</v>
      </c>
      <c r="G22" s="2504" t="s">
        <v>2513</v>
      </c>
      <c r="H22" s="2496" t="s">
        <v>2514</v>
      </c>
      <c r="I22" s="2487" t="s">
        <v>2515</v>
      </c>
    </row>
    <row r="23" spans="1:9" ht="14.25" thickBot="1">
      <c r="A23" s="3857"/>
      <c r="B23" s="3858"/>
      <c r="C23" s="3859"/>
      <c r="D23" s="2505"/>
      <c r="E23" s="2505"/>
      <c r="F23" s="2505"/>
      <c r="G23" s="2506"/>
      <c r="H23" s="2507"/>
      <c r="I23" s="2508">
        <f>ROUND(E23*D23*F23*(1-G23)/10000,0)</f>
        <v>0</v>
      </c>
    </row>
    <row r="26" spans="1:9">
      <c r="A26" s="2509" t="s">
        <v>2516</v>
      </c>
      <c r="B26" s="2509"/>
      <c r="C26" s="2509"/>
      <c r="D26" s="2509"/>
      <c r="E26" s="3860">
        <f>C27-C30-C31-C32</f>
        <v>0</v>
      </c>
      <c r="F26" s="3860"/>
      <c r="G26" s="3860"/>
      <c r="H26" s="3019" t="s">
        <v>2844</v>
      </c>
    </row>
    <row r="27" spans="1:9">
      <c r="A27" s="2510">
        <v>1</v>
      </c>
      <c r="B27" s="2511" t="s">
        <v>2517</v>
      </c>
      <c r="C27" s="2511"/>
      <c r="D27" s="2511"/>
      <c r="E27" s="3861"/>
      <c r="F27" s="3861"/>
      <c r="G27" s="3861"/>
    </row>
    <row r="28" spans="1:9">
      <c r="A28" s="2512" t="s">
        <v>2518</v>
      </c>
      <c r="B28" s="2511" t="s">
        <v>2519</v>
      </c>
      <c r="C28" s="2511"/>
      <c r="D28" s="2511"/>
      <c r="E28" s="3861"/>
      <c r="F28" s="3861"/>
      <c r="G28" s="3861"/>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52"/>
      <c r="F32" s="3852"/>
      <c r="G32" s="3852"/>
    </row>
    <row r="33" spans="1:7" hidden="1">
      <c r="A33" s="3862" t="s">
        <v>2527</v>
      </c>
      <c r="B33" s="3863"/>
      <c r="C33" s="3863"/>
      <c r="D33" s="3864"/>
      <c r="E33" s="3860"/>
      <c r="F33" s="3860"/>
      <c r="G33" s="3860"/>
    </row>
    <row r="34" spans="1:7" hidden="1">
      <c r="A34" s="2514">
        <v>1</v>
      </c>
      <c r="B34" s="2511" t="s">
        <v>2528</v>
      </c>
      <c r="C34" s="2511"/>
      <c r="D34" s="2511"/>
      <c r="E34" s="3861"/>
      <c r="F34" s="3861"/>
      <c r="G34" s="3861"/>
    </row>
    <row r="35" spans="1:7" hidden="1">
      <c r="A35" s="2514">
        <v>2</v>
      </c>
      <c r="B35" s="2511" t="s">
        <v>2529</v>
      </c>
      <c r="C35" s="2511"/>
      <c r="D35" s="2511"/>
      <c r="E35" s="3861"/>
      <c r="F35" s="3861"/>
      <c r="G35" s="3861"/>
    </row>
    <row r="36" spans="1:7" hidden="1">
      <c r="A36" s="2514">
        <v>3</v>
      </c>
      <c r="B36" s="2511" t="s">
        <v>2530</v>
      </c>
      <c r="C36" s="2511"/>
      <c r="D36" s="2511"/>
      <c r="E36" s="3861"/>
      <c r="F36" s="3861"/>
      <c r="G36" s="3861"/>
    </row>
    <row r="37" spans="1:7" hidden="1">
      <c r="A37" s="2514">
        <v>4</v>
      </c>
      <c r="B37" s="2511" t="s">
        <v>2531</v>
      </c>
      <c r="C37" s="2511"/>
      <c r="D37" s="2511"/>
      <c r="E37" s="3861"/>
      <c r="F37" s="3861"/>
      <c r="G37" s="3861"/>
    </row>
    <row r="38" spans="1:7" hidden="1">
      <c r="A38" s="3862" t="s">
        <v>2532</v>
      </c>
      <c r="B38" s="3863"/>
      <c r="C38" s="3863"/>
      <c r="D38" s="3864"/>
      <c r="E38" s="3860"/>
      <c r="F38" s="3860"/>
      <c r="G38" s="38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72989.7</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690</v>
      </c>
      <c r="D12" s="758">
        <f>'数据-汇总表'!E5</f>
        <v>65690.73</v>
      </c>
      <c r="E12" s="757">
        <f>'数据-取费表'!B27</f>
        <v>105</v>
      </c>
      <c r="F12" s="755"/>
      <c r="G12" s="759"/>
    </row>
    <row r="13" spans="1:25" s="2183" customFormat="1" ht="13.5" customHeight="1">
      <c r="A13" s="2455" t="s">
        <v>2448</v>
      </c>
      <c r="B13" s="756" t="s">
        <v>612</v>
      </c>
      <c r="C13" s="757">
        <f>ROUND(D13*E13/10000,0)</f>
        <v>77</v>
      </c>
      <c r="D13" s="758">
        <f>'数据-汇总表'!E6</f>
        <v>7298.9700000000012</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0.2</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0.92700000000000005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268"/>
  <sheetViews>
    <sheetView zoomScale="85" zoomScaleNormal="85" workbookViewId="0">
      <selection activeCell="K11" sqref="K11"/>
    </sheetView>
  </sheetViews>
  <sheetFormatPr defaultColWidth="9" defaultRowHeight="14.25"/>
  <cols>
    <col min="1" max="1" width="10.5" style="3218" customWidth="1"/>
    <col min="2" max="2" width="15.75" style="3218" customWidth="1"/>
    <col min="3" max="3" width="15.125" style="3218" customWidth="1"/>
    <col min="4" max="4" width="12.25" style="3218" customWidth="1"/>
    <col min="5" max="5" width="14.375" style="3218" customWidth="1"/>
    <col min="6" max="6" width="12.25" style="3218" customWidth="1"/>
    <col min="7" max="7" width="14.5" style="3218" customWidth="1"/>
    <col min="8" max="8" width="12.25" style="3218" customWidth="1"/>
    <col min="9" max="9" width="14.5" style="3218" customWidth="1"/>
    <col min="10" max="10" width="12.25" style="3218" customWidth="1"/>
    <col min="11" max="11" width="12.25" style="3565" customWidth="1"/>
    <col min="12" max="12" width="12.25" style="3566" customWidth="1"/>
    <col min="13" max="15" width="12.25" style="3218" customWidth="1"/>
    <col min="16" max="16" width="4.75" style="3218" customWidth="1"/>
    <col min="17" max="17" width="19.5" style="3218" customWidth="1"/>
    <col min="18" max="22" width="6.125" style="3218" customWidth="1"/>
    <col min="23" max="23" width="5.75" style="3218" customWidth="1"/>
    <col min="24" max="24" width="4.25" style="3218" customWidth="1"/>
    <col min="25" max="25" width="3.5" style="3218" customWidth="1"/>
    <col min="26" max="26" width="19.75" style="3218" customWidth="1"/>
    <col min="27" max="28" width="9.375" style="3218" customWidth="1"/>
    <col min="29" max="16384" width="9" style="3218"/>
  </cols>
  <sheetData>
    <row r="1" spans="1:29" s="3199" customFormat="1" ht="28.5" customHeight="1">
      <c r="A1" s="3186" t="s">
        <v>3197</v>
      </c>
      <c r="B1" s="3187" t="s">
        <v>3198</v>
      </c>
      <c r="C1" s="3188" t="s">
        <v>3199</v>
      </c>
      <c r="D1" s="3189" t="s">
        <v>923</v>
      </c>
      <c r="E1" s="3190"/>
      <c r="F1" s="3191" t="s">
        <v>3023</v>
      </c>
      <c r="G1" s="3192" t="s">
        <v>3200</v>
      </c>
      <c r="H1" s="3193"/>
      <c r="I1" s="3193"/>
      <c r="J1" s="3193"/>
      <c r="K1" s="3194"/>
      <c r="L1" s="3195"/>
      <c r="M1" s="3196"/>
      <c r="N1" s="3196"/>
      <c r="O1" s="3196"/>
      <c r="P1" s="3197"/>
      <c r="Q1" s="3197"/>
      <c r="R1" s="3197"/>
      <c r="S1" s="3197"/>
      <c r="T1" s="3197"/>
      <c r="U1" s="3197"/>
      <c r="V1" s="3197"/>
      <c r="W1" s="3197"/>
      <c r="X1" s="3197"/>
      <c r="Y1" s="3197"/>
      <c r="Z1" s="3197"/>
      <c r="AA1" s="3197"/>
      <c r="AB1" s="3197"/>
      <c r="AC1" s="3198"/>
    </row>
    <row r="2" spans="1:29" s="3208" customFormat="1" ht="28.5" customHeight="1">
      <c r="A2" s="423" t="s">
        <v>3201</v>
      </c>
      <c r="B2" s="3200">
        <f>ROUND(B3*D3/10000,0)</f>
        <v>47396</v>
      </c>
      <c r="C2" s="3201"/>
      <c r="D2" s="3201"/>
      <c r="E2" s="3201"/>
      <c r="F2" s="3202"/>
      <c r="G2" s="3201"/>
      <c r="H2" s="3201"/>
      <c r="I2" s="3201"/>
      <c r="J2" s="3201"/>
      <c r="K2" s="3203"/>
      <c r="L2" s="3204"/>
      <c r="M2" s="3205"/>
      <c r="N2" s="3205"/>
      <c r="O2" s="3205"/>
      <c r="P2" s="3206"/>
      <c r="Q2" s="3206"/>
      <c r="R2" s="3206"/>
      <c r="S2" s="3206"/>
      <c r="T2" s="3206"/>
      <c r="U2" s="3206"/>
      <c r="V2" s="3206"/>
      <c r="W2" s="3206"/>
      <c r="X2" s="3206"/>
      <c r="Y2" s="3206"/>
      <c r="Z2" s="3206"/>
      <c r="AA2" s="3206"/>
      <c r="AB2" s="3206"/>
      <c r="AC2" s="3207"/>
    </row>
    <row r="3" spans="1:29" s="3208" customFormat="1" ht="28.5" customHeight="1" thickBot="1">
      <c r="A3" s="509" t="s">
        <v>3202</v>
      </c>
      <c r="B3" s="3209">
        <f>C49</f>
        <v>7215</v>
      </c>
      <c r="C3" s="3210" t="s">
        <v>3203</v>
      </c>
      <c r="D3" s="3209">
        <f>SUMIF('数据-汇总表'!$C19:$C33,D1,'数据-汇总表'!$E19:$E33)</f>
        <v>65690.73</v>
      </c>
      <c r="E3" s="3201"/>
      <c r="F3" s="3202"/>
      <c r="G3" s="3201"/>
      <c r="H3" s="3201"/>
      <c r="I3" s="3201"/>
      <c r="J3" s="3201"/>
      <c r="K3" s="3203"/>
      <c r="L3" s="3204"/>
      <c r="M3" s="3205"/>
      <c r="N3" s="3205"/>
      <c r="O3" s="3205"/>
      <c r="P3" s="3206"/>
      <c r="Q3" s="3206"/>
      <c r="R3" s="3206"/>
      <c r="S3" s="3206"/>
      <c r="T3" s="3206"/>
      <c r="U3" s="3206"/>
      <c r="V3" s="3206"/>
      <c r="W3" s="3206"/>
      <c r="X3" s="3206"/>
      <c r="Y3" s="3206"/>
      <c r="Z3" s="3206"/>
      <c r="AA3" s="3206"/>
      <c r="AB3" s="3206"/>
      <c r="AC3" s="3211"/>
    </row>
    <row r="4" spans="1:29" ht="15">
      <c r="A4" s="3212" t="s">
        <v>3204</v>
      </c>
      <c r="B4" s="3213"/>
      <c r="C4" s="3889" t="s">
        <v>3205</v>
      </c>
      <c r="D4" s="3890"/>
      <c r="E4" s="3891" t="s">
        <v>3206</v>
      </c>
      <c r="F4" s="3892"/>
      <c r="G4" s="3889" t="s">
        <v>3207</v>
      </c>
      <c r="H4" s="3890"/>
      <c r="I4" s="3889" t="s">
        <v>3208</v>
      </c>
      <c r="J4" s="3890"/>
      <c r="K4" s="3214" t="s">
        <v>3209</v>
      </c>
      <c r="L4" s="3215"/>
      <c r="M4" s="3216"/>
      <c r="N4" s="3216"/>
      <c r="O4" s="3216"/>
      <c r="P4" s="3893" t="s">
        <v>3210</v>
      </c>
      <c r="Q4" s="3894"/>
      <c r="R4" s="3879" t="s">
        <v>3211</v>
      </c>
      <c r="S4" s="3880"/>
      <c r="T4" s="3879" t="s">
        <v>3207</v>
      </c>
      <c r="U4" s="3880"/>
      <c r="V4" s="3878" t="s">
        <v>3208</v>
      </c>
      <c r="W4" s="3878"/>
      <c r="X4" s="3217"/>
      <c r="Y4" s="3879" t="s">
        <v>3210</v>
      </c>
      <c r="Z4" s="3880"/>
      <c r="AA4" s="3885" t="s">
        <v>3211</v>
      </c>
      <c r="AB4" s="3885" t="s">
        <v>3207</v>
      </c>
      <c r="AC4" s="3885" t="s">
        <v>3208</v>
      </c>
    </row>
    <row r="5" spans="1:29" ht="15">
      <c r="A5" s="3219"/>
      <c r="B5" s="3220"/>
      <c r="C5" s="3899" t="s">
        <v>3212</v>
      </c>
      <c r="D5" s="3900"/>
      <c r="E5" s="3901" t="s">
        <v>3366</v>
      </c>
      <c r="F5" s="3902"/>
      <c r="G5" s="3903" t="s">
        <v>3364</v>
      </c>
      <c r="H5" s="3900"/>
      <c r="I5" s="3903" t="s">
        <v>3365</v>
      </c>
      <c r="J5" s="3900"/>
      <c r="K5" s="3221"/>
      <c r="L5" s="3215"/>
      <c r="M5" s="3216"/>
      <c r="N5" s="3216"/>
      <c r="O5" s="3216"/>
      <c r="P5" s="3895"/>
      <c r="Q5" s="3896"/>
      <c r="R5" s="3881"/>
      <c r="S5" s="3882"/>
      <c r="T5" s="3881"/>
      <c r="U5" s="3882"/>
      <c r="V5" s="3878"/>
      <c r="W5" s="3878"/>
      <c r="X5" s="3217"/>
      <c r="Y5" s="3881"/>
      <c r="Z5" s="3882"/>
      <c r="AA5" s="3886"/>
      <c r="AB5" s="3886"/>
      <c r="AC5" s="3886"/>
    </row>
    <row r="6" spans="1:29" ht="15.75" thickBot="1">
      <c r="A6" s="3222"/>
      <c r="B6" s="3223"/>
      <c r="C6" s="3904" t="s">
        <v>3213</v>
      </c>
      <c r="D6" s="3905"/>
      <c r="E6" s="3906" t="s">
        <v>3213</v>
      </c>
      <c r="F6" s="3907"/>
      <c r="G6" s="3904" t="s">
        <v>3213</v>
      </c>
      <c r="H6" s="3905"/>
      <c r="I6" s="3904" t="s">
        <v>3213</v>
      </c>
      <c r="J6" s="3905"/>
      <c r="K6" s="3221" t="s">
        <v>3214</v>
      </c>
      <c r="L6" s="3215"/>
      <c r="M6" s="3216"/>
      <c r="N6" s="3216"/>
      <c r="O6" s="3216"/>
      <c r="P6" s="3897"/>
      <c r="Q6" s="3898"/>
      <c r="R6" s="3881"/>
      <c r="S6" s="3882"/>
      <c r="T6" s="3883"/>
      <c r="U6" s="3884"/>
      <c r="V6" s="3878"/>
      <c r="W6" s="3878"/>
      <c r="X6" s="3217"/>
      <c r="Y6" s="3883"/>
      <c r="Z6" s="3884"/>
      <c r="AA6" s="3887"/>
      <c r="AB6" s="3887"/>
      <c r="AC6" s="3887"/>
    </row>
    <row r="7" spans="1:29" s="3238" customFormat="1" ht="15.75" thickBot="1">
      <c r="A7" s="3224"/>
      <c r="B7" s="3225" t="s">
        <v>3215</v>
      </c>
      <c r="C7" s="3226">
        <f>'数据-取费表'!B2</f>
        <v>43648</v>
      </c>
      <c r="D7" s="3227">
        <v>100</v>
      </c>
      <c r="E7" s="3228">
        <v>43647</v>
      </c>
      <c r="F7" s="3229">
        <f>SUMIF(58:58,YEAR(E7)&amp;"-"&amp;MONTH(E7),59:59)</f>
        <v>100</v>
      </c>
      <c r="G7" s="3230">
        <f>E7</f>
        <v>43647</v>
      </c>
      <c r="H7" s="3227">
        <f>SUMIF(58:58,YEAR(G7)&amp;"-"&amp;MONTH(G7),59:59)</f>
        <v>100</v>
      </c>
      <c r="I7" s="3230">
        <f>E7</f>
        <v>43647</v>
      </c>
      <c r="J7" s="3227">
        <f>SUMIF(58:58,YEAR(I7)&amp;"-"&amp;MONTH(I7),59:59)</f>
        <v>100</v>
      </c>
      <c r="K7" s="3231"/>
      <c r="L7" s="3232"/>
      <c r="M7" s="3233"/>
      <c r="N7" s="3233"/>
      <c r="O7" s="3233"/>
      <c r="P7" s="3875" t="s">
        <v>3216</v>
      </c>
      <c r="Q7" s="3888"/>
      <c r="R7" s="3234" t="s">
        <v>3217</v>
      </c>
      <c r="S7" s="3235">
        <f t="shared" ref="S7:S15" si="0">F7</f>
        <v>100</v>
      </c>
      <c r="T7" s="3234" t="s">
        <v>3218</v>
      </c>
      <c r="U7" s="3235">
        <f t="shared" ref="U7:U15" si="1">H7</f>
        <v>100</v>
      </c>
      <c r="V7" s="3234" t="s">
        <v>3218</v>
      </c>
      <c r="W7" s="3235">
        <f t="shared" ref="W7:W15" si="2">J7</f>
        <v>100</v>
      </c>
      <c r="X7" s="3236"/>
      <c r="Y7" s="3875" t="s">
        <v>3216</v>
      </c>
      <c r="Z7" s="3876"/>
      <c r="AA7" s="3237">
        <f>D7/F7</f>
        <v>1</v>
      </c>
      <c r="AB7" s="3237">
        <f>D7/H7</f>
        <v>1</v>
      </c>
      <c r="AC7" s="3237">
        <f>D7/J7</f>
        <v>1</v>
      </c>
    </row>
    <row r="8" spans="1:29" s="3238" customFormat="1" ht="15.75" thickBot="1">
      <c r="A8" s="3239"/>
      <c r="B8" s="3240" t="s">
        <v>3219</v>
      </c>
      <c r="C8" s="3241" t="s">
        <v>3220</v>
      </c>
      <c r="D8" s="3227">
        <v>100</v>
      </c>
      <c r="E8" s="3241" t="s">
        <v>3220</v>
      </c>
      <c r="F8" s="3229">
        <f>SUMIF(61:61,E8,62:62)-SUMIF(61:61,C8,62:62)+100</f>
        <v>100</v>
      </c>
      <c r="G8" s="3241" t="s">
        <v>3220</v>
      </c>
      <c r="H8" s="3227">
        <f>SUMIF(61:61,G8,62:62)-SUMIF(61:61,C8,62:62)+100</f>
        <v>100</v>
      </c>
      <c r="I8" s="3241" t="s">
        <v>3220</v>
      </c>
      <c r="J8" s="3227">
        <f>SUMIF(61:61,I8,62:62)-SUMIF(61:61,C8,62:62)+100</f>
        <v>100</v>
      </c>
      <c r="K8" s="3231"/>
      <c r="L8" s="3232"/>
      <c r="M8" s="3233"/>
      <c r="N8" s="3233"/>
      <c r="O8" s="3233"/>
      <c r="P8" s="3875" t="s">
        <v>3221</v>
      </c>
      <c r="Q8" s="3876"/>
      <c r="R8" s="3234" t="s">
        <v>3222</v>
      </c>
      <c r="S8" s="3235">
        <f t="shared" si="0"/>
        <v>100</v>
      </c>
      <c r="T8" s="3234" t="s">
        <v>3222</v>
      </c>
      <c r="U8" s="3235">
        <f t="shared" si="1"/>
        <v>100</v>
      </c>
      <c r="V8" s="3234" t="s">
        <v>3222</v>
      </c>
      <c r="W8" s="3235">
        <f t="shared" si="2"/>
        <v>100</v>
      </c>
      <c r="X8" s="3236"/>
      <c r="Y8" s="3875" t="s">
        <v>3221</v>
      </c>
      <c r="Z8" s="3876"/>
      <c r="AA8" s="3237">
        <f t="shared" ref="AA8:AA46" si="3">D8/F8</f>
        <v>1</v>
      </c>
      <c r="AB8" s="3237">
        <f t="shared" ref="AB8:AB46" si="4">D8/H8</f>
        <v>1</v>
      </c>
      <c r="AC8" s="3237">
        <f t="shared" ref="AC8:AC46" si="5">D8/J8</f>
        <v>1</v>
      </c>
    </row>
    <row r="9" spans="1:29" s="3238" customFormat="1" ht="15">
      <c r="A9" s="3242"/>
      <c r="B9" s="3243" t="s">
        <v>3223</v>
      </c>
      <c r="C9" s="3244" t="s">
        <v>3224</v>
      </c>
      <c r="D9" s="3245">
        <v>100</v>
      </c>
      <c r="E9" s="3244" t="s">
        <v>3224</v>
      </c>
      <c r="F9" s="3246">
        <f>SUMIF(63:63,E9,64:64)-SUMIF(63:63,C9,64:64)+100</f>
        <v>100</v>
      </c>
      <c r="G9" s="3244" t="s">
        <v>3224</v>
      </c>
      <c r="H9" s="3245">
        <f>SUMIF(63:63,G9,64:64)-SUMIF(63:63,C9,64:64)+100</f>
        <v>100</v>
      </c>
      <c r="I9" s="3244" t="s">
        <v>3224</v>
      </c>
      <c r="J9" s="3245">
        <f>SUMIF(63:63,I9,64:64)-SUMIF(63:63,C9,64:64)+100</f>
        <v>100</v>
      </c>
      <c r="K9" s="3231"/>
      <c r="L9" s="3232"/>
      <c r="M9" s="3233"/>
      <c r="N9" s="3233"/>
      <c r="O9" s="3247"/>
      <c r="P9" s="3865" t="s">
        <v>3225</v>
      </c>
      <c r="Q9" s="3248" t="str">
        <f t="shared" ref="Q9:Q15" si="6">B9</f>
        <v>用途</v>
      </c>
      <c r="R9" s="3234" t="s">
        <v>3222</v>
      </c>
      <c r="S9" s="3235">
        <f t="shared" si="0"/>
        <v>100</v>
      </c>
      <c r="T9" s="3234" t="s">
        <v>3222</v>
      </c>
      <c r="U9" s="3235">
        <f t="shared" si="1"/>
        <v>100</v>
      </c>
      <c r="V9" s="3234" t="s">
        <v>3222</v>
      </c>
      <c r="W9" s="3235">
        <f t="shared" si="2"/>
        <v>100</v>
      </c>
      <c r="X9" s="3236"/>
      <c r="Y9" s="3877" t="s">
        <v>3226</v>
      </c>
      <c r="Z9" s="3249" t="str">
        <f t="shared" ref="Z9:Z15" si="7">Q9</f>
        <v>用途</v>
      </c>
      <c r="AA9" s="3237">
        <f t="shared" si="3"/>
        <v>1</v>
      </c>
      <c r="AB9" s="3237">
        <f t="shared" si="4"/>
        <v>1</v>
      </c>
      <c r="AC9" s="3237">
        <f t="shared" si="5"/>
        <v>1</v>
      </c>
    </row>
    <row r="10" spans="1:29" s="3259" customFormat="1" ht="27">
      <c r="A10" s="3250"/>
      <c r="B10" s="3240" t="s">
        <v>3227</v>
      </c>
      <c r="C10" s="3251" t="s">
        <v>3021</v>
      </c>
      <c r="D10" s="3252">
        <v>100</v>
      </c>
      <c r="E10" s="3253" t="s">
        <v>3021</v>
      </c>
      <c r="F10" s="3254">
        <f>SUMIF(65:65,E10,66:66)-SUMIF(65:65,C10,66:66)+100</f>
        <v>100</v>
      </c>
      <c r="G10" s="3251" t="s">
        <v>3021</v>
      </c>
      <c r="H10" s="3252">
        <f>SUMIF(65:65,G10,66:66)-SUMIF(65:65,C10,66:66)+100</f>
        <v>100</v>
      </c>
      <c r="I10" s="3251" t="s">
        <v>3021</v>
      </c>
      <c r="J10" s="3252">
        <f>SUMIF(65:65,I10,66:66)-SUMIF(65:65,C10,66:66)+100</f>
        <v>100</v>
      </c>
      <c r="K10" s="3255">
        <v>2</v>
      </c>
      <c r="L10" s="3256"/>
      <c r="M10" s="3257"/>
      <c r="N10" s="3257"/>
      <c r="O10" s="3258"/>
      <c r="P10" s="3865"/>
      <c r="Q10" s="3248" t="str">
        <f t="shared" si="6"/>
        <v>土地使用年限（年）</v>
      </c>
      <c r="R10" s="3234" t="s">
        <v>3228</v>
      </c>
      <c r="S10" s="3235">
        <f t="shared" si="0"/>
        <v>100</v>
      </c>
      <c r="T10" s="3234" t="s">
        <v>3228</v>
      </c>
      <c r="U10" s="3235">
        <f t="shared" si="1"/>
        <v>100</v>
      </c>
      <c r="V10" s="3234" t="s">
        <v>3228</v>
      </c>
      <c r="W10" s="3235">
        <f t="shared" si="2"/>
        <v>100</v>
      </c>
      <c r="X10" s="3236"/>
      <c r="Y10" s="3877"/>
      <c r="Z10" s="3249" t="str">
        <f t="shared" si="7"/>
        <v>土地使用年限（年）</v>
      </c>
      <c r="AA10" s="3237">
        <f t="shared" si="3"/>
        <v>1</v>
      </c>
      <c r="AB10" s="3237">
        <f t="shared" si="4"/>
        <v>1</v>
      </c>
      <c r="AC10" s="3237">
        <f t="shared" si="5"/>
        <v>1</v>
      </c>
    </row>
    <row r="11" spans="1:29" ht="15">
      <c r="A11" s="3260"/>
      <c r="B11" s="3240" t="s">
        <v>3229</v>
      </c>
      <c r="C11" s="3261">
        <f>'数据-基础表'!A15</f>
        <v>3.5</v>
      </c>
      <c r="D11" s="3252">
        <v>100</v>
      </c>
      <c r="E11" s="3262">
        <v>3</v>
      </c>
      <c r="F11" s="3254">
        <f>LOOKUP(E11,68:68,69:69)-LOOKUP(C11,68:68,69:69)+100</f>
        <v>100</v>
      </c>
      <c r="G11" s="3261">
        <v>3.13</v>
      </c>
      <c r="H11" s="3252">
        <f>LOOKUP(G11,68:68,69:69)-LOOKUP(C11,68:68,69:69)+100</f>
        <v>100</v>
      </c>
      <c r="I11" s="3261">
        <v>3</v>
      </c>
      <c r="J11" s="3252">
        <f>LOOKUP(I11,68:68,69:69)-LOOKUP(C11,68:68,69:69)+100</f>
        <v>100</v>
      </c>
      <c r="K11" s="3255">
        <v>2</v>
      </c>
      <c r="L11" s="3263"/>
      <c r="M11" s="3216"/>
      <c r="N11" s="3216"/>
      <c r="O11" s="3264"/>
      <c r="P11" s="3865"/>
      <c r="Q11" s="3248" t="str">
        <f t="shared" si="6"/>
        <v>容积率</v>
      </c>
      <c r="R11" s="3234" t="s">
        <v>3228</v>
      </c>
      <c r="S11" s="3235">
        <f t="shared" si="0"/>
        <v>100</v>
      </c>
      <c r="T11" s="3234" t="s">
        <v>3228</v>
      </c>
      <c r="U11" s="3235">
        <f t="shared" si="1"/>
        <v>100</v>
      </c>
      <c r="V11" s="3234" t="s">
        <v>3228</v>
      </c>
      <c r="W11" s="3235">
        <f t="shared" si="2"/>
        <v>100</v>
      </c>
      <c r="X11" s="3236"/>
      <c r="Y11" s="3877"/>
      <c r="Z11" s="3249" t="str">
        <f t="shared" si="7"/>
        <v>容积率</v>
      </c>
      <c r="AA11" s="3237">
        <f t="shared" si="3"/>
        <v>1</v>
      </c>
      <c r="AB11" s="3237">
        <f t="shared" si="4"/>
        <v>1</v>
      </c>
      <c r="AC11" s="3237">
        <f t="shared" si="5"/>
        <v>1</v>
      </c>
    </row>
    <row r="12" spans="1:29" s="3238" customFormat="1" ht="15">
      <c r="A12" s="3265"/>
      <c r="B12" s="3266">
        <v>111</v>
      </c>
      <c r="C12" s="3267"/>
      <c r="D12" s="3268">
        <v>100</v>
      </c>
      <c r="E12" s="3267"/>
      <c r="F12" s="3254">
        <f>SUMIF(70:70,E12,71:71)-SUMIF(70:70,C12,71:71)+100</f>
        <v>100</v>
      </c>
      <c r="G12" s="3267"/>
      <c r="H12" s="3252">
        <f>SUMIF(70:70,G12,71:71)-SUMIF(70:70,C12,71:71)+100</f>
        <v>100</v>
      </c>
      <c r="I12" s="3267"/>
      <c r="J12" s="3252">
        <f>SUMIF(70:70,I12,71:71)-SUMIF(70:70,C12,71:71)+100</f>
        <v>100</v>
      </c>
      <c r="K12" s="3269"/>
      <c r="L12" s="3232"/>
      <c r="M12" s="3233"/>
      <c r="N12" s="3233"/>
      <c r="O12" s="3247"/>
      <c r="P12" s="3865"/>
      <c r="Q12" s="3248">
        <f t="shared" si="6"/>
        <v>111</v>
      </c>
      <c r="R12" s="3234" t="s">
        <v>3228</v>
      </c>
      <c r="S12" s="3235">
        <f t="shared" si="0"/>
        <v>100</v>
      </c>
      <c r="T12" s="3234" t="s">
        <v>3228</v>
      </c>
      <c r="U12" s="3235">
        <f t="shared" si="1"/>
        <v>100</v>
      </c>
      <c r="V12" s="3234" t="s">
        <v>3228</v>
      </c>
      <c r="W12" s="3235">
        <f t="shared" si="2"/>
        <v>100</v>
      </c>
      <c r="X12" s="3236"/>
      <c r="Y12" s="3877"/>
      <c r="Z12" s="3249">
        <f t="shared" si="7"/>
        <v>111</v>
      </c>
      <c r="AA12" s="3237">
        <f>D12/F12</f>
        <v>1</v>
      </c>
      <c r="AB12" s="3237">
        <f>D12/H12</f>
        <v>1</v>
      </c>
      <c r="AC12" s="3237">
        <f>D12/J12</f>
        <v>1</v>
      </c>
    </row>
    <row r="13" spans="1:29" ht="15">
      <c r="A13" s="3265"/>
      <c r="B13" s="3266">
        <v>111</v>
      </c>
      <c r="C13" s="3270"/>
      <c r="D13" s="3271">
        <v>100</v>
      </c>
      <c r="E13" s="3270"/>
      <c r="F13" s="3254">
        <f>SUMIF(72:72,E13,73:73)-SUMIF(72:72,C13,73:73)+100</f>
        <v>100</v>
      </c>
      <c r="G13" s="3270"/>
      <c r="H13" s="3271">
        <f>SUMIF(72:72,G13,73:73)-SUMIF(72:72,C13,73:73)+100</f>
        <v>100</v>
      </c>
      <c r="I13" s="3270"/>
      <c r="J13" s="3271">
        <f>SUMIF(72:72,I13,73:73)-SUMIF(72:72,C13,73:73)+100</f>
        <v>100</v>
      </c>
      <c r="K13" s="3269"/>
      <c r="L13" s="3272"/>
      <c r="M13" s="3216"/>
      <c r="N13" s="3216"/>
      <c r="O13" s="3264"/>
      <c r="P13" s="3865"/>
      <c r="Q13" s="3248">
        <f t="shared" si="6"/>
        <v>111</v>
      </c>
      <c r="R13" s="3234" t="s">
        <v>3228</v>
      </c>
      <c r="S13" s="3235">
        <f t="shared" si="0"/>
        <v>100</v>
      </c>
      <c r="T13" s="3234" t="s">
        <v>3228</v>
      </c>
      <c r="U13" s="3235">
        <f t="shared" si="1"/>
        <v>100</v>
      </c>
      <c r="V13" s="3234" t="s">
        <v>3228</v>
      </c>
      <c r="W13" s="3235">
        <f t="shared" si="2"/>
        <v>100</v>
      </c>
      <c r="X13" s="3236"/>
      <c r="Y13" s="3877"/>
      <c r="Z13" s="3249">
        <f t="shared" si="7"/>
        <v>111</v>
      </c>
      <c r="AA13" s="3237">
        <f t="shared" si="3"/>
        <v>1</v>
      </c>
      <c r="AB13" s="3237">
        <f t="shared" si="4"/>
        <v>1</v>
      </c>
      <c r="AC13" s="3237">
        <f t="shared" si="5"/>
        <v>1</v>
      </c>
    </row>
    <row r="14" spans="1:29" ht="15.75" thickBot="1">
      <c r="A14" s="3273"/>
      <c r="B14" s="3274">
        <v>111</v>
      </c>
      <c r="C14" s="3275"/>
      <c r="D14" s="3276">
        <v>100</v>
      </c>
      <c r="E14" s="3275"/>
      <c r="F14" s="3277">
        <f>SUMIF(74:74,E14,75:75)-SUMIF(74:74,C14,75:75)+100</f>
        <v>100</v>
      </c>
      <c r="G14" s="3275"/>
      <c r="H14" s="3276">
        <f>SUMIF(74:74,G14,75:75)-SUMIF(74:74,C14,75:75)+100</f>
        <v>100</v>
      </c>
      <c r="I14" s="3275"/>
      <c r="J14" s="3276">
        <f>SUMIF(74:74,I14,75:75)-SUMIF(74:74,C14,75:75)+100</f>
        <v>100</v>
      </c>
      <c r="K14" s="3269"/>
      <c r="L14" s="3272"/>
      <c r="M14" s="3216"/>
      <c r="N14" s="3216"/>
      <c r="O14" s="3264"/>
      <c r="P14" s="3865"/>
      <c r="Q14" s="3248">
        <f t="shared" si="6"/>
        <v>111</v>
      </c>
      <c r="R14" s="3234" t="s">
        <v>3228</v>
      </c>
      <c r="S14" s="3235">
        <f t="shared" si="0"/>
        <v>100</v>
      </c>
      <c r="T14" s="3234" t="s">
        <v>3228</v>
      </c>
      <c r="U14" s="3235">
        <f t="shared" si="1"/>
        <v>100</v>
      </c>
      <c r="V14" s="3234" t="s">
        <v>3228</v>
      </c>
      <c r="W14" s="3235">
        <f t="shared" si="2"/>
        <v>100</v>
      </c>
      <c r="X14" s="3236"/>
      <c r="Y14" s="3877"/>
      <c r="Z14" s="3249">
        <f t="shared" si="7"/>
        <v>111</v>
      </c>
      <c r="AA14" s="3237">
        <f t="shared" si="3"/>
        <v>1</v>
      </c>
      <c r="AB14" s="3237">
        <f t="shared" si="4"/>
        <v>1</v>
      </c>
      <c r="AC14" s="3237">
        <f t="shared" si="5"/>
        <v>1</v>
      </c>
    </row>
    <row r="15" spans="1:29" ht="99.75">
      <c r="A15" s="3278" t="s">
        <v>3230</v>
      </c>
      <c r="B15" s="3279" t="s">
        <v>3231</v>
      </c>
      <c r="C15" s="3568" t="str">
        <f>估价对象房地状况!C3</f>
        <v>估价对象周边居住用地比例、居住小区规模和社区发展完善程度，综合评价居住社区成熟度一般</v>
      </c>
      <c r="D15" s="3280">
        <v>100</v>
      </c>
      <c r="E15" s="3567" t="s">
        <v>3346</v>
      </c>
      <c r="F15" s="3281">
        <f>SUMIF(76:76,E16,77:77)-SUMIF(76:76,C16,77:77)+100</f>
        <v>105</v>
      </c>
      <c r="G15" s="3567" t="s">
        <v>3346</v>
      </c>
      <c r="H15" s="3280">
        <f>SUMIF(76:76,G16,77:77)-SUMIF(76:76,C16,77:77)+100</f>
        <v>105</v>
      </c>
      <c r="I15" s="3567" t="s">
        <v>3346</v>
      </c>
      <c r="J15" s="3280">
        <f>SUMIF(76:76,I16,77:77)-SUMIF(76:76,C16,77:77)+100</f>
        <v>105</v>
      </c>
      <c r="K15" s="3282">
        <v>5</v>
      </c>
      <c r="L15" s="3272"/>
      <c r="M15" s="3216"/>
      <c r="N15" s="3216"/>
      <c r="O15" s="3264"/>
      <c r="P15" s="3870" t="s">
        <v>3232</v>
      </c>
      <c r="Q15" s="3283" t="str">
        <f t="shared" si="6"/>
        <v>居住社区成熟度</v>
      </c>
      <c r="R15" s="3284" t="s">
        <v>3218</v>
      </c>
      <c r="S15" s="3285">
        <f t="shared" si="0"/>
        <v>105</v>
      </c>
      <c r="T15" s="3284" t="s">
        <v>3218</v>
      </c>
      <c r="U15" s="3285">
        <f t="shared" si="1"/>
        <v>105</v>
      </c>
      <c r="V15" s="3284" t="s">
        <v>3218</v>
      </c>
      <c r="W15" s="3285">
        <f t="shared" si="2"/>
        <v>105</v>
      </c>
      <c r="X15" s="3217"/>
      <c r="Y15" s="3870" t="s">
        <v>3232</v>
      </c>
      <c r="Z15" s="3286" t="str">
        <f t="shared" si="7"/>
        <v>居住社区成熟度</v>
      </c>
      <c r="AA15" s="3287">
        <f t="shared" si="3"/>
        <v>0.95238095238095233</v>
      </c>
      <c r="AB15" s="3287">
        <f t="shared" si="4"/>
        <v>0.95238095238095233</v>
      </c>
      <c r="AC15" s="3287">
        <f t="shared" si="5"/>
        <v>0.95238095238095233</v>
      </c>
    </row>
    <row r="16" spans="1:29" ht="15.75" thickBot="1">
      <c r="A16" s="3288"/>
      <c r="B16" s="3289"/>
      <c r="C16" s="3290" t="s">
        <v>3233</v>
      </c>
      <c r="D16" s="3291"/>
      <c r="E16" s="3290" t="s">
        <v>3234</v>
      </c>
      <c r="F16" s="3292"/>
      <c r="G16" s="3290" t="s">
        <v>3234</v>
      </c>
      <c r="H16" s="3293"/>
      <c r="I16" s="3290" t="s">
        <v>3234</v>
      </c>
      <c r="J16" s="3291"/>
      <c r="K16" s="3294"/>
      <c r="L16" s="3272"/>
      <c r="M16" s="3216"/>
      <c r="N16" s="3216"/>
      <c r="O16" s="3264"/>
      <c r="P16" s="3871"/>
      <c r="Q16" s="3283"/>
      <c r="R16" s="3284"/>
      <c r="S16" s="3285"/>
      <c r="T16" s="3284"/>
      <c r="U16" s="3285"/>
      <c r="V16" s="3284"/>
      <c r="W16" s="3285"/>
      <c r="X16" s="3217"/>
      <c r="Y16" s="3871"/>
      <c r="Z16" s="3286"/>
      <c r="AA16" s="3287">
        <v>1</v>
      </c>
      <c r="AB16" s="3287">
        <v>1</v>
      </c>
      <c r="AC16" s="3287">
        <v>1</v>
      </c>
    </row>
    <row r="17" spans="1:29" ht="85.5">
      <c r="A17" s="3288"/>
      <c r="B17" s="3295" t="s">
        <v>3235</v>
      </c>
      <c r="C17" s="3296" t="str">
        <f>估价对象房地状况!C6</f>
        <v>估价对象周边道路状况、公共交通通达情况、停车便捷程度，综合评价交通便捷度较好</v>
      </c>
      <c r="D17" s="3293">
        <v>100</v>
      </c>
      <c r="E17" s="3567" t="s">
        <v>3350</v>
      </c>
      <c r="F17" s="3298">
        <f>SUMIF(78:78,E18,79:79)-SUMIF(78:78,C18,79:79)+100</f>
        <v>102</v>
      </c>
      <c r="G17" s="3567" t="s">
        <v>3351</v>
      </c>
      <c r="H17" s="3300">
        <f>SUMIF(78:78,G18,79:79)-SUMIF(78:78,C18,79:79)+100</f>
        <v>102</v>
      </c>
      <c r="I17" s="3567" t="s">
        <v>3351</v>
      </c>
      <c r="J17" s="3300">
        <f>SUMIF(78:78,I18,79:79)-SUMIF(78:78,C18,79:79)+100</f>
        <v>102</v>
      </c>
      <c r="K17" s="3282">
        <v>2</v>
      </c>
      <c r="L17" s="3272"/>
      <c r="M17" s="3216"/>
      <c r="N17" s="3216"/>
      <c r="O17" s="3264"/>
      <c r="P17" s="3871"/>
      <c r="Q17" s="3283" t="str">
        <f>B17</f>
        <v>交通便捷度</v>
      </c>
      <c r="R17" s="3284" t="s">
        <v>3218</v>
      </c>
      <c r="S17" s="3285">
        <f>F17</f>
        <v>102</v>
      </c>
      <c r="T17" s="3284" t="s">
        <v>3218</v>
      </c>
      <c r="U17" s="3285">
        <f>H17</f>
        <v>102</v>
      </c>
      <c r="V17" s="3284" t="s">
        <v>3218</v>
      </c>
      <c r="W17" s="3285">
        <f>J17</f>
        <v>102</v>
      </c>
      <c r="X17" s="3217"/>
      <c r="Y17" s="3871"/>
      <c r="Z17" s="3286" t="str">
        <f>Q17</f>
        <v>交通便捷度</v>
      </c>
      <c r="AA17" s="3287">
        <f t="shared" si="3"/>
        <v>0.98039215686274506</v>
      </c>
      <c r="AB17" s="3287">
        <f t="shared" si="4"/>
        <v>0.98039215686274506</v>
      </c>
      <c r="AC17" s="3287">
        <f t="shared" si="5"/>
        <v>0.98039215686274506</v>
      </c>
    </row>
    <row r="18" spans="1:29" ht="15">
      <c r="A18" s="3288"/>
      <c r="B18" s="3301"/>
      <c r="C18" s="3290" t="s">
        <v>3233</v>
      </c>
      <c r="D18" s="3293"/>
      <c r="E18" s="3290" t="s">
        <v>3234</v>
      </c>
      <c r="F18" s="3298"/>
      <c r="G18" s="3290" t="s">
        <v>3234</v>
      </c>
      <c r="H18" s="3291"/>
      <c r="I18" s="3290" t="s">
        <v>3234</v>
      </c>
      <c r="J18" s="3291"/>
      <c r="K18" s="3294"/>
      <c r="L18" s="3272"/>
      <c r="M18" s="3216"/>
      <c r="N18" s="3216"/>
      <c r="O18" s="3264"/>
      <c r="P18" s="3871"/>
      <c r="Q18" s="3283"/>
      <c r="R18" s="3284"/>
      <c r="S18" s="3285"/>
      <c r="T18" s="3284"/>
      <c r="U18" s="3285"/>
      <c r="V18" s="3284"/>
      <c r="W18" s="3285"/>
      <c r="X18" s="3217"/>
      <c r="Y18" s="3871"/>
      <c r="Z18" s="3286"/>
      <c r="AA18" s="3287">
        <v>1</v>
      </c>
      <c r="AB18" s="3287">
        <v>1</v>
      </c>
      <c r="AC18" s="3287">
        <v>1</v>
      </c>
    </row>
    <row r="19" spans="1:29" ht="42.75">
      <c r="A19" s="3288"/>
      <c r="B19" s="3302" t="s">
        <v>3236</v>
      </c>
      <c r="C19" s="3296" t="str">
        <f>估价对象房地状况!C7</f>
        <v>估价对象所在区域公共配套设施齐备情况</v>
      </c>
      <c r="D19" s="3300">
        <v>100</v>
      </c>
      <c r="E19" s="3303" t="s">
        <v>3349</v>
      </c>
      <c r="F19" s="3304">
        <f>SUMIF(80:80,E20,81:81)-SUMIF(80:80,C20,81:81)+100</f>
        <v>102</v>
      </c>
      <c r="G19" s="3303" t="s">
        <v>3349</v>
      </c>
      <c r="H19" s="3293">
        <f>SUMIF(80:80,G20,81:81)-SUMIF(80:80,C20,81:81)+100</f>
        <v>102</v>
      </c>
      <c r="I19" s="3303" t="s">
        <v>3349</v>
      </c>
      <c r="J19" s="3293">
        <f>SUMIF(80:80,I20,81:81)-SUMIF(80:80,C20,81:81)+100</f>
        <v>102</v>
      </c>
      <c r="K19" s="3282">
        <v>2</v>
      </c>
      <c r="L19" s="3272"/>
      <c r="M19" s="3216"/>
      <c r="N19" s="3216"/>
      <c r="O19" s="3264"/>
      <c r="P19" s="3871"/>
      <c r="Q19" s="3283" t="str">
        <f>B19</f>
        <v>公共配套设施</v>
      </c>
      <c r="R19" s="3284" t="s">
        <v>3218</v>
      </c>
      <c r="S19" s="3285">
        <f>F19</f>
        <v>102</v>
      </c>
      <c r="T19" s="3284" t="s">
        <v>3218</v>
      </c>
      <c r="U19" s="3285">
        <f>H19</f>
        <v>102</v>
      </c>
      <c r="V19" s="3284" t="s">
        <v>3218</v>
      </c>
      <c r="W19" s="3285">
        <f>J19</f>
        <v>102</v>
      </c>
      <c r="X19" s="3217"/>
      <c r="Y19" s="3871"/>
      <c r="Z19" s="3286" t="str">
        <f>Q19</f>
        <v>公共配套设施</v>
      </c>
      <c r="AA19" s="3287">
        <f t="shared" si="3"/>
        <v>0.98039215686274506</v>
      </c>
      <c r="AB19" s="3287">
        <f t="shared" si="4"/>
        <v>0.98039215686274506</v>
      </c>
      <c r="AC19" s="3287">
        <f t="shared" si="5"/>
        <v>0.98039215686274506</v>
      </c>
    </row>
    <row r="20" spans="1:29" ht="15">
      <c r="A20" s="3288"/>
      <c r="B20" s="3301"/>
      <c r="C20" s="3290" t="s">
        <v>3233</v>
      </c>
      <c r="D20" s="3291"/>
      <c r="E20" s="3290" t="s">
        <v>3234</v>
      </c>
      <c r="F20" s="3292"/>
      <c r="G20" s="3290" t="s">
        <v>3234</v>
      </c>
      <c r="H20" s="3291"/>
      <c r="I20" s="3290" t="s">
        <v>3234</v>
      </c>
      <c r="J20" s="3291"/>
      <c r="K20" s="3294"/>
      <c r="L20" s="3272"/>
      <c r="M20" s="3216"/>
      <c r="N20" s="3216"/>
      <c r="O20" s="3264"/>
      <c r="P20" s="3871"/>
      <c r="Q20" s="3283"/>
      <c r="R20" s="3284"/>
      <c r="S20" s="3285"/>
      <c r="T20" s="3284"/>
      <c r="U20" s="3285"/>
      <c r="V20" s="3284"/>
      <c r="W20" s="3285"/>
      <c r="X20" s="3217"/>
      <c r="Y20" s="3871"/>
      <c r="Z20" s="3286"/>
      <c r="AA20" s="3287">
        <v>1</v>
      </c>
      <c r="AB20" s="3287">
        <v>1</v>
      </c>
      <c r="AC20" s="3287">
        <v>1</v>
      </c>
    </row>
    <row r="21" spans="1:29" ht="28.5">
      <c r="A21" s="3288"/>
      <c r="B21" s="3306" t="s">
        <v>3237</v>
      </c>
      <c r="C21" s="3296" t="str">
        <f>估价对象房地状况!C8</f>
        <v>估价对象所在区域基础设施水平</v>
      </c>
      <c r="D21" s="3300">
        <v>100</v>
      </c>
      <c r="E21" s="3305"/>
      <c r="F21" s="3304">
        <f>SUMIF(82:82,E22,83:83)-SUMIF(82:82,C22,83:83)+100</f>
        <v>101</v>
      </c>
      <c r="G21" s="3305"/>
      <c r="H21" s="3300">
        <f>SUMIF(82:82,G22,83:83)-SUMIF(82:82,C22,83:83)+100</f>
        <v>101</v>
      </c>
      <c r="I21" s="3303"/>
      <c r="J21" s="3300">
        <f>SUMIF(82:82,I22,83:83)-SUMIF(82:82,C22,83:83)+100</f>
        <v>101</v>
      </c>
      <c r="K21" s="3282">
        <v>1</v>
      </c>
      <c r="L21" s="3272"/>
      <c r="M21" s="3216"/>
      <c r="N21" s="3216"/>
      <c r="O21" s="3264"/>
      <c r="P21" s="3871"/>
      <c r="Q21" s="3283" t="str">
        <f>B21</f>
        <v>基础设施水平</v>
      </c>
      <c r="R21" s="3284" t="s">
        <v>3218</v>
      </c>
      <c r="S21" s="3285">
        <f>F21</f>
        <v>101</v>
      </c>
      <c r="T21" s="3284" t="s">
        <v>3218</v>
      </c>
      <c r="U21" s="3285">
        <f>H21</f>
        <v>101</v>
      </c>
      <c r="V21" s="3284" t="s">
        <v>3218</v>
      </c>
      <c r="W21" s="3285">
        <f>J21</f>
        <v>101</v>
      </c>
      <c r="X21" s="3217"/>
      <c r="Y21" s="3871"/>
      <c r="Z21" s="3286" t="str">
        <f>Q21</f>
        <v>基础设施水平</v>
      </c>
      <c r="AA21" s="3287">
        <f t="shared" ref="AA21" si="8">D21/F21</f>
        <v>0.99009900990099009</v>
      </c>
      <c r="AB21" s="3287">
        <f t="shared" ref="AB21" si="9">D21/H21</f>
        <v>0.99009900990099009</v>
      </c>
      <c r="AC21" s="3287">
        <f t="shared" ref="AC21" si="10">D21/J21</f>
        <v>0.99009900990099009</v>
      </c>
    </row>
    <row r="22" spans="1:29" ht="15">
      <c r="A22" s="3288"/>
      <c r="B22" s="3307"/>
      <c r="C22" s="3308" t="s">
        <v>3348</v>
      </c>
      <c r="D22" s="3291"/>
      <c r="E22" s="3572" t="s">
        <v>3238</v>
      </c>
      <c r="F22" s="3292"/>
      <c r="G22" s="3572" t="s">
        <v>3238</v>
      </c>
      <c r="H22" s="3291"/>
      <c r="I22" s="3572" t="s">
        <v>3238</v>
      </c>
      <c r="J22" s="3291"/>
      <c r="K22" s="3309"/>
      <c r="L22" s="3272"/>
      <c r="M22" s="3216"/>
      <c r="N22" s="3216"/>
      <c r="O22" s="3264"/>
      <c r="P22" s="3871"/>
      <c r="Q22" s="3283"/>
      <c r="R22" s="3284"/>
      <c r="S22" s="3285"/>
      <c r="T22" s="3284"/>
      <c r="U22" s="3285"/>
      <c r="V22" s="3284"/>
      <c r="W22" s="3285"/>
      <c r="X22" s="3217"/>
      <c r="Y22" s="3871"/>
      <c r="Z22" s="3286"/>
      <c r="AA22" s="3287">
        <v>1</v>
      </c>
      <c r="AB22" s="3287">
        <v>1</v>
      </c>
      <c r="AC22" s="3287">
        <v>1</v>
      </c>
    </row>
    <row r="23" spans="1:29" ht="57">
      <c r="A23" s="3288"/>
      <c r="B23" s="3295" t="s">
        <v>3239</v>
      </c>
      <c r="C23" s="3569" t="str">
        <f>估价对象房地状况!C9</f>
        <v>区域自然环境：；人文环境；综合评价环境状况一般</v>
      </c>
      <c r="D23" s="3293">
        <v>100</v>
      </c>
      <c r="E23" s="3297" t="s">
        <v>3358</v>
      </c>
      <c r="F23" s="3298">
        <f>SUMIF(84:84,E24,85:85)-SUMIF(84:84,C24,85:85)+100</f>
        <v>101</v>
      </c>
      <c r="G23" s="3299" t="s">
        <v>3358</v>
      </c>
      <c r="H23" s="3293">
        <f>SUMIF(84:84,G24,85:85)-SUMIF(84:84,C24,85:85)+100</f>
        <v>101</v>
      </c>
      <c r="I23" s="3297" t="s">
        <v>3358</v>
      </c>
      <c r="J23" s="3293">
        <f>SUMIF(84:84,I24,85:85)-SUMIF(84:84,C24,85:85)+100</f>
        <v>101</v>
      </c>
      <c r="K23" s="3282">
        <v>1</v>
      </c>
      <c r="L23" s="3272"/>
      <c r="M23" s="3216"/>
      <c r="N23" s="3216"/>
      <c r="O23" s="3264"/>
      <c r="P23" s="3871"/>
      <c r="Q23" s="3283" t="str">
        <f>B23</f>
        <v>自然及人文环境</v>
      </c>
      <c r="R23" s="3284" t="s">
        <v>3218</v>
      </c>
      <c r="S23" s="3285">
        <f>F23</f>
        <v>101</v>
      </c>
      <c r="T23" s="3284" t="s">
        <v>3218</v>
      </c>
      <c r="U23" s="3285">
        <f>H23</f>
        <v>101</v>
      </c>
      <c r="V23" s="3284" t="s">
        <v>3218</v>
      </c>
      <c r="W23" s="3285">
        <f>J23</f>
        <v>101</v>
      </c>
      <c r="X23" s="3217"/>
      <c r="Y23" s="3871"/>
      <c r="Z23" s="3286" t="str">
        <f>Q23</f>
        <v>自然及人文环境</v>
      </c>
      <c r="AA23" s="3287">
        <f t="shared" si="3"/>
        <v>0.99009900990099009</v>
      </c>
      <c r="AB23" s="3287">
        <f t="shared" si="4"/>
        <v>0.99009900990099009</v>
      </c>
      <c r="AC23" s="3287">
        <f t="shared" si="5"/>
        <v>0.99009900990099009</v>
      </c>
    </row>
    <row r="24" spans="1:29" ht="15.75" thickBot="1">
      <c r="A24" s="3288"/>
      <c r="B24" s="3301"/>
      <c r="C24" s="3290" t="s">
        <v>3233</v>
      </c>
      <c r="D24" s="3291"/>
      <c r="E24" s="3290" t="s">
        <v>3234</v>
      </c>
      <c r="F24" s="3292"/>
      <c r="G24" s="3290" t="s">
        <v>3234</v>
      </c>
      <c r="H24" s="3291"/>
      <c r="I24" s="3290" t="s">
        <v>3234</v>
      </c>
      <c r="J24" s="3291"/>
      <c r="K24" s="3294"/>
      <c r="L24" s="3272"/>
      <c r="M24" s="3216"/>
      <c r="N24" s="3216"/>
      <c r="O24" s="3264"/>
      <c r="P24" s="3871"/>
      <c r="Q24" s="3283"/>
      <c r="R24" s="3284"/>
      <c r="S24" s="3285"/>
      <c r="T24" s="3284"/>
      <c r="U24" s="3285"/>
      <c r="V24" s="3284"/>
      <c r="W24" s="3285"/>
      <c r="X24" s="3217"/>
      <c r="Y24" s="3871"/>
      <c r="Z24" s="3286"/>
      <c r="AA24" s="3287">
        <v>1</v>
      </c>
      <c r="AB24" s="3287">
        <v>1</v>
      </c>
      <c r="AC24" s="3287">
        <v>1</v>
      </c>
    </row>
    <row r="25" spans="1:29" ht="15" hidden="1">
      <c r="A25" s="3288"/>
      <c r="B25" s="3310" t="s">
        <v>2258</v>
      </c>
      <c r="C25" s="3311"/>
      <c r="D25" s="3271">
        <v>100</v>
      </c>
      <c r="E25" s="3312"/>
      <c r="F25" s="3313">
        <f>SUMIF(86:86,E25,87:87)-SUMIF(86:86,C25,87:87)+100</f>
        <v>100</v>
      </c>
      <c r="G25" s="3314"/>
      <c r="H25" s="3271">
        <f>SUMIF(86:86,G25,87:87)-SUMIF(86:86,C25,87:87)+100</f>
        <v>100</v>
      </c>
      <c r="I25" s="3312"/>
      <c r="J25" s="3271">
        <f>SUMIF(86:86,I25,87:87)-SUMIF(86:86,C25,87:87)+100</f>
        <v>100</v>
      </c>
      <c r="K25" s="3255"/>
      <c r="L25" s="3272"/>
      <c r="M25" s="3216"/>
      <c r="N25" s="3216"/>
      <c r="O25" s="3264"/>
      <c r="P25" s="3871"/>
      <c r="Q25" s="3283" t="str">
        <f t="shared" ref="Q25:Q46" si="11">B25</f>
        <v>楼层-1</v>
      </c>
      <c r="R25" s="3284" t="s">
        <v>3218</v>
      </c>
      <c r="S25" s="3285">
        <f>F25</f>
        <v>100</v>
      </c>
      <c r="T25" s="3284" t="s">
        <v>3218</v>
      </c>
      <c r="U25" s="3285">
        <f>H25</f>
        <v>100</v>
      </c>
      <c r="V25" s="3284" t="s">
        <v>3218</v>
      </c>
      <c r="W25" s="3285">
        <f>J25</f>
        <v>100</v>
      </c>
      <c r="X25" s="3217"/>
      <c r="Y25" s="3871"/>
      <c r="Z25" s="3286" t="str">
        <f>Q25</f>
        <v>楼层-1</v>
      </c>
      <c r="AA25" s="3287">
        <f t="shared" si="3"/>
        <v>1</v>
      </c>
      <c r="AB25" s="3287">
        <f t="shared" si="4"/>
        <v>1</v>
      </c>
      <c r="AC25" s="3287">
        <f t="shared" si="5"/>
        <v>1</v>
      </c>
    </row>
    <row r="26" spans="1:29" ht="15" hidden="1">
      <c r="A26" s="3288"/>
      <c r="B26" s="3315" t="s">
        <v>3240</v>
      </c>
      <c r="C26" s="3311"/>
      <c r="D26" s="3271">
        <v>100</v>
      </c>
      <c r="E26" s="3312"/>
      <c r="F26" s="3313">
        <f>SUMIF(88:88,E26,89:89)-SUMIF(88:88,C26,89:89)+100</f>
        <v>100</v>
      </c>
      <c r="G26" s="3314"/>
      <c r="H26" s="3271">
        <f>SUMIF(88:88,G26,89:89)-SUMIF(88:88,C26,89:89)+100</f>
        <v>100</v>
      </c>
      <c r="I26" s="3312"/>
      <c r="J26" s="3271">
        <f>SUMIF(88:88,I26,89:89)-SUMIF(88:88,C26,89:89)+100</f>
        <v>100</v>
      </c>
      <c r="K26" s="3255"/>
      <c r="L26" s="3272"/>
      <c r="M26" s="3216"/>
      <c r="N26" s="3216"/>
      <c r="O26" s="3264"/>
      <c r="P26" s="3871"/>
      <c r="Q26" s="3283" t="str">
        <f t="shared" si="11"/>
        <v>朝向</v>
      </c>
      <c r="R26" s="3284" t="s">
        <v>3222</v>
      </c>
      <c r="S26" s="3285">
        <f>F26</f>
        <v>100</v>
      </c>
      <c r="T26" s="3284" t="s">
        <v>3218</v>
      </c>
      <c r="U26" s="3285">
        <f>H26</f>
        <v>100</v>
      </c>
      <c r="V26" s="3284" t="s">
        <v>3218</v>
      </c>
      <c r="W26" s="3285">
        <f>J26</f>
        <v>100</v>
      </c>
      <c r="X26" s="3217"/>
      <c r="Y26" s="3871"/>
      <c r="Z26" s="3286" t="str">
        <f>Q26</f>
        <v>朝向</v>
      </c>
      <c r="AA26" s="3287">
        <f t="shared" si="3"/>
        <v>1</v>
      </c>
      <c r="AB26" s="3287">
        <f t="shared" si="4"/>
        <v>1</v>
      </c>
      <c r="AC26" s="3287">
        <f t="shared" si="5"/>
        <v>1</v>
      </c>
    </row>
    <row r="27" spans="1:29" s="3238" customFormat="1" ht="15" hidden="1">
      <c r="A27" s="3316"/>
      <c r="B27" s="3317" t="s">
        <v>3241</v>
      </c>
      <c r="C27" s="3267"/>
      <c r="D27" s="3318">
        <v>100</v>
      </c>
      <c r="E27" s="3319"/>
      <c r="F27" s="3320">
        <f>SUMIF(90:90,E27,91:91)-SUMIF(90:90,C27,91:91)+100</f>
        <v>100</v>
      </c>
      <c r="G27" s="3321"/>
      <c r="H27" s="3318">
        <f>SUMIF(90:90,G27,91:91)-SUMIF(90:90,C27,91:91)+100</f>
        <v>100</v>
      </c>
      <c r="I27" s="3319"/>
      <c r="J27" s="3318">
        <f>SUMIF(90:90,I27,91:91)-SUMIF(90:90,C27,91:91)+100</f>
        <v>100</v>
      </c>
      <c r="K27" s="3269"/>
      <c r="L27" s="3232"/>
      <c r="M27" s="3233"/>
      <c r="N27" s="3233"/>
      <c r="O27" s="3247"/>
      <c r="P27" s="3871"/>
      <c r="Q27" s="3248" t="str">
        <f t="shared" si="11"/>
        <v>道路级别</v>
      </c>
      <c r="R27" s="3234" t="s">
        <v>3218</v>
      </c>
      <c r="S27" s="3235">
        <f>F27</f>
        <v>100</v>
      </c>
      <c r="T27" s="3234" t="s">
        <v>3218</v>
      </c>
      <c r="U27" s="3235">
        <f>H27</f>
        <v>100</v>
      </c>
      <c r="V27" s="3234" t="s">
        <v>3218</v>
      </c>
      <c r="W27" s="3235">
        <f>J27</f>
        <v>100</v>
      </c>
      <c r="X27" s="3236"/>
      <c r="Y27" s="3871"/>
      <c r="Z27" s="3249" t="str">
        <f>Q27</f>
        <v>道路级别</v>
      </c>
      <c r="AA27" s="3287">
        <f>D27/F27</f>
        <v>1</v>
      </c>
      <c r="AB27" s="3287">
        <f>D27/H27</f>
        <v>1</v>
      </c>
      <c r="AC27" s="3287">
        <f>D27/J27</f>
        <v>1</v>
      </c>
    </row>
    <row r="28" spans="1:29" ht="15" hidden="1">
      <c r="A28" s="3288"/>
      <c r="B28" s="3322">
        <v>111</v>
      </c>
      <c r="C28" s="3270"/>
      <c r="D28" s="3271">
        <v>100</v>
      </c>
      <c r="E28" s="3270"/>
      <c r="F28" s="3313">
        <f>SUMIF(92:92,E28,93:93)-SUMIF(92:92,C28,93:93)+100</f>
        <v>100</v>
      </c>
      <c r="G28" s="3270"/>
      <c r="H28" s="3271">
        <f>SUMIF(92:92,G28,93:93)-SUMIF(92:92,C28,93:93)+100</f>
        <v>100</v>
      </c>
      <c r="I28" s="3270"/>
      <c r="J28" s="3271">
        <f>SUMIF(92:92,I28,93:93)-SUMIF(92:92,C28,93:93)+100</f>
        <v>100</v>
      </c>
      <c r="K28" s="3269"/>
      <c r="L28" s="3272"/>
      <c r="M28" s="3216"/>
      <c r="N28" s="3216"/>
      <c r="O28" s="3264"/>
      <c r="P28" s="3871"/>
      <c r="Q28" s="3283">
        <f t="shared" si="11"/>
        <v>111</v>
      </c>
      <c r="R28" s="3284" t="s">
        <v>3218</v>
      </c>
      <c r="S28" s="3285">
        <f t="shared" ref="S28:S46" si="12">F28</f>
        <v>100</v>
      </c>
      <c r="T28" s="3284" t="s">
        <v>3218</v>
      </c>
      <c r="U28" s="3285">
        <f t="shared" ref="U28:U46" si="13">H28</f>
        <v>100</v>
      </c>
      <c r="V28" s="3284" t="s">
        <v>3218</v>
      </c>
      <c r="W28" s="3285">
        <f t="shared" ref="W28:W46" si="14">J28</f>
        <v>100</v>
      </c>
      <c r="X28" s="3217"/>
      <c r="Y28" s="3871"/>
      <c r="Z28" s="3286">
        <f t="shared" ref="Z28:Z46" si="15">Q28</f>
        <v>111</v>
      </c>
      <c r="AA28" s="3287">
        <f t="shared" si="3"/>
        <v>1</v>
      </c>
      <c r="AB28" s="3287">
        <f t="shared" si="4"/>
        <v>1</v>
      </c>
      <c r="AC28" s="3287">
        <f t="shared" si="5"/>
        <v>1</v>
      </c>
    </row>
    <row r="29" spans="1:29" ht="15" hidden="1">
      <c r="A29" s="3288"/>
      <c r="B29" s="3322">
        <v>111</v>
      </c>
      <c r="C29" s="3270"/>
      <c r="D29" s="3271">
        <v>100</v>
      </c>
      <c r="E29" s="3270"/>
      <c r="F29" s="3313">
        <f>SUMIF(94:94,E29,95:95)-SUMIF(94:94,C29,95:95)+100</f>
        <v>100</v>
      </c>
      <c r="G29" s="3270"/>
      <c r="H29" s="3271">
        <f>SUMIF(94:94,G29,95:95)-SUMIF(94:94,C29,95:95)+100</f>
        <v>100</v>
      </c>
      <c r="I29" s="3270"/>
      <c r="J29" s="3271">
        <f>SUMIF(94:94,I29,95:95)-SUMIF(94:94,C29,95:95)+100</f>
        <v>100</v>
      </c>
      <c r="K29" s="3269"/>
      <c r="L29" s="3272"/>
      <c r="M29" s="3216"/>
      <c r="N29" s="3216"/>
      <c r="O29" s="3264"/>
      <c r="P29" s="3871"/>
      <c r="Q29" s="3283">
        <f t="shared" si="11"/>
        <v>111</v>
      </c>
      <c r="R29" s="3284" t="s">
        <v>3218</v>
      </c>
      <c r="S29" s="3285">
        <f t="shared" si="12"/>
        <v>100</v>
      </c>
      <c r="T29" s="3284" t="s">
        <v>3218</v>
      </c>
      <c r="U29" s="3285">
        <f t="shared" si="13"/>
        <v>100</v>
      </c>
      <c r="V29" s="3284" t="s">
        <v>3218</v>
      </c>
      <c r="W29" s="3285">
        <f t="shared" si="14"/>
        <v>100</v>
      </c>
      <c r="X29" s="3217"/>
      <c r="Y29" s="3871"/>
      <c r="Z29" s="3286">
        <f t="shared" si="15"/>
        <v>111</v>
      </c>
      <c r="AA29" s="3287">
        <f t="shared" si="3"/>
        <v>1</v>
      </c>
      <c r="AB29" s="3287">
        <f t="shared" si="4"/>
        <v>1</v>
      </c>
      <c r="AC29" s="3287">
        <f t="shared" si="5"/>
        <v>1</v>
      </c>
    </row>
    <row r="30" spans="1:29" ht="15" hidden="1">
      <c r="A30" s="3288"/>
      <c r="B30" s="3322">
        <v>111</v>
      </c>
      <c r="C30" s="3270"/>
      <c r="D30" s="3271">
        <v>100</v>
      </c>
      <c r="E30" s="3270"/>
      <c r="F30" s="3313">
        <f>SUMIF(96:96,E30,97:97)-SUMIF(96:96,C30,97:97)+100</f>
        <v>100</v>
      </c>
      <c r="G30" s="3270"/>
      <c r="H30" s="3271">
        <f>SUMIF(96:96,G30,97:97)-SUMIF(96:96,C30,97:97)+100</f>
        <v>100</v>
      </c>
      <c r="I30" s="3270"/>
      <c r="J30" s="3271">
        <f>SUMIF(96:96,I30,97:97)-SUMIF(96:96,C30,97:97)+100</f>
        <v>100</v>
      </c>
      <c r="K30" s="3269"/>
      <c r="L30" s="3272"/>
      <c r="M30" s="3216"/>
      <c r="N30" s="3216"/>
      <c r="O30" s="3264"/>
      <c r="P30" s="3871"/>
      <c r="Q30" s="3283">
        <f t="shared" si="11"/>
        <v>111</v>
      </c>
      <c r="R30" s="3284" t="s">
        <v>3218</v>
      </c>
      <c r="S30" s="3285">
        <f t="shared" si="12"/>
        <v>100</v>
      </c>
      <c r="T30" s="3284" t="s">
        <v>3218</v>
      </c>
      <c r="U30" s="3285">
        <f t="shared" si="13"/>
        <v>100</v>
      </c>
      <c r="V30" s="3284" t="s">
        <v>3218</v>
      </c>
      <c r="W30" s="3285">
        <f t="shared" si="14"/>
        <v>100</v>
      </c>
      <c r="X30" s="3217"/>
      <c r="Y30" s="3871"/>
      <c r="Z30" s="3286">
        <f t="shared" si="15"/>
        <v>111</v>
      </c>
      <c r="AA30" s="3287">
        <f t="shared" si="3"/>
        <v>1</v>
      </c>
      <c r="AB30" s="3287">
        <f t="shared" si="4"/>
        <v>1</v>
      </c>
      <c r="AC30" s="3287">
        <f t="shared" si="5"/>
        <v>1</v>
      </c>
    </row>
    <row r="31" spans="1:29" ht="15.75" hidden="1" thickBot="1">
      <c r="A31" s="3323"/>
      <c r="B31" s="3322">
        <v>111</v>
      </c>
      <c r="C31" s="3275"/>
      <c r="D31" s="3276">
        <v>100</v>
      </c>
      <c r="E31" s="3275"/>
      <c r="F31" s="3277">
        <f>SUMIF(98:98,E31,99:99)-SUMIF(98:98,C31,99:99)+100</f>
        <v>100</v>
      </c>
      <c r="G31" s="3275"/>
      <c r="H31" s="3276">
        <f>SUMIF(98:98,G31,99:99)-SUMIF(98:98,C31,99:99)+100</f>
        <v>100</v>
      </c>
      <c r="I31" s="3275"/>
      <c r="J31" s="3276">
        <f>SUMIF(98:98,I31,99:99)-SUMIF(98:98,C31,99:99)+100</f>
        <v>100</v>
      </c>
      <c r="K31" s="3269"/>
      <c r="L31" s="3272"/>
      <c r="M31" s="3216"/>
      <c r="N31" s="3216"/>
      <c r="O31" s="3264"/>
      <c r="P31" s="3871"/>
      <c r="Q31" s="3283">
        <f t="shared" si="11"/>
        <v>111</v>
      </c>
      <c r="R31" s="3284" t="s">
        <v>3218</v>
      </c>
      <c r="S31" s="3285">
        <f t="shared" si="12"/>
        <v>100</v>
      </c>
      <c r="T31" s="3284" t="s">
        <v>3218</v>
      </c>
      <c r="U31" s="3285">
        <f t="shared" si="13"/>
        <v>100</v>
      </c>
      <c r="V31" s="3284" t="s">
        <v>3218</v>
      </c>
      <c r="W31" s="3285">
        <f t="shared" si="14"/>
        <v>100</v>
      </c>
      <c r="X31" s="3217"/>
      <c r="Y31" s="3871"/>
      <c r="Z31" s="3286">
        <f t="shared" si="15"/>
        <v>111</v>
      </c>
      <c r="AA31" s="3287">
        <f t="shared" si="3"/>
        <v>1</v>
      </c>
      <c r="AB31" s="3287">
        <f t="shared" si="4"/>
        <v>1</v>
      </c>
      <c r="AC31" s="3287">
        <f t="shared" si="5"/>
        <v>1</v>
      </c>
    </row>
    <row r="32" spans="1:29" ht="15">
      <c r="A32" s="3324" t="s">
        <v>3242</v>
      </c>
      <c r="B32" s="3325" t="s">
        <v>3243</v>
      </c>
      <c r="C32" s="3326" t="s">
        <v>3244</v>
      </c>
      <c r="D32" s="3327">
        <v>100</v>
      </c>
      <c r="E32" s="3326" t="s">
        <v>3244</v>
      </c>
      <c r="F32" s="3313">
        <f>SUMIF(100:100,E32,101:101)-SUMIF(100:100,C32,101:101)+100</f>
        <v>100</v>
      </c>
      <c r="G32" s="3326" t="s">
        <v>3244</v>
      </c>
      <c r="H32" s="3327">
        <f>SUMIF(100:100,G32,101:101)-SUMIF(100:100,C32,101:101)+100</f>
        <v>100</v>
      </c>
      <c r="I32" s="3326" t="s">
        <v>3244</v>
      </c>
      <c r="J32" s="3271">
        <f>SUMIF(100:100,I32,101:101)-SUMIF(100:100,C32,101:101)+100</f>
        <v>100</v>
      </c>
      <c r="K32" s="3255">
        <v>2</v>
      </c>
      <c r="L32" s="3272"/>
      <c r="M32" s="3216"/>
      <c r="N32" s="3216"/>
      <c r="O32" s="3264"/>
      <c r="P32" s="3872" t="s">
        <v>3245</v>
      </c>
      <c r="Q32" s="3283" t="str">
        <f t="shared" si="11"/>
        <v>建筑类型</v>
      </c>
      <c r="R32" s="3284" t="s">
        <v>3218</v>
      </c>
      <c r="S32" s="3285">
        <f t="shared" si="12"/>
        <v>100</v>
      </c>
      <c r="T32" s="3284" t="s">
        <v>3218</v>
      </c>
      <c r="U32" s="3285">
        <f t="shared" si="13"/>
        <v>100</v>
      </c>
      <c r="V32" s="3284" t="s">
        <v>3218</v>
      </c>
      <c r="W32" s="3285">
        <f t="shared" si="14"/>
        <v>100</v>
      </c>
      <c r="X32" s="3217"/>
      <c r="Y32" s="3873" t="s">
        <v>3246</v>
      </c>
      <c r="Z32" s="3286" t="str">
        <f t="shared" si="15"/>
        <v>建筑类型</v>
      </c>
      <c r="AA32" s="3287">
        <f t="shared" si="3"/>
        <v>1</v>
      </c>
      <c r="AB32" s="3287">
        <f t="shared" si="4"/>
        <v>1</v>
      </c>
      <c r="AC32" s="3287">
        <f t="shared" si="5"/>
        <v>1</v>
      </c>
    </row>
    <row r="33" spans="1:29" s="3337" customFormat="1" ht="15">
      <c r="A33" s="3328"/>
      <c r="B33" s="3315" t="s">
        <v>3247</v>
      </c>
      <c r="C33" s="3329">
        <f>'数据-基础表'!A16</f>
        <v>72989.7</v>
      </c>
      <c r="D33" s="3252">
        <v>100</v>
      </c>
      <c r="E33" s="3262">
        <v>170000</v>
      </c>
      <c r="F33" s="3254">
        <f>LOOKUP(E33,103:103,104:104)-LOOKUP(C33,103:103,104:104)+100</f>
        <v>99</v>
      </c>
      <c r="G33" s="3261">
        <v>120000</v>
      </c>
      <c r="H33" s="3252">
        <f>LOOKUP(G33,103:103,104:104)-LOOKUP(C33,103:103,104:104)+100</f>
        <v>99</v>
      </c>
      <c r="I33" s="3262">
        <v>210000</v>
      </c>
      <c r="J33" s="3252">
        <f>LOOKUP(I33,103:103,104:104)-LOOKUP(C33,103:103,104:104)+100</f>
        <v>98</v>
      </c>
      <c r="K33" s="3269"/>
      <c r="L33" s="3263"/>
      <c r="M33" s="3330"/>
      <c r="N33" s="3330"/>
      <c r="O33" s="3331"/>
      <c r="P33" s="3873"/>
      <c r="Q33" s="3332" t="str">
        <f t="shared" si="11"/>
        <v>项目建筑规模</v>
      </c>
      <c r="R33" s="3333" t="s">
        <v>3218</v>
      </c>
      <c r="S33" s="3334">
        <f t="shared" si="12"/>
        <v>99</v>
      </c>
      <c r="T33" s="3333" t="s">
        <v>3218</v>
      </c>
      <c r="U33" s="3334">
        <f t="shared" si="13"/>
        <v>99</v>
      </c>
      <c r="V33" s="3333" t="s">
        <v>3218</v>
      </c>
      <c r="W33" s="3334">
        <f t="shared" si="14"/>
        <v>98</v>
      </c>
      <c r="X33" s="3335"/>
      <c r="Y33" s="3873"/>
      <c r="Z33" s="3336" t="str">
        <f t="shared" si="15"/>
        <v>项目建筑规模</v>
      </c>
      <c r="AA33" s="3287">
        <f t="shared" si="3"/>
        <v>1.0101010101010102</v>
      </c>
      <c r="AB33" s="3287">
        <f t="shared" si="4"/>
        <v>1.0101010101010102</v>
      </c>
      <c r="AC33" s="3287">
        <f t="shared" si="5"/>
        <v>1.0204081632653061</v>
      </c>
    </row>
    <row r="34" spans="1:29" ht="15">
      <c r="A34" s="3338"/>
      <c r="B34" s="3315" t="s">
        <v>3248</v>
      </c>
      <c r="C34" s="3339" t="s">
        <v>3170</v>
      </c>
      <c r="D34" s="3271">
        <v>100</v>
      </c>
      <c r="E34" s="3339" t="s">
        <v>3170</v>
      </c>
      <c r="F34" s="3313">
        <f>SUMIF(105:105,E34,106:106)-SUMIF(105:105,C34,106:106)+100</f>
        <v>100</v>
      </c>
      <c r="G34" s="3339" t="s">
        <v>3170</v>
      </c>
      <c r="H34" s="3271">
        <f>SUMIF(105:105,G34,106:106)-SUMIF(105:105,C34,106:106)+100</f>
        <v>100</v>
      </c>
      <c r="I34" s="3339" t="s">
        <v>3170</v>
      </c>
      <c r="J34" s="3271">
        <f>SUMIF(105:105,I34,106:106)-SUMIF(105:105,C34,106:106)+100</f>
        <v>100</v>
      </c>
      <c r="K34" s="3255">
        <v>2</v>
      </c>
      <c r="L34" s="3272"/>
      <c r="M34" s="3216"/>
      <c r="N34" s="3216"/>
      <c r="O34" s="3264"/>
      <c r="P34" s="3873"/>
      <c r="Q34" s="3283" t="str">
        <f t="shared" si="11"/>
        <v>建筑结构</v>
      </c>
      <c r="R34" s="3284" t="s">
        <v>3218</v>
      </c>
      <c r="S34" s="3285">
        <f t="shared" si="12"/>
        <v>100</v>
      </c>
      <c r="T34" s="3284" t="s">
        <v>3218</v>
      </c>
      <c r="U34" s="3285">
        <f t="shared" si="13"/>
        <v>100</v>
      </c>
      <c r="V34" s="3284" t="s">
        <v>3218</v>
      </c>
      <c r="W34" s="3285">
        <f t="shared" si="14"/>
        <v>100</v>
      </c>
      <c r="X34" s="3217"/>
      <c r="Y34" s="3873"/>
      <c r="Z34" s="3286" t="str">
        <f t="shared" si="15"/>
        <v>建筑结构</v>
      </c>
      <c r="AA34" s="3287">
        <f t="shared" si="3"/>
        <v>1</v>
      </c>
      <c r="AB34" s="3287">
        <f t="shared" si="4"/>
        <v>1</v>
      </c>
      <c r="AC34" s="3287">
        <f t="shared" si="5"/>
        <v>1</v>
      </c>
    </row>
    <row r="35" spans="1:29" ht="15">
      <c r="A35" s="3338"/>
      <c r="B35" s="3315" t="s">
        <v>3249</v>
      </c>
      <c r="C35" s="3314" t="s">
        <v>3250</v>
      </c>
      <c r="D35" s="3271">
        <v>100</v>
      </c>
      <c r="E35" s="3314" t="s">
        <v>3250</v>
      </c>
      <c r="F35" s="3313">
        <f>SUMIF(107:107,E35,108:108)-SUMIF(107:107,C35,108:108)+100</f>
        <v>100</v>
      </c>
      <c r="G35" s="3314" t="s">
        <v>3250</v>
      </c>
      <c r="H35" s="3271">
        <f>SUMIF(107:107,G35,108:108)-SUMIF(107:107,C35,108:108)+100</f>
        <v>100</v>
      </c>
      <c r="I35" s="3314" t="s">
        <v>3250</v>
      </c>
      <c r="J35" s="3271">
        <f>SUMIF(107:107,I35,108:108)-SUMIF(107:107,C35,108:108)+100</f>
        <v>100</v>
      </c>
      <c r="K35" s="3255">
        <v>2</v>
      </c>
      <c r="L35" s="3272"/>
      <c r="M35" s="3216"/>
      <c r="N35" s="3216"/>
      <c r="O35" s="3264"/>
      <c r="P35" s="3873"/>
      <c r="Q35" s="3283" t="str">
        <f t="shared" si="11"/>
        <v>建筑品质</v>
      </c>
      <c r="R35" s="3284" t="s">
        <v>3218</v>
      </c>
      <c r="S35" s="3285">
        <f t="shared" si="12"/>
        <v>100</v>
      </c>
      <c r="T35" s="3284" t="s">
        <v>3218</v>
      </c>
      <c r="U35" s="3285">
        <f t="shared" si="13"/>
        <v>100</v>
      </c>
      <c r="V35" s="3284" t="s">
        <v>3218</v>
      </c>
      <c r="W35" s="3285">
        <f t="shared" si="14"/>
        <v>100</v>
      </c>
      <c r="X35" s="3217"/>
      <c r="Y35" s="3873"/>
      <c r="Z35" s="3286" t="str">
        <f t="shared" si="15"/>
        <v>建筑品质</v>
      </c>
      <c r="AA35" s="3287">
        <f t="shared" si="3"/>
        <v>1</v>
      </c>
      <c r="AB35" s="3287">
        <f t="shared" si="4"/>
        <v>1</v>
      </c>
      <c r="AC35" s="3287">
        <f t="shared" si="5"/>
        <v>1</v>
      </c>
    </row>
    <row r="36" spans="1:29" ht="15">
      <c r="A36" s="3338"/>
      <c r="B36" s="3315" t="s">
        <v>3251</v>
      </c>
      <c r="C36" s="3314" t="s">
        <v>3252</v>
      </c>
      <c r="D36" s="3271">
        <v>100</v>
      </c>
      <c r="E36" s="3314" t="s">
        <v>3252</v>
      </c>
      <c r="F36" s="3313">
        <f>SUMIF(109:109,E36,110:110)-SUMIF(109:109,C36,110:110)+100</f>
        <v>100</v>
      </c>
      <c r="G36" s="3314" t="s">
        <v>3252</v>
      </c>
      <c r="H36" s="3271">
        <f>SUMIF(109:109,G36,110:110)-SUMIF(109:109,C36,110:110)+100</f>
        <v>100</v>
      </c>
      <c r="I36" s="3314" t="s">
        <v>3252</v>
      </c>
      <c r="J36" s="3271">
        <f>SUMIF(109:109,I36,110:110)-SUMIF(109:109,C36,110:110)+100</f>
        <v>100</v>
      </c>
      <c r="K36" s="3255">
        <v>2</v>
      </c>
      <c r="L36" s="3272"/>
      <c r="M36" s="3216"/>
      <c r="N36" s="3216"/>
      <c r="O36" s="3264"/>
      <c r="P36" s="3873"/>
      <c r="Q36" s="3283" t="str">
        <f t="shared" si="11"/>
        <v>公共部分装修</v>
      </c>
      <c r="R36" s="3284" t="s">
        <v>3218</v>
      </c>
      <c r="S36" s="3285">
        <f t="shared" si="12"/>
        <v>100</v>
      </c>
      <c r="T36" s="3284" t="s">
        <v>3218</v>
      </c>
      <c r="U36" s="3285">
        <f t="shared" si="13"/>
        <v>100</v>
      </c>
      <c r="V36" s="3284" t="s">
        <v>3218</v>
      </c>
      <c r="W36" s="3285">
        <f t="shared" si="14"/>
        <v>100</v>
      </c>
      <c r="X36" s="3217"/>
      <c r="Y36" s="3873"/>
      <c r="Z36" s="3286" t="str">
        <f t="shared" si="15"/>
        <v>公共部分装修</v>
      </c>
      <c r="AA36" s="3287">
        <f t="shared" si="3"/>
        <v>1</v>
      </c>
      <c r="AB36" s="3287">
        <f t="shared" si="4"/>
        <v>1</v>
      </c>
      <c r="AC36" s="3287">
        <f t="shared" si="5"/>
        <v>1</v>
      </c>
    </row>
    <row r="37" spans="1:29" s="3238" customFormat="1" ht="15">
      <c r="A37" s="3340"/>
      <c r="B37" s="3315" t="s">
        <v>3253</v>
      </c>
      <c r="C37" s="3341">
        <v>1</v>
      </c>
      <c r="D37" s="3252">
        <v>100</v>
      </c>
      <c r="E37" s="3342">
        <v>1</v>
      </c>
      <c r="F37" s="3254">
        <f>LOOKUP(E37,112:112,113:113)-LOOKUP(C37,112:112,113:113)+100</f>
        <v>100</v>
      </c>
      <c r="G37" s="3343">
        <v>1</v>
      </c>
      <c r="H37" s="3252">
        <f>LOOKUP(G37,112:112,113:113)-LOOKUP(C37,112:112,113:113)+100</f>
        <v>100</v>
      </c>
      <c r="I37" s="3342">
        <v>1</v>
      </c>
      <c r="J37" s="3252">
        <f>LOOKUP(I37,112:112,113:113)-LOOKUP(C37,112:112,113:113)+100</f>
        <v>100</v>
      </c>
      <c r="K37" s="3255">
        <v>2</v>
      </c>
      <c r="L37" s="3232"/>
      <c r="M37" s="3233"/>
      <c r="N37" s="3233"/>
      <c r="O37" s="3247"/>
      <c r="P37" s="3873"/>
      <c r="Q37" s="3248" t="str">
        <f t="shared" si="11"/>
        <v>成新度</v>
      </c>
      <c r="R37" s="3234" t="s">
        <v>3222</v>
      </c>
      <c r="S37" s="3235">
        <f t="shared" si="12"/>
        <v>100</v>
      </c>
      <c r="T37" s="3234" t="s">
        <v>3222</v>
      </c>
      <c r="U37" s="3235">
        <f t="shared" si="13"/>
        <v>100</v>
      </c>
      <c r="V37" s="3234" t="s">
        <v>3222</v>
      </c>
      <c r="W37" s="3235">
        <f t="shared" si="14"/>
        <v>100</v>
      </c>
      <c r="X37" s="3236"/>
      <c r="Y37" s="3873"/>
      <c r="Z37" s="3249" t="str">
        <f t="shared" si="15"/>
        <v>成新度</v>
      </c>
      <c r="AA37" s="3237">
        <f t="shared" si="3"/>
        <v>1</v>
      </c>
      <c r="AB37" s="3237">
        <f t="shared" si="4"/>
        <v>1</v>
      </c>
      <c r="AC37" s="3237">
        <f t="shared" si="5"/>
        <v>1</v>
      </c>
    </row>
    <row r="38" spans="1:29" ht="15">
      <c r="A38" s="3338"/>
      <c r="B38" s="3315" t="s">
        <v>3254</v>
      </c>
      <c r="C38" s="3314" t="s">
        <v>3255</v>
      </c>
      <c r="D38" s="3271">
        <v>100</v>
      </c>
      <c r="E38" s="3314" t="s">
        <v>3255</v>
      </c>
      <c r="F38" s="3313">
        <f>SUMIF(114:114,E38,115:115)-SUMIF(114:114,C38,115:115)+100</f>
        <v>100</v>
      </c>
      <c r="G38" s="3314" t="s">
        <v>3255</v>
      </c>
      <c r="H38" s="3271">
        <f>SUMIF(114:114,G38,115:115)-SUMIF(114:114,C38,115:115)+100</f>
        <v>100</v>
      </c>
      <c r="I38" s="3314" t="s">
        <v>3255</v>
      </c>
      <c r="J38" s="3271">
        <f>SUMIF(114:114,I38,115:115)-SUMIF(114:114,C38,115:115)+100</f>
        <v>100</v>
      </c>
      <c r="K38" s="3255">
        <v>2</v>
      </c>
      <c r="L38" s="3272"/>
      <c r="M38" s="3216"/>
      <c r="N38" s="3216"/>
      <c r="O38" s="3264"/>
      <c r="P38" s="3873" t="s">
        <v>3256</v>
      </c>
      <c r="Q38" s="3283" t="str">
        <f t="shared" si="11"/>
        <v>物业管理</v>
      </c>
      <c r="R38" s="3284" t="s">
        <v>3222</v>
      </c>
      <c r="S38" s="3285">
        <f t="shared" si="12"/>
        <v>100</v>
      </c>
      <c r="T38" s="3284" t="s">
        <v>3222</v>
      </c>
      <c r="U38" s="3285">
        <f t="shared" si="13"/>
        <v>100</v>
      </c>
      <c r="V38" s="3284" t="s">
        <v>3222</v>
      </c>
      <c r="W38" s="3285">
        <f t="shared" si="14"/>
        <v>100</v>
      </c>
      <c r="X38" s="3217"/>
      <c r="Y38" s="3873" t="s">
        <v>3245</v>
      </c>
      <c r="Z38" s="3286" t="str">
        <f t="shared" si="15"/>
        <v>物业管理</v>
      </c>
      <c r="AA38" s="3287">
        <f t="shared" si="3"/>
        <v>1</v>
      </c>
      <c r="AB38" s="3287">
        <f t="shared" si="4"/>
        <v>1</v>
      </c>
      <c r="AC38" s="3287">
        <f t="shared" si="5"/>
        <v>1</v>
      </c>
    </row>
    <row r="39" spans="1:29" ht="15">
      <c r="A39" s="3338"/>
      <c r="B39" s="3310" t="s">
        <v>2557</v>
      </c>
      <c r="C39" s="3314" t="s">
        <v>3348</v>
      </c>
      <c r="D39" s="3271">
        <v>100</v>
      </c>
      <c r="E39" s="3314" t="s">
        <v>3238</v>
      </c>
      <c r="F39" s="3313">
        <f>SUMIF(116:116,E39,117:117)-SUMIF(116:116,C39,117:117)+100</f>
        <v>101</v>
      </c>
      <c r="G39" s="3314" t="s">
        <v>3238</v>
      </c>
      <c r="H39" s="3271">
        <f>SUMIF(116:116,G39,117:117)-SUMIF(116:116,C39,117:117)+100</f>
        <v>101</v>
      </c>
      <c r="I39" s="3314" t="s">
        <v>3238</v>
      </c>
      <c r="J39" s="3271">
        <f>SUMIF(116:116,I39,117:117)-SUMIF(116:116,C39,117:117)+100</f>
        <v>101</v>
      </c>
      <c r="K39" s="3255">
        <v>1</v>
      </c>
      <c r="L39" s="3272"/>
      <c r="M39" s="3216"/>
      <c r="N39" s="3216"/>
      <c r="O39" s="3264"/>
      <c r="P39" s="3873"/>
      <c r="Q39" s="3283" t="str">
        <f t="shared" si="11"/>
        <v>市政基础设施</v>
      </c>
      <c r="R39" s="3284" t="s">
        <v>3218</v>
      </c>
      <c r="S39" s="3285">
        <f t="shared" si="12"/>
        <v>101</v>
      </c>
      <c r="T39" s="3284" t="s">
        <v>3218</v>
      </c>
      <c r="U39" s="3285">
        <f t="shared" si="13"/>
        <v>101</v>
      </c>
      <c r="V39" s="3284" t="s">
        <v>3218</v>
      </c>
      <c r="W39" s="3285">
        <f t="shared" si="14"/>
        <v>101</v>
      </c>
      <c r="X39" s="3217"/>
      <c r="Y39" s="3873"/>
      <c r="Z39" s="3286" t="str">
        <f t="shared" si="15"/>
        <v>市政基础设施</v>
      </c>
      <c r="AA39" s="3287">
        <f t="shared" si="3"/>
        <v>0.99009900990099009</v>
      </c>
      <c r="AB39" s="3287">
        <f t="shared" si="4"/>
        <v>0.99009900990099009</v>
      </c>
      <c r="AC39" s="3287">
        <f t="shared" si="5"/>
        <v>0.99009900990099009</v>
      </c>
    </row>
    <row r="40" spans="1:29" ht="15" hidden="1">
      <c r="A40" s="3338"/>
      <c r="B40" s="3315" t="s">
        <v>3257</v>
      </c>
      <c r="C40" s="3314"/>
      <c r="D40" s="3271">
        <v>100</v>
      </c>
      <c r="E40" s="3312"/>
      <c r="F40" s="3313">
        <f>SUMIF(118:118,E40,119:119)-SUMIF(118:118,C40,119:119)+100</f>
        <v>100</v>
      </c>
      <c r="G40" s="3314"/>
      <c r="H40" s="3271">
        <f>SUMIF(118:118,G40,119:119)-SUMIF(118:118,C40,119:119)+100</f>
        <v>100</v>
      </c>
      <c r="I40" s="3312"/>
      <c r="J40" s="3271">
        <f>SUMIF(118:118,I40,119:119)-SUMIF(118:118,C40,119:119)+100</f>
        <v>100</v>
      </c>
      <c r="K40" s="3255"/>
      <c r="L40" s="3272"/>
      <c r="M40" s="3216"/>
      <c r="N40" s="3216"/>
      <c r="O40" s="3264"/>
      <c r="P40" s="3873"/>
      <c r="Q40" s="3283" t="str">
        <f t="shared" si="11"/>
        <v>房型</v>
      </c>
      <c r="R40" s="3284" t="s">
        <v>3218</v>
      </c>
      <c r="S40" s="3285">
        <f t="shared" si="12"/>
        <v>100</v>
      </c>
      <c r="T40" s="3284" t="s">
        <v>3218</v>
      </c>
      <c r="U40" s="3285">
        <f t="shared" si="13"/>
        <v>100</v>
      </c>
      <c r="V40" s="3284" t="s">
        <v>3218</v>
      </c>
      <c r="W40" s="3285">
        <f t="shared" si="14"/>
        <v>100</v>
      </c>
      <c r="X40" s="3217"/>
      <c r="Y40" s="3873"/>
      <c r="Z40" s="3286" t="str">
        <f t="shared" si="15"/>
        <v>房型</v>
      </c>
      <c r="AA40" s="3287">
        <f t="shared" si="3"/>
        <v>1</v>
      </c>
      <c r="AB40" s="3287">
        <f t="shared" si="4"/>
        <v>1</v>
      </c>
      <c r="AC40" s="3287">
        <f t="shared" si="5"/>
        <v>1</v>
      </c>
    </row>
    <row r="41" spans="1:29" s="3337" customFormat="1" ht="28.5" hidden="1">
      <c r="A41" s="3328"/>
      <c r="B41" s="3315" t="s">
        <v>3258</v>
      </c>
      <c r="C41" s="3329"/>
      <c r="D41" s="3252">
        <v>100</v>
      </c>
      <c r="E41" s="3262"/>
      <c r="F41" s="3254">
        <f>SUMIF(120:120,E41,121:121)-SUMIF(120:120,C41,121:121)+100</f>
        <v>100</v>
      </c>
      <c r="G41" s="3261"/>
      <c r="H41" s="3252">
        <f>SUMIF(120:120,G41,121:121)-SUMIF(120:120,C41,121:121)+100</f>
        <v>100</v>
      </c>
      <c r="I41" s="3344"/>
      <c r="J41" s="3271">
        <f>SUMIF(120:120,I41,121:121)-SUMIF(120:120,C41,121:121)+100</f>
        <v>100</v>
      </c>
      <c r="K41" s="3269"/>
      <c r="L41" s="3263"/>
      <c r="M41" s="3330"/>
      <c r="N41" s="3330"/>
      <c r="O41" s="3331"/>
      <c r="P41" s="3873"/>
      <c r="Q41" s="3332" t="str">
        <f t="shared" si="11"/>
        <v>单套/主力户型建筑面积</v>
      </c>
      <c r="R41" s="3333" t="s">
        <v>3218</v>
      </c>
      <c r="S41" s="3334">
        <f t="shared" si="12"/>
        <v>100</v>
      </c>
      <c r="T41" s="3333" t="s">
        <v>3218</v>
      </c>
      <c r="U41" s="3334">
        <f t="shared" si="13"/>
        <v>100</v>
      </c>
      <c r="V41" s="3333" t="s">
        <v>3218</v>
      </c>
      <c r="W41" s="3334">
        <f t="shared" si="14"/>
        <v>100</v>
      </c>
      <c r="X41" s="3335"/>
      <c r="Y41" s="3873"/>
      <c r="Z41" s="3336" t="str">
        <f t="shared" si="15"/>
        <v>单套/主力户型建筑面积</v>
      </c>
      <c r="AA41" s="3287">
        <f t="shared" si="3"/>
        <v>1</v>
      </c>
      <c r="AB41" s="3287">
        <f t="shared" si="4"/>
        <v>1</v>
      </c>
      <c r="AC41" s="3287">
        <f t="shared" si="5"/>
        <v>1</v>
      </c>
    </row>
    <row r="42" spans="1:29" ht="15">
      <c r="A42" s="3338"/>
      <c r="B42" s="3315" t="s">
        <v>3259</v>
      </c>
      <c r="C42" s="3314" t="s">
        <v>3260</v>
      </c>
      <c r="D42" s="3271">
        <v>100</v>
      </c>
      <c r="E42" s="3314" t="s">
        <v>3260</v>
      </c>
      <c r="F42" s="3313">
        <f>SUMIF(122:122,E42,123:123)-SUMIF(122:122,C42,123:123)+100</f>
        <v>100</v>
      </c>
      <c r="G42" s="3314" t="s">
        <v>3260</v>
      </c>
      <c r="H42" s="3271">
        <f>SUMIF(122:122,G42,123:123)-SUMIF(122:122,C42,123:123)+100</f>
        <v>100</v>
      </c>
      <c r="I42" s="3314" t="s">
        <v>3260</v>
      </c>
      <c r="J42" s="3271">
        <f>SUMIF(122:122,I42,123:123)-SUMIF(122:122,C42,123:123)+100</f>
        <v>100</v>
      </c>
      <c r="K42" s="3255">
        <v>3</v>
      </c>
      <c r="L42" s="3272"/>
      <c r="M42" s="3216"/>
      <c r="N42" s="3216"/>
      <c r="O42" s="3264"/>
      <c r="P42" s="3873"/>
      <c r="Q42" s="3283" t="str">
        <f t="shared" si="11"/>
        <v>内部装修</v>
      </c>
      <c r="R42" s="3284" t="s">
        <v>3218</v>
      </c>
      <c r="S42" s="3285">
        <f t="shared" si="12"/>
        <v>100</v>
      </c>
      <c r="T42" s="3284" t="s">
        <v>3218</v>
      </c>
      <c r="U42" s="3285">
        <f t="shared" si="13"/>
        <v>100</v>
      </c>
      <c r="V42" s="3284" t="s">
        <v>3218</v>
      </c>
      <c r="W42" s="3285">
        <f t="shared" si="14"/>
        <v>100</v>
      </c>
      <c r="X42" s="3217"/>
      <c r="Y42" s="3873"/>
      <c r="Z42" s="3286" t="str">
        <f t="shared" si="15"/>
        <v>内部装修</v>
      </c>
      <c r="AA42" s="3287">
        <f t="shared" si="3"/>
        <v>1</v>
      </c>
      <c r="AB42" s="3287">
        <f t="shared" si="4"/>
        <v>1</v>
      </c>
      <c r="AC42" s="3287">
        <f t="shared" si="5"/>
        <v>1</v>
      </c>
    </row>
    <row r="43" spans="1:29" ht="27.75" thickBot="1">
      <c r="A43" s="3338"/>
      <c r="B43" s="3315" t="s">
        <v>3261</v>
      </c>
      <c r="C43" s="3314" t="s">
        <v>3234</v>
      </c>
      <c r="D43" s="3271">
        <v>100</v>
      </c>
      <c r="E43" s="3314" t="s">
        <v>3234</v>
      </c>
      <c r="F43" s="3313">
        <f>SUMIF(124:124,E43,125:125)-SUMIF(124:124,C43,125:125)+100</f>
        <v>100</v>
      </c>
      <c r="G43" s="3314" t="s">
        <v>3234</v>
      </c>
      <c r="H43" s="3271">
        <f>SUMIF(124:124,G43,125:125)-SUMIF(124:124,C43,125:125)+100</f>
        <v>100</v>
      </c>
      <c r="I43" s="3314" t="s">
        <v>3234</v>
      </c>
      <c r="J43" s="3271">
        <f>SUMIF(124:124,I43,125:125)-SUMIF(124:124,C43,125:125)+100</f>
        <v>100</v>
      </c>
      <c r="K43" s="3255">
        <v>2</v>
      </c>
      <c r="L43" s="3272"/>
      <c r="M43" s="3216"/>
      <c r="N43" s="3216"/>
      <c r="O43" s="3264"/>
      <c r="P43" s="3873"/>
      <c r="Q43" s="3283" t="str">
        <f t="shared" si="11"/>
        <v>内部装修维护情况</v>
      </c>
      <c r="R43" s="3284" t="s">
        <v>3228</v>
      </c>
      <c r="S43" s="3285">
        <f t="shared" si="12"/>
        <v>100</v>
      </c>
      <c r="T43" s="3284" t="s">
        <v>3228</v>
      </c>
      <c r="U43" s="3285">
        <f t="shared" si="13"/>
        <v>100</v>
      </c>
      <c r="V43" s="3284" t="s">
        <v>3228</v>
      </c>
      <c r="W43" s="3285">
        <f t="shared" si="14"/>
        <v>100</v>
      </c>
      <c r="X43" s="3217"/>
      <c r="Y43" s="3873"/>
      <c r="Z43" s="3286" t="str">
        <f t="shared" si="15"/>
        <v>内部装修维护情况</v>
      </c>
      <c r="AA43" s="3287">
        <f t="shared" si="3"/>
        <v>1</v>
      </c>
      <c r="AB43" s="3287">
        <f t="shared" si="4"/>
        <v>1</v>
      </c>
      <c r="AC43" s="3287">
        <f t="shared" si="5"/>
        <v>1</v>
      </c>
    </row>
    <row r="44" spans="1:29" s="3238" customFormat="1" ht="15" hidden="1">
      <c r="A44" s="3340"/>
      <c r="B44" s="3322">
        <v>111</v>
      </c>
      <c r="C44" s="3329"/>
      <c r="D44" s="3252">
        <v>100</v>
      </c>
      <c r="E44" s="3329"/>
      <c r="F44" s="3254">
        <f>SUMIF(126:126,E44,127:127)-SUMIF(126:126,C44,127:127)+100</f>
        <v>100</v>
      </c>
      <c r="G44" s="3329"/>
      <c r="H44" s="3252">
        <f>SUMIF(126:126,G44,127:127)-SUMIF(126:126,C44,127:127)+100</f>
        <v>100</v>
      </c>
      <c r="I44" s="3329">
        <v>1.7</v>
      </c>
      <c r="J44" s="3252">
        <f>SUMIF(126:126,I44,127:127)-SUMIF(126:126,C44,127:127)+100</f>
        <v>100</v>
      </c>
      <c r="K44" s="3269"/>
      <c r="L44" s="3232"/>
      <c r="M44" s="3233"/>
      <c r="N44" s="3233"/>
      <c r="O44" s="3247"/>
      <c r="P44" s="3873"/>
      <c r="Q44" s="3248">
        <f t="shared" si="11"/>
        <v>111</v>
      </c>
      <c r="R44" s="3234" t="s">
        <v>3228</v>
      </c>
      <c r="S44" s="3235">
        <f t="shared" si="12"/>
        <v>100</v>
      </c>
      <c r="T44" s="3234" t="s">
        <v>3228</v>
      </c>
      <c r="U44" s="3235">
        <f t="shared" si="13"/>
        <v>100</v>
      </c>
      <c r="V44" s="3234" t="s">
        <v>3228</v>
      </c>
      <c r="W44" s="3235">
        <f t="shared" si="14"/>
        <v>100</v>
      </c>
      <c r="X44" s="3236"/>
      <c r="Y44" s="3873"/>
      <c r="Z44" s="3249">
        <f t="shared" si="15"/>
        <v>111</v>
      </c>
      <c r="AA44" s="3237">
        <f t="shared" si="3"/>
        <v>1</v>
      </c>
      <c r="AB44" s="3237">
        <f t="shared" si="4"/>
        <v>1</v>
      </c>
      <c r="AC44" s="3237">
        <f t="shared" si="5"/>
        <v>1</v>
      </c>
    </row>
    <row r="45" spans="1:29" ht="15" hidden="1">
      <c r="A45" s="3338"/>
      <c r="B45" s="3322">
        <v>111</v>
      </c>
      <c r="C45" s="3270"/>
      <c r="D45" s="3271">
        <v>100</v>
      </c>
      <c r="E45" s="3270"/>
      <c r="F45" s="3313">
        <f>SUMIF(128:128,E45,129:129)-SUMIF(128:128,C45,129:129)+100</f>
        <v>100</v>
      </c>
      <c r="G45" s="3270"/>
      <c r="H45" s="3271">
        <f>SUMIF(128:128,G45,129:129)-SUMIF(128:128,C45,129:129)+100</f>
        <v>100</v>
      </c>
      <c r="I45" s="3270"/>
      <c r="J45" s="3271">
        <f>SUMIF(128:128,I45,129:129)-SUMIF(128:128,C45,129:129)+100</f>
        <v>100</v>
      </c>
      <c r="K45" s="3269"/>
      <c r="L45" s="3272"/>
      <c r="M45" s="3216"/>
      <c r="N45" s="3216"/>
      <c r="O45" s="3264"/>
      <c r="P45" s="3873"/>
      <c r="Q45" s="3283">
        <f t="shared" si="11"/>
        <v>111</v>
      </c>
      <c r="R45" s="3284" t="s">
        <v>3228</v>
      </c>
      <c r="S45" s="3285">
        <f t="shared" si="12"/>
        <v>100</v>
      </c>
      <c r="T45" s="3284" t="s">
        <v>3228</v>
      </c>
      <c r="U45" s="3285">
        <f t="shared" si="13"/>
        <v>100</v>
      </c>
      <c r="V45" s="3284" t="s">
        <v>3228</v>
      </c>
      <c r="W45" s="3285">
        <f t="shared" si="14"/>
        <v>100</v>
      </c>
      <c r="X45" s="3217"/>
      <c r="Y45" s="3873"/>
      <c r="Z45" s="3286">
        <f t="shared" si="15"/>
        <v>111</v>
      </c>
      <c r="AA45" s="3287">
        <f t="shared" si="3"/>
        <v>1</v>
      </c>
      <c r="AB45" s="3287">
        <f t="shared" si="4"/>
        <v>1</v>
      </c>
      <c r="AC45" s="3287">
        <f t="shared" si="5"/>
        <v>1</v>
      </c>
    </row>
    <row r="46" spans="1:29" ht="15.75" hidden="1" thickBot="1">
      <c r="A46" s="3345"/>
      <c r="B46" s="3346">
        <v>111</v>
      </c>
      <c r="C46" s="3275"/>
      <c r="D46" s="3276">
        <v>100</v>
      </c>
      <c r="E46" s="3275"/>
      <c r="F46" s="3277">
        <f>SUMIF(130:130,E46,131:131)-SUMIF(130:130,C46,131:131)+100</f>
        <v>100</v>
      </c>
      <c r="G46" s="3275"/>
      <c r="H46" s="3276">
        <f>SUMIF(130:130,G46,131:131)-SUMIF(130:130,C46,131:131)+100</f>
        <v>100</v>
      </c>
      <c r="I46" s="3275"/>
      <c r="J46" s="3276">
        <f>SUMIF(130:130,I46,131:131)-SUMIF(130:130,C46,131:131)+100</f>
        <v>100</v>
      </c>
      <c r="K46" s="3269"/>
      <c r="L46" s="3272"/>
      <c r="M46" s="3216"/>
      <c r="N46" s="3216"/>
      <c r="O46" s="3264"/>
      <c r="P46" s="3874"/>
      <c r="Q46" s="3283">
        <f t="shared" si="11"/>
        <v>111</v>
      </c>
      <c r="R46" s="3284" t="s">
        <v>3228</v>
      </c>
      <c r="S46" s="3285">
        <f t="shared" si="12"/>
        <v>100</v>
      </c>
      <c r="T46" s="3284" t="s">
        <v>3228</v>
      </c>
      <c r="U46" s="3285">
        <f t="shared" si="13"/>
        <v>100</v>
      </c>
      <c r="V46" s="3284" t="s">
        <v>3228</v>
      </c>
      <c r="W46" s="3285">
        <f t="shared" si="14"/>
        <v>100</v>
      </c>
      <c r="X46" s="3217"/>
      <c r="Y46" s="3874"/>
      <c r="Z46" s="3286">
        <f t="shared" si="15"/>
        <v>111</v>
      </c>
      <c r="AA46" s="3287">
        <f t="shared" si="3"/>
        <v>1</v>
      </c>
      <c r="AB46" s="3287">
        <f t="shared" si="4"/>
        <v>1</v>
      </c>
      <c r="AC46" s="3287">
        <f t="shared" si="5"/>
        <v>1</v>
      </c>
    </row>
    <row r="47" spans="1:29" ht="15">
      <c r="A47" s="3347" t="s">
        <v>3262</v>
      </c>
      <c r="B47" s="3348"/>
      <c r="C47" s="3349" t="s">
        <v>1765</v>
      </c>
      <c r="D47" s="3350"/>
      <c r="E47" s="3351">
        <f>ROUND(8600*C50,0)</f>
        <v>8170</v>
      </c>
      <c r="F47" s="3352"/>
      <c r="G47" s="3353">
        <f>ROUND(8000*C50,0)</f>
        <v>7600</v>
      </c>
      <c r="H47" s="3354"/>
      <c r="I47" s="3351">
        <f>ROUND(8700*C50,0)</f>
        <v>8265</v>
      </c>
      <c r="J47" s="3354"/>
      <c r="K47" s="3355"/>
      <c r="L47" s="3356"/>
      <c r="M47" s="3357"/>
      <c r="N47" s="3216"/>
      <c r="O47" s="3357"/>
      <c r="P47" s="3865" t="str">
        <f>A47</f>
        <v>成交单价（元/平方米）</v>
      </c>
      <c r="Q47" s="3865"/>
      <c r="R47" s="3866">
        <f>E47</f>
        <v>8170</v>
      </c>
      <c r="S47" s="3866"/>
      <c r="T47" s="3866">
        <f>G47</f>
        <v>7600</v>
      </c>
      <c r="U47" s="3866"/>
      <c r="V47" s="3866">
        <f>I47</f>
        <v>8265</v>
      </c>
      <c r="W47" s="3866"/>
      <c r="X47" s="3358"/>
      <c r="Y47" s="3359"/>
      <c r="Z47" s="3358"/>
      <c r="AA47" s="3358"/>
      <c r="AB47" s="3358"/>
      <c r="AC47" s="3358"/>
    </row>
    <row r="48" spans="1:29" ht="15.75" thickBot="1">
      <c r="A48" s="3360" t="s">
        <v>3263</v>
      </c>
      <c r="B48" s="3361"/>
      <c r="C48" s="3362">
        <f>R49</f>
        <v>7215</v>
      </c>
      <c r="D48" s="3363"/>
      <c r="E48" s="3364">
        <f>R48</f>
        <v>7332</v>
      </c>
      <c r="F48" s="3364"/>
      <c r="G48" s="3362">
        <f>T48</f>
        <v>6821</v>
      </c>
      <c r="H48" s="3363"/>
      <c r="I48" s="3364">
        <f>V48</f>
        <v>7493</v>
      </c>
      <c r="J48" s="3363"/>
      <c r="K48" s="3365"/>
      <c r="L48" s="3356"/>
      <c r="M48" s="3357"/>
      <c r="N48" s="3357"/>
      <c r="O48" s="3357"/>
      <c r="P48" s="3865" t="str">
        <f>A48</f>
        <v>比较价格（元/平方米）</v>
      </c>
      <c r="Q48" s="3865"/>
      <c r="R48" s="3866">
        <f>IF(F1="售价",ROUND(PRODUCT(R47,AA7:AA46),0),ROUND(PRODUCT(R47,AA7:AA46),1))</f>
        <v>7332</v>
      </c>
      <c r="S48" s="3866"/>
      <c r="T48" s="3866">
        <f>IF(F1="售价",ROUND(PRODUCT(T47,AB7:AB46),0),ROUND(PRODUCT(T47,AB7:AB46),1))</f>
        <v>6821</v>
      </c>
      <c r="U48" s="3866"/>
      <c r="V48" s="3866">
        <f>IF(F1="售价",ROUND(PRODUCT(V47,AC7:AC46),0),ROUND(PRODUCT(V47,AC7:AC46),1))</f>
        <v>7493</v>
      </c>
      <c r="W48" s="3866"/>
      <c r="X48" s="3358"/>
      <c r="Y48" s="3358"/>
      <c r="Z48" s="3358"/>
      <c r="AA48" s="3358"/>
      <c r="AB48" s="3358"/>
      <c r="AC48" s="3358"/>
    </row>
    <row r="49" spans="1:29" ht="15.75" thickBot="1">
      <c r="A49" s="3366" t="s">
        <v>3264</v>
      </c>
      <c r="B49" s="3367"/>
      <c r="C49" s="3368">
        <f>R49</f>
        <v>7215</v>
      </c>
      <c r="D49" s="3368"/>
      <c r="E49" s="3368"/>
      <c r="F49" s="3368"/>
      <c r="G49" s="3368"/>
      <c r="H49" s="3368"/>
      <c r="I49" s="3368"/>
      <c r="J49" s="3368"/>
      <c r="K49" s="3369"/>
      <c r="L49" s="3356"/>
      <c r="M49" s="3357"/>
      <c r="N49" s="3357"/>
      <c r="O49" s="3357"/>
      <c r="P49" s="3867" t="str">
        <f>A49</f>
        <v>估价对象XX用房的比较价格（楼面单价，元/平方米）</v>
      </c>
      <c r="Q49" s="3868"/>
      <c r="R49" s="3869">
        <f>IF(F1="售价",ROUND(AVERAGE(R48:V48),0),ROUND(AVERAGE(R48:V48),1))</f>
        <v>7215</v>
      </c>
      <c r="S49" s="3869"/>
      <c r="T49" s="3869"/>
      <c r="U49" s="3869"/>
      <c r="V49" s="3869"/>
      <c r="W49" s="3869"/>
      <c r="X49" s="3358"/>
      <c r="Y49" s="3358"/>
      <c r="Z49" s="3358"/>
      <c r="AA49" s="3358"/>
      <c r="AB49" s="3358"/>
      <c r="AC49" s="3358"/>
    </row>
    <row r="50" spans="1:29">
      <c r="A50" s="3357"/>
      <c r="B50" s="3357"/>
      <c r="C50" s="3357">
        <v>0.95</v>
      </c>
      <c r="D50" s="3357"/>
      <c r="E50" s="3357"/>
      <c r="F50" s="3357"/>
      <c r="G50" s="3370"/>
      <c r="H50" s="3357"/>
      <c r="I50" s="3357"/>
      <c r="J50" s="3357"/>
      <c r="K50" s="3371"/>
      <c r="L50" s="3372"/>
      <c r="M50" s="3357"/>
      <c r="N50" s="3357"/>
      <c r="O50" s="3357"/>
      <c r="P50" s="3357"/>
      <c r="Q50" s="3357"/>
      <c r="R50" s="3357"/>
      <c r="S50" s="3357"/>
      <c r="T50" s="3357"/>
      <c r="U50" s="3357"/>
      <c r="V50" s="3357"/>
      <c r="W50" s="3357"/>
      <c r="X50" s="3357"/>
      <c r="Y50" s="3357"/>
      <c r="Z50" s="3357"/>
      <c r="AA50" s="3357"/>
      <c r="AB50" s="3357"/>
      <c r="AC50" s="3357"/>
    </row>
    <row r="51" spans="1:29">
      <c r="A51" s="3357"/>
      <c r="B51" s="3357"/>
      <c r="C51" s="3357"/>
      <c r="D51" s="3357"/>
      <c r="E51" s="3357"/>
      <c r="F51" s="3357"/>
      <c r="G51" s="3357"/>
      <c r="H51" s="3357"/>
      <c r="I51" s="3357"/>
      <c r="J51" s="3357"/>
      <c r="K51" s="3371"/>
      <c r="L51" s="3372"/>
      <c r="M51" s="3357"/>
      <c r="N51" s="3357"/>
      <c r="O51" s="3357"/>
      <c r="P51" s="3357"/>
      <c r="Q51" s="3357"/>
      <c r="R51" s="3357"/>
      <c r="S51" s="3357"/>
      <c r="T51" s="3357"/>
      <c r="U51" s="3357"/>
      <c r="V51" s="3357"/>
      <c r="W51" s="3357"/>
      <c r="X51" s="3357"/>
      <c r="Y51" s="3357"/>
      <c r="Z51" s="3357"/>
      <c r="AA51" s="3357"/>
      <c r="AB51" s="3357"/>
      <c r="AC51" s="3357"/>
    </row>
    <row r="52" spans="1:29" ht="13.5" customHeight="1">
      <c r="A52" s="3357"/>
      <c r="B52" s="3357"/>
      <c r="C52" s="3373" t="s">
        <v>3265</v>
      </c>
      <c r="D52" s="3374"/>
      <c r="E52" s="3375">
        <f>IF(E47&lt;E48,E48/E47-1,E47/E48-1)</f>
        <v>0.11429350791052917</v>
      </c>
      <c r="F52" s="3376" t="str">
        <f>IF(OR(E52&gt;=0.3,E52&lt;=-0.3),"超过30%","")</f>
        <v/>
      </c>
      <c r="G52" s="3375">
        <f>IF(G47&lt;G48,G48/G47-1,G47/G48-1)</f>
        <v>0.11420612813370479</v>
      </c>
      <c r="H52" s="3376" t="str">
        <f>IF(OR(G52&gt;=0.3,G52&lt;=-0.3),"超过30%","")</f>
        <v/>
      </c>
      <c r="I52" s="3375">
        <f>IF(I47&lt;I48,I48/I47-1,I47/I48-1)</f>
        <v>0.10302949419458152</v>
      </c>
      <c r="J52" s="3376" t="str">
        <f>IF(OR(I52&gt;=0.3,I52&lt;=-0.3),"超过30%","")</f>
        <v/>
      </c>
      <c r="K52" s="3371"/>
      <c r="L52" s="3372"/>
      <c r="M52" s="3357"/>
      <c r="N52" s="3357"/>
      <c r="O52" s="3357"/>
      <c r="P52" s="3357"/>
      <c r="Q52" s="3357"/>
      <c r="R52" s="3357"/>
      <c r="S52" s="3357"/>
      <c r="T52" s="3357"/>
      <c r="U52" s="3357"/>
      <c r="V52" s="3357"/>
      <c r="W52" s="3357"/>
      <c r="X52" s="3357"/>
      <c r="Y52" s="3357"/>
      <c r="Z52" s="3357"/>
      <c r="AA52" s="3357"/>
      <c r="AB52" s="3357"/>
      <c r="AC52" s="3357"/>
    </row>
    <row r="53" spans="1:29" ht="13.5" customHeight="1">
      <c r="A53" s="3357"/>
      <c r="B53" s="3357"/>
      <c r="C53" s="3373" t="s">
        <v>3266</v>
      </c>
      <c r="D53" s="3377"/>
      <c r="E53" s="3375">
        <f>IF(E48&lt;G48,G48/E48-1,E48/G48-1)</f>
        <v>7.4915701510042565E-2</v>
      </c>
      <c r="F53" s="3376" t="str">
        <f>IF(OR(E53&gt;=0.2,E53&lt;=-0.2),"超过20%","")</f>
        <v/>
      </c>
      <c r="G53" s="3375">
        <f>IF(G48&lt;I48,I48/G48-1,G48/I48-1)</f>
        <v>9.8519278698138146E-2</v>
      </c>
      <c r="H53" s="3376" t="str">
        <f>IF(OR(G53&gt;=0.2,G53&lt;=-0.2),"超过20%","")</f>
        <v/>
      </c>
      <c r="I53" s="3375">
        <f>IF(I48&lt;E48,E48/I48-1,I48/E48-1)</f>
        <v>2.1958537915984788E-2</v>
      </c>
      <c r="J53" s="3376" t="str">
        <f>IF(OR(I53&gt;=0.2,I53&lt;=-0.2),"超过20%","")</f>
        <v/>
      </c>
      <c r="K53" s="3371"/>
      <c r="L53" s="3372"/>
      <c r="M53" s="3357"/>
      <c r="N53" s="3357"/>
      <c r="O53" s="3357"/>
      <c r="P53" s="3357"/>
      <c r="Q53" s="3357"/>
      <c r="R53" s="3357"/>
      <c r="S53" s="3357"/>
      <c r="T53" s="3357"/>
      <c r="U53" s="3357"/>
      <c r="V53" s="3357"/>
      <c r="W53" s="3357"/>
      <c r="X53" s="3357"/>
      <c r="Y53" s="3357"/>
      <c r="Z53" s="3357"/>
      <c r="AA53" s="3357"/>
      <c r="AB53" s="3357"/>
      <c r="AC53" s="3357"/>
    </row>
    <row r="54" spans="1:29" s="3381" customFormat="1" ht="13.5" customHeight="1">
      <c r="A54" s="3378"/>
      <c r="B54" s="3378"/>
      <c r="C54" s="3373" t="s">
        <v>3267</v>
      </c>
      <c r="D54" s="3377"/>
      <c r="E54" s="3375">
        <f>IF(E47&lt;G47,G47/E47-1,E47/G47-1)</f>
        <v>7.4999999999999956E-2</v>
      </c>
      <c r="F54" s="3376" t="str">
        <f>IF(OR(E54&gt;=0.3,E54&lt;=-0.3),"超过30%","")</f>
        <v/>
      </c>
      <c r="G54" s="3375">
        <f>IF(G47&lt;I47,I47/G47-1,G47/I47-1)</f>
        <v>8.7499999999999911E-2</v>
      </c>
      <c r="H54" s="3376" t="str">
        <f>IF(OR(G54&gt;=0.3,G54&lt;=-0.3),"超过30%","")</f>
        <v/>
      </c>
      <c r="I54" s="3375">
        <f>IF(I47&lt;E47,E47/I47-1,I47/E47-1)</f>
        <v>1.1627906976744207E-2</v>
      </c>
      <c r="J54" s="3376" t="str">
        <f>IF(OR(I54&gt;=0.3,I54&lt;=-0.3),"超过30%","")</f>
        <v/>
      </c>
      <c r="K54" s="3379"/>
      <c r="L54" s="3380"/>
      <c r="M54" s="3378"/>
      <c r="N54" s="3378"/>
      <c r="O54" s="3378"/>
      <c r="P54" s="3378"/>
      <c r="Q54" s="3378"/>
      <c r="R54" s="3378"/>
      <c r="S54" s="3378"/>
      <c r="T54" s="3378"/>
      <c r="U54" s="3378"/>
      <c r="V54" s="3378"/>
      <c r="W54" s="3378"/>
      <c r="X54" s="3378"/>
      <c r="Y54" s="3378"/>
      <c r="Z54" s="3378"/>
      <c r="AA54" s="3378"/>
      <c r="AB54" s="3378"/>
      <c r="AC54" s="3378"/>
    </row>
    <row r="55" spans="1:29" s="3381" customFormat="1">
      <c r="A55" s="3378"/>
      <c r="B55" s="3382"/>
      <c r="C55" s="3383"/>
      <c r="D55" s="3378"/>
      <c r="E55" s="3378"/>
      <c r="F55" s="3378"/>
      <c r="G55" s="3378"/>
      <c r="H55" s="3378"/>
      <c r="I55" s="3378"/>
      <c r="J55" s="3378"/>
      <c r="K55" s="3379"/>
      <c r="L55" s="3380"/>
      <c r="M55" s="3378"/>
      <c r="N55" s="3378"/>
      <c r="O55" s="3378"/>
      <c r="P55" s="3378"/>
      <c r="Q55" s="3378"/>
      <c r="R55" s="3378"/>
      <c r="S55" s="3378"/>
      <c r="T55" s="3378"/>
      <c r="U55" s="3378"/>
      <c r="V55" s="3378"/>
      <c r="W55" s="3378"/>
      <c r="X55" s="3378"/>
      <c r="Y55" s="3378"/>
      <c r="Z55" s="3378"/>
      <c r="AA55" s="3378"/>
      <c r="AB55" s="3378"/>
      <c r="AC55" s="3378"/>
    </row>
    <row r="56" spans="1:29">
      <c r="A56" s="3357"/>
      <c r="B56" s="3382"/>
      <c r="C56" s="3383"/>
      <c r="D56" s="3382"/>
      <c r="E56" s="3382"/>
      <c r="F56" s="3382"/>
      <c r="G56" s="3382"/>
      <c r="H56" s="3382"/>
      <c r="I56" s="3382"/>
      <c r="J56" s="3382"/>
      <c r="K56" s="3382"/>
      <c r="L56" s="3382"/>
      <c r="M56" s="3382"/>
      <c r="N56" s="3382"/>
      <c r="O56" s="3382"/>
      <c r="P56" s="3357"/>
      <c r="Q56" s="3357"/>
      <c r="R56" s="3357"/>
      <c r="S56" s="3357"/>
      <c r="T56" s="3357"/>
      <c r="U56" s="3357"/>
      <c r="V56" s="3357"/>
      <c r="W56" s="3357"/>
      <c r="X56" s="3357"/>
      <c r="Y56" s="3357"/>
      <c r="Z56" s="3357"/>
      <c r="AA56" s="3357"/>
      <c r="AB56" s="3357"/>
      <c r="AC56" s="3357"/>
    </row>
    <row r="57" spans="1:29" ht="21.75" thickBot="1">
      <c r="A57" s="3384" t="s">
        <v>3268</v>
      </c>
      <c r="B57" s="3358"/>
      <c r="C57" s="3385"/>
      <c r="D57" s="3385"/>
      <c r="E57" s="3385"/>
      <c r="F57" s="3386"/>
      <c r="G57" s="3386"/>
      <c r="H57" s="3385"/>
      <c r="I57" s="3385"/>
      <c r="J57" s="3385"/>
      <c r="K57" s="3387"/>
      <c r="L57" s="3388"/>
      <c r="M57" s="3385"/>
      <c r="N57" s="3385"/>
      <c r="O57" s="3385"/>
      <c r="P57" s="3389"/>
      <c r="Q57" s="3390"/>
      <c r="R57" s="3357"/>
      <c r="S57" s="3357"/>
      <c r="T57" s="3357"/>
      <c r="U57" s="3357"/>
      <c r="V57" s="3357"/>
      <c r="W57" s="3357"/>
      <c r="X57" s="3357"/>
      <c r="Y57" s="3357"/>
      <c r="Z57" s="3357"/>
      <c r="AA57" s="3357"/>
      <c r="AB57" s="3357"/>
      <c r="AC57" s="3357"/>
    </row>
    <row r="58" spans="1:29" s="3396" customFormat="1" ht="15">
      <c r="A58" s="3391" t="s">
        <v>3269</v>
      </c>
      <c r="B58" s="3392"/>
      <c r="C58" s="3393" t="str">
        <f>YEAR(C7)&amp;"-"&amp;MONTH(C7)</f>
        <v>2019-7</v>
      </c>
      <c r="D58" s="3393">
        <f>EDATE(C58,-1)</f>
        <v>43617</v>
      </c>
      <c r="E58" s="3393">
        <f t="shared" ref="E58:O58" si="16">EDATE(D58,-1)</f>
        <v>43586</v>
      </c>
      <c r="F58" s="3393">
        <f t="shared" si="16"/>
        <v>43556</v>
      </c>
      <c r="G58" s="3393">
        <f t="shared" si="16"/>
        <v>43525</v>
      </c>
      <c r="H58" s="3393">
        <f t="shared" si="16"/>
        <v>43497</v>
      </c>
      <c r="I58" s="3393">
        <f t="shared" si="16"/>
        <v>43466</v>
      </c>
      <c r="J58" s="3393">
        <f t="shared" si="16"/>
        <v>43435</v>
      </c>
      <c r="K58" s="3393">
        <f t="shared" si="16"/>
        <v>43405</v>
      </c>
      <c r="L58" s="3393">
        <f t="shared" si="16"/>
        <v>43374</v>
      </c>
      <c r="M58" s="3393">
        <f t="shared" si="16"/>
        <v>43344</v>
      </c>
      <c r="N58" s="3393">
        <f t="shared" si="16"/>
        <v>43313</v>
      </c>
      <c r="O58" s="3393">
        <f t="shared" si="16"/>
        <v>43282</v>
      </c>
      <c r="P58" s="3394"/>
      <c r="Q58" s="3395"/>
      <c r="R58" s="3395"/>
      <c r="S58" s="3395"/>
      <c r="T58" s="3395"/>
      <c r="U58" s="3395"/>
      <c r="V58" s="3395"/>
      <c r="W58" s="3395"/>
      <c r="X58" s="3395"/>
      <c r="Y58" s="3395"/>
      <c r="Z58" s="3395"/>
      <c r="AA58" s="3395"/>
      <c r="AB58" s="3395"/>
      <c r="AC58" s="3395"/>
    </row>
    <row r="59" spans="1:29" s="3238" customFormat="1" ht="15">
      <c r="A59" s="3397"/>
      <c r="B59" s="3398"/>
      <c r="C59" s="3399">
        <v>100</v>
      </c>
      <c r="D59" s="3400"/>
      <c r="E59" s="3400"/>
      <c r="F59" s="3400"/>
      <c r="G59" s="3400"/>
      <c r="H59" s="3400"/>
      <c r="I59" s="3400"/>
      <c r="J59" s="3400"/>
      <c r="K59" s="3400"/>
      <c r="L59" s="3400"/>
      <c r="M59" s="3400"/>
      <c r="N59" s="3400"/>
      <c r="O59" s="3400"/>
      <c r="P59" s="3390"/>
      <c r="Q59" s="3401"/>
      <c r="R59" s="3401"/>
      <c r="S59" s="3401"/>
      <c r="T59" s="3401"/>
      <c r="U59" s="3401"/>
      <c r="V59" s="3401"/>
      <c r="W59" s="3401"/>
      <c r="X59" s="3401"/>
      <c r="Y59" s="3401"/>
      <c r="Z59" s="3401"/>
      <c r="AA59" s="3401"/>
      <c r="AB59" s="3401"/>
      <c r="AC59" s="3401"/>
    </row>
    <row r="60" spans="1:29" s="3238" customFormat="1" ht="15.75" thickBot="1">
      <c r="A60" s="3402" t="s">
        <v>3270</v>
      </c>
      <c r="B60" s="3403"/>
      <c r="C60" s="3404"/>
      <c r="D60" s="3405"/>
      <c r="E60" s="3405"/>
      <c r="F60" s="3405"/>
      <c r="G60" s="3405"/>
      <c r="H60" s="3405"/>
      <c r="I60" s="3405"/>
      <c r="J60" s="3405"/>
      <c r="K60" s="3405"/>
      <c r="L60" s="3405"/>
      <c r="M60" s="3406"/>
      <c r="N60" s="3405"/>
      <c r="O60" s="3407"/>
      <c r="P60" s="3390"/>
      <c r="Q60" s="3390"/>
      <c r="R60" s="3401"/>
      <c r="S60" s="3401"/>
      <c r="T60" s="3401"/>
      <c r="U60" s="3401"/>
      <c r="V60" s="3401"/>
      <c r="W60" s="3401"/>
      <c r="X60" s="3401"/>
      <c r="Y60" s="3401"/>
      <c r="Z60" s="3401"/>
      <c r="AA60" s="3401"/>
      <c r="AB60" s="3401"/>
      <c r="AC60" s="3401"/>
    </row>
    <row r="61" spans="1:29" s="3238" customFormat="1" ht="15">
      <c r="A61" s="3408" t="s">
        <v>3219</v>
      </c>
      <c r="B61" s="3398"/>
      <c r="C61" s="3409" t="s">
        <v>3271</v>
      </c>
      <c r="D61" s="3410"/>
      <c r="E61" s="3410"/>
      <c r="F61" s="3410"/>
      <c r="G61" s="3410"/>
      <c r="H61" s="3410"/>
      <c r="I61" s="3410"/>
      <c r="J61" s="3410"/>
      <c r="K61" s="3410"/>
      <c r="L61" s="3411"/>
      <c r="M61" s="3412"/>
      <c r="N61" s="3413"/>
      <c r="O61" s="3413"/>
      <c r="P61" s="3414"/>
      <c r="Q61" s="3390"/>
      <c r="R61" s="3401"/>
      <c r="S61" s="3401"/>
      <c r="T61" s="3401"/>
      <c r="U61" s="3401"/>
      <c r="V61" s="3401"/>
      <c r="W61" s="3401"/>
      <c r="X61" s="3401"/>
      <c r="Y61" s="3401"/>
      <c r="Z61" s="3401"/>
      <c r="AA61" s="3401"/>
      <c r="AB61" s="3401"/>
      <c r="AC61" s="3401"/>
    </row>
    <row r="62" spans="1:29" s="3238" customFormat="1" ht="15.75" thickBot="1">
      <c r="A62" s="3408"/>
      <c r="B62" s="3398"/>
      <c r="C62" s="3415">
        <v>100</v>
      </c>
      <c r="D62" s="3400"/>
      <c r="E62" s="3400"/>
      <c r="F62" s="3400"/>
      <c r="G62" s="3400"/>
      <c r="H62" s="3400"/>
      <c r="I62" s="3400"/>
      <c r="J62" s="3400"/>
      <c r="K62" s="3400"/>
      <c r="L62" s="3400"/>
      <c r="M62" s="3416"/>
      <c r="N62" s="3413"/>
      <c r="O62" s="3413"/>
      <c r="P62" s="3390"/>
      <c r="Q62" s="3390"/>
      <c r="R62" s="3401"/>
      <c r="S62" s="3401"/>
      <c r="T62" s="3401"/>
      <c r="U62" s="3401"/>
      <c r="V62" s="3401"/>
      <c r="W62" s="3401"/>
      <c r="X62" s="3401"/>
      <c r="Y62" s="3401"/>
      <c r="Z62" s="3401"/>
      <c r="AA62" s="3401"/>
      <c r="AB62" s="3401"/>
      <c r="AC62" s="3401"/>
    </row>
    <row r="63" spans="1:29">
      <c r="A63" s="3417" t="s">
        <v>3272</v>
      </c>
      <c r="B63" s="3418" t="s">
        <v>3273</v>
      </c>
      <c r="C63" s="3419" t="str">
        <f>C9</f>
        <v>住宅</v>
      </c>
      <c r="D63" s="3420"/>
      <c r="E63" s="3420"/>
      <c r="F63" s="3420"/>
      <c r="G63" s="3420"/>
      <c r="H63" s="3420"/>
      <c r="I63" s="3420"/>
      <c r="J63" s="3420"/>
      <c r="K63" s="3421"/>
      <c r="L63" s="3422"/>
      <c r="M63" s="3423"/>
      <c r="N63" s="3424"/>
      <c r="O63" s="3424"/>
      <c r="P63" s="3425"/>
      <c r="Q63" s="3390"/>
      <c r="R63" s="3357"/>
      <c r="S63" s="3357"/>
      <c r="T63" s="3357"/>
      <c r="U63" s="3357"/>
      <c r="V63" s="3357"/>
      <c r="W63" s="3357"/>
      <c r="X63" s="3357"/>
      <c r="Y63" s="3357"/>
      <c r="Z63" s="3357"/>
      <c r="AA63" s="3357"/>
      <c r="AB63" s="3357"/>
      <c r="AC63" s="3357"/>
    </row>
    <row r="64" spans="1:29" ht="15.75" thickBot="1">
      <c r="A64" s="3426"/>
      <c r="B64" s="3427"/>
      <c r="C64" s="3428"/>
      <c r="D64" s="3428"/>
      <c r="E64" s="3429"/>
      <c r="F64" s="3429"/>
      <c r="G64" s="3429"/>
      <c r="H64" s="3429"/>
      <c r="I64" s="3429"/>
      <c r="J64" s="3429"/>
      <c r="K64" s="3429"/>
      <c r="L64" s="3429"/>
      <c r="M64" s="3430"/>
      <c r="N64" s="3431"/>
      <c r="O64" s="3431"/>
      <c r="P64" s="3425"/>
      <c r="Q64" s="3390"/>
      <c r="R64" s="3357"/>
      <c r="S64" s="3357"/>
      <c r="T64" s="3357"/>
      <c r="U64" s="3357"/>
      <c r="V64" s="3357"/>
      <c r="W64" s="3357"/>
      <c r="X64" s="3357"/>
      <c r="Y64" s="3357"/>
      <c r="Z64" s="3357"/>
      <c r="AA64" s="3357"/>
      <c r="AB64" s="3357"/>
      <c r="AC64" s="3357"/>
    </row>
    <row r="65" spans="1:29" ht="27.75" thickTop="1">
      <c r="A65" s="3426"/>
      <c r="B65" s="3432" t="s">
        <v>3274</v>
      </c>
      <c r="C65" s="3433" t="s">
        <v>3275</v>
      </c>
      <c r="D65" s="3433" t="s">
        <v>3276</v>
      </c>
      <c r="E65" s="3433" t="s">
        <v>3277</v>
      </c>
      <c r="F65" s="3433" t="s">
        <v>3278</v>
      </c>
      <c r="G65" s="3433" t="s">
        <v>3279</v>
      </c>
      <c r="H65" s="3433" t="s">
        <v>3280</v>
      </c>
      <c r="I65" s="3433" t="s">
        <v>3281</v>
      </c>
      <c r="J65" s="3433"/>
      <c r="K65" s="3434"/>
      <c r="L65" s="3435"/>
      <c r="M65" s="3436"/>
      <c r="N65" s="3424"/>
      <c r="O65" s="3424"/>
      <c r="P65" s="3425"/>
      <c r="Q65" s="3390"/>
      <c r="R65" s="3357"/>
      <c r="S65" s="3357"/>
      <c r="T65" s="3357"/>
      <c r="U65" s="3357"/>
      <c r="V65" s="3357"/>
      <c r="W65" s="3357"/>
      <c r="X65" s="3357"/>
      <c r="Y65" s="3357"/>
      <c r="Z65" s="3357"/>
      <c r="AA65" s="3357"/>
      <c r="AB65" s="3357"/>
      <c r="AC65" s="3357"/>
    </row>
    <row r="66" spans="1:29" ht="15.75" thickBot="1">
      <c r="A66" s="3426"/>
      <c r="B66" s="3437"/>
      <c r="C66" s="3438">
        <v>100</v>
      </c>
      <c r="D66" s="3438">
        <f t="shared" ref="D66:I66" si="17">C66-$K10</f>
        <v>98</v>
      </c>
      <c r="E66" s="3438">
        <f t="shared" si="17"/>
        <v>96</v>
      </c>
      <c r="F66" s="3438">
        <f t="shared" si="17"/>
        <v>94</v>
      </c>
      <c r="G66" s="3438">
        <f t="shared" si="17"/>
        <v>92</v>
      </c>
      <c r="H66" s="3438">
        <f t="shared" si="17"/>
        <v>90</v>
      </c>
      <c r="I66" s="3438">
        <f t="shared" si="17"/>
        <v>88</v>
      </c>
      <c r="J66" s="3438"/>
      <c r="K66" s="3438"/>
      <c r="L66" s="3438"/>
      <c r="M66" s="3439"/>
      <c r="N66" s="3431"/>
      <c r="O66" s="3431"/>
      <c r="P66" s="3425"/>
      <c r="Q66" s="3390"/>
      <c r="R66" s="3357"/>
      <c r="S66" s="3357"/>
      <c r="T66" s="3357"/>
      <c r="U66" s="3357"/>
      <c r="V66" s="3357"/>
      <c r="W66" s="3357"/>
      <c r="X66" s="3357"/>
      <c r="Y66" s="3357"/>
      <c r="Z66" s="3357"/>
      <c r="AA66" s="3357"/>
      <c r="AB66" s="3357"/>
      <c r="AC66" s="3357"/>
    </row>
    <row r="67" spans="1:29" ht="15.75" thickTop="1">
      <c r="A67" s="3426"/>
      <c r="B67" s="3440" t="s">
        <v>3282</v>
      </c>
      <c r="C67" s="3441" t="str">
        <f>C68&amp;"（含）"&amp;"-"&amp;D68</f>
        <v>0（含）-1</v>
      </c>
      <c r="D67" s="3441" t="str">
        <f t="shared" ref="D67:L67" si="18">D68&amp;"（含）"&amp;"-"&amp;E68</f>
        <v>1（含）-2</v>
      </c>
      <c r="E67" s="3441" t="str">
        <f t="shared" si="18"/>
        <v>2（含）-3</v>
      </c>
      <c r="F67" s="3441" t="str">
        <f t="shared" si="18"/>
        <v>3（含）-4</v>
      </c>
      <c r="G67" s="3441" t="str">
        <f t="shared" si="18"/>
        <v>4（含）-</v>
      </c>
      <c r="H67" s="3441" t="str">
        <f t="shared" si="18"/>
        <v>（含）-</v>
      </c>
      <c r="I67" s="3441" t="str">
        <f t="shared" si="18"/>
        <v>（含）-</v>
      </c>
      <c r="J67" s="3441" t="str">
        <f t="shared" si="18"/>
        <v>（含）-</v>
      </c>
      <c r="K67" s="3441" t="str">
        <f t="shared" si="18"/>
        <v>（含）-</v>
      </c>
      <c r="L67" s="3441" t="str">
        <f t="shared" si="18"/>
        <v>（含）-</v>
      </c>
      <c r="M67" s="3291" t="str">
        <f>M68&amp;"（含）"&amp;"-"&amp;P68</f>
        <v>（含）-</v>
      </c>
      <c r="N67" s="3431"/>
      <c r="O67" s="3431"/>
      <c r="P67" s="3425"/>
      <c r="Q67" s="3390"/>
      <c r="R67" s="3357"/>
      <c r="S67" s="3357"/>
      <c r="T67" s="3357"/>
      <c r="U67" s="3357"/>
      <c r="V67" s="3357"/>
      <c r="W67" s="3357"/>
      <c r="X67" s="3357"/>
      <c r="Y67" s="3357"/>
      <c r="Z67" s="3357"/>
      <c r="AA67" s="3357"/>
      <c r="AB67" s="3357"/>
      <c r="AC67" s="3357"/>
    </row>
    <row r="68" spans="1:29" ht="15">
      <c r="A68" s="3426"/>
      <c r="B68" s="3442"/>
      <c r="C68" s="3443">
        <v>0</v>
      </c>
      <c r="D68" s="3443">
        <v>1</v>
      </c>
      <c r="E68" s="3443">
        <v>2</v>
      </c>
      <c r="F68" s="3443">
        <v>3</v>
      </c>
      <c r="G68" s="3443">
        <v>4</v>
      </c>
      <c r="H68" s="3443"/>
      <c r="I68" s="3443"/>
      <c r="J68" s="3443"/>
      <c r="K68" s="3444"/>
      <c r="L68" s="3445"/>
      <c r="M68" s="3446"/>
      <c r="N68" s="3424"/>
      <c r="O68" s="3424"/>
      <c r="P68" s="3425"/>
      <c r="Q68" s="3390"/>
      <c r="R68" s="3357"/>
      <c r="S68" s="3357"/>
      <c r="T68" s="3357"/>
      <c r="U68" s="3357"/>
      <c r="V68" s="3357"/>
      <c r="W68" s="3357"/>
      <c r="X68" s="3357"/>
      <c r="Y68" s="3357"/>
      <c r="Z68" s="3357"/>
      <c r="AA68" s="3357"/>
      <c r="AB68" s="3357"/>
      <c r="AC68" s="3357"/>
    </row>
    <row r="69" spans="1:29" ht="15.75" thickBot="1">
      <c r="A69" s="3426"/>
      <c r="B69" s="3427"/>
      <c r="C69" s="3438">
        <v>100</v>
      </c>
      <c r="D69" s="3438">
        <f t="shared" ref="D69:M69" si="19">C69-$K11</f>
        <v>98</v>
      </c>
      <c r="E69" s="3438">
        <f t="shared" si="19"/>
        <v>96</v>
      </c>
      <c r="F69" s="3438">
        <f t="shared" si="19"/>
        <v>94</v>
      </c>
      <c r="G69" s="3438">
        <f t="shared" si="19"/>
        <v>92</v>
      </c>
      <c r="H69" s="3438">
        <f t="shared" si="19"/>
        <v>90</v>
      </c>
      <c r="I69" s="3438">
        <f t="shared" si="19"/>
        <v>88</v>
      </c>
      <c r="J69" s="3438">
        <f t="shared" si="19"/>
        <v>86</v>
      </c>
      <c r="K69" s="3438">
        <f t="shared" si="19"/>
        <v>84</v>
      </c>
      <c r="L69" s="3438">
        <f t="shared" si="19"/>
        <v>82</v>
      </c>
      <c r="M69" s="3439">
        <f t="shared" si="19"/>
        <v>80</v>
      </c>
      <c r="N69" s="3431"/>
      <c r="O69" s="3431"/>
      <c r="P69" s="3425"/>
      <c r="Q69" s="3390"/>
      <c r="R69" s="3357"/>
      <c r="S69" s="3357"/>
      <c r="T69" s="3357"/>
      <c r="U69" s="3357"/>
      <c r="V69" s="3357"/>
      <c r="W69" s="3357"/>
      <c r="X69" s="3357"/>
      <c r="Y69" s="3357"/>
      <c r="Z69" s="3357"/>
      <c r="AA69" s="3357"/>
      <c r="AB69" s="3357"/>
      <c r="AC69" s="3357"/>
    </row>
    <row r="70" spans="1:29" s="3337" customFormat="1" ht="15.75" thickTop="1">
      <c r="A70" s="3447"/>
      <c r="B70" s="3432">
        <f>B12</f>
        <v>111</v>
      </c>
      <c r="C70" s="3448"/>
      <c r="D70" s="3448"/>
      <c r="E70" s="3448"/>
      <c r="F70" s="3448"/>
      <c r="G70" s="3448"/>
      <c r="H70" s="3449"/>
      <c r="I70" s="3449"/>
      <c r="J70" s="3449"/>
      <c r="K70" s="3449"/>
      <c r="L70" s="3450"/>
      <c r="M70" s="3451"/>
      <c r="N70" s="3452"/>
      <c r="O70" s="3452"/>
      <c r="P70" s="3453"/>
      <c r="Q70" s="3454"/>
      <c r="R70" s="3455"/>
      <c r="S70" s="3455"/>
      <c r="T70" s="3455"/>
      <c r="U70" s="3455"/>
      <c r="V70" s="3455"/>
      <c r="W70" s="3455"/>
      <c r="X70" s="3455"/>
      <c r="Y70" s="3455"/>
      <c r="Z70" s="3455"/>
      <c r="AA70" s="3455"/>
      <c r="AB70" s="3455"/>
      <c r="AC70" s="3455"/>
    </row>
    <row r="71" spans="1:29" s="3337" customFormat="1" ht="15.75" thickBot="1">
      <c r="A71" s="3447"/>
      <c r="B71" s="3437"/>
      <c r="C71" s="3456"/>
      <c r="D71" s="3428"/>
      <c r="E71" s="3428"/>
      <c r="F71" s="3428"/>
      <c r="G71" s="3428"/>
      <c r="H71" s="3428"/>
      <c r="I71" s="3428"/>
      <c r="J71" s="3428"/>
      <c r="K71" s="3428"/>
      <c r="L71" s="3428"/>
      <c r="M71" s="3457"/>
      <c r="N71" s="3431"/>
      <c r="O71" s="3431"/>
      <c r="P71" s="3453"/>
      <c r="Q71" s="3454"/>
      <c r="R71" s="3455"/>
      <c r="S71" s="3455"/>
      <c r="T71" s="3455"/>
      <c r="U71" s="3455"/>
      <c r="V71" s="3455"/>
      <c r="W71" s="3455"/>
      <c r="X71" s="3455"/>
      <c r="Y71" s="3455"/>
      <c r="Z71" s="3455"/>
      <c r="AA71" s="3455"/>
      <c r="AB71" s="3455"/>
      <c r="AC71" s="3455"/>
    </row>
    <row r="72" spans="1:29" s="3337" customFormat="1" ht="15.75" thickTop="1">
      <c r="A72" s="3447"/>
      <c r="B72" s="3432">
        <f>B13</f>
        <v>111</v>
      </c>
      <c r="C72" s="3448"/>
      <c r="D72" s="3448"/>
      <c r="E72" s="3448"/>
      <c r="F72" s="3448"/>
      <c r="G72" s="3448"/>
      <c r="H72" s="3449"/>
      <c r="I72" s="3449"/>
      <c r="J72" s="3449"/>
      <c r="K72" s="3449"/>
      <c r="L72" s="3450"/>
      <c r="M72" s="3451"/>
      <c r="N72" s="3452"/>
      <c r="O72" s="3452"/>
      <c r="P72" s="3330"/>
      <c r="Q72" s="3458"/>
      <c r="R72" s="3455"/>
      <c r="S72" s="3455"/>
      <c r="T72" s="3455"/>
      <c r="U72" s="3455"/>
      <c r="V72" s="3455"/>
      <c r="W72" s="3455"/>
      <c r="X72" s="3455"/>
      <c r="Y72" s="3455"/>
      <c r="Z72" s="3455"/>
      <c r="AA72" s="3455"/>
      <c r="AB72" s="3455"/>
      <c r="AC72" s="3455"/>
    </row>
    <row r="73" spans="1:29" s="3337" customFormat="1" ht="15.75" thickBot="1">
      <c r="A73" s="3447"/>
      <c r="B73" s="3437"/>
      <c r="C73" s="3456"/>
      <c r="D73" s="3456"/>
      <c r="E73" s="3456"/>
      <c r="F73" s="3456"/>
      <c r="G73" s="3456"/>
      <c r="H73" s="3459"/>
      <c r="I73" s="3459"/>
      <c r="J73" s="3459"/>
      <c r="K73" s="3459"/>
      <c r="L73" s="3459"/>
      <c r="M73" s="3460"/>
      <c r="N73" s="3452"/>
      <c r="O73" s="3452"/>
      <c r="P73" s="3453"/>
      <c r="Q73" s="3454"/>
      <c r="R73" s="3455"/>
      <c r="S73" s="3455"/>
      <c r="T73" s="3455"/>
      <c r="U73" s="3455"/>
      <c r="V73" s="3455"/>
      <c r="W73" s="3455"/>
      <c r="X73" s="3455"/>
      <c r="Y73" s="3455"/>
      <c r="Z73" s="3455"/>
      <c r="AA73" s="3455"/>
      <c r="AB73" s="3455"/>
      <c r="AC73" s="3455"/>
    </row>
    <row r="74" spans="1:29" s="3337" customFormat="1" ht="15.75" thickTop="1">
      <c r="A74" s="3447"/>
      <c r="B74" s="3440">
        <f>B14</f>
        <v>111</v>
      </c>
      <c r="C74" s="3448"/>
      <c r="D74" s="3448"/>
      <c r="E74" s="3448"/>
      <c r="F74" s="3448"/>
      <c r="G74" s="3410"/>
      <c r="H74" s="3461"/>
      <c r="I74" s="3461"/>
      <c r="J74" s="3461"/>
      <c r="K74" s="3461"/>
      <c r="L74" s="3462"/>
      <c r="M74" s="3463"/>
      <c r="N74" s="3452"/>
      <c r="O74" s="3452"/>
      <c r="P74" s="3464"/>
      <c r="Q74" s="3454"/>
      <c r="R74" s="3455"/>
      <c r="S74" s="3455"/>
      <c r="T74" s="3455"/>
      <c r="U74" s="3455"/>
      <c r="V74" s="3455"/>
      <c r="W74" s="3455"/>
      <c r="X74" s="3455"/>
      <c r="Y74" s="3455"/>
      <c r="Z74" s="3455"/>
      <c r="AA74" s="3455"/>
      <c r="AB74" s="3455"/>
      <c r="AC74" s="3455"/>
    </row>
    <row r="75" spans="1:29" s="3337" customFormat="1" ht="15.75" thickBot="1">
      <c r="A75" s="3465"/>
      <c r="B75" s="3466"/>
      <c r="C75" s="3467"/>
      <c r="D75" s="3467"/>
      <c r="E75" s="3467"/>
      <c r="F75" s="3467"/>
      <c r="G75" s="3467"/>
      <c r="H75" s="3468"/>
      <c r="I75" s="3468"/>
      <c r="J75" s="3468"/>
      <c r="K75" s="3468"/>
      <c r="L75" s="3468"/>
      <c r="M75" s="3469"/>
      <c r="N75" s="3452"/>
      <c r="O75" s="3452"/>
      <c r="P75" s="3453"/>
      <c r="Q75" s="3454"/>
      <c r="R75" s="3455"/>
      <c r="S75" s="3455"/>
      <c r="T75" s="3455"/>
      <c r="U75" s="3455"/>
      <c r="V75" s="3455"/>
      <c r="W75" s="3455"/>
      <c r="X75" s="3455"/>
      <c r="Y75" s="3455"/>
      <c r="Z75" s="3455"/>
      <c r="AA75" s="3455"/>
      <c r="AB75" s="3455"/>
      <c r="AC75" s="3455"/>
    </row>
    <row r="76" spans="1:29">
      <c r="A76" s="3417" t="s">
        <v>3283</v>
      </c>
      <c r="B76" s="3418" t="s">
        <v>3284</v>
      </c>
      <c r="C76" s="3470" t="s">
        <v>3285</v>
      </c>
      <c r="D76" s="3470" t="s">
        <v>3286</v>
      </c>
      <c r="E76" s="3470" t="s">
        <v>3287</v>
      </c>
      <c r="F76" s="3470" t="s">
        <v>3288</v>
      </c>
      <c r="G76" s="3470" t="s">
        <v>3289</v>
      </c>
      <c r="H76" s="3419"/>
      <c r="I76" s="3419"/>
      <c r="J76" s="3419"/>
      <c r="K76" s="3471"/>
      <c r="L76" s="3472"/>
      <c r="M76" s="3473"/>
      <c r="N76" s="3424"/>
      <c r="O76" s="3424"/>
      <c r="P76" s="3474"/>
      <c r="Q76" s="3390"/>
      <c r="R76" s="3357"/>
      <c r="S76" s="3357"/>
      <c r="T76" s="3357"/>
      <c r="U76" s="3357"/>
      <c r="V76" s="3357"/>
      <c r="W76" s="3357"/>
      <c r="X76" s="3357"/>
      <c r="Y76" s="3357"/>
      <c r="Z76" s="3357"/>
      <c r="AA76" s="3357"/>
      <c r="AB76" s="3357"/>
      <c r="AC76" s="3357"/>
    </row>
    <row r="77" spans="1:29" ht="15.75" thickBot="1">
      <c r="A77" s="3426"/>
      <c r="B77" s="3437"/>
      <c r="C77" s="3438">
        <v>100</v>
      </c>
      <c r="D77" s="3438">
        <f>C77-$K15</f>
        <v>95</v>
      </c>
      <c r="E77" s="3438">
        <f>D77-$K15</f>
        <v>90</v>
      </c>
      <c r="F77" s="3438">
        <f>E77-$K15</f>
        <v>85</v>
      </c>
      <c r="G77" s="3438">
        <f>F77-$K15</f>
        <v>80</v>
      </c>
      <c r="H77" s="3438"/>
      <c r="I77" s="3438"/>
      <c r="J77" s="3438"/>
      <c r="K77" s="3438"/>
      <c r="L77" s="3438"/>
      <c r="M77" s="3439"/>
      <c r="N77" s="3431"/>
      <c r="O77" s="3431"/>
      <c r="P77" s="3425"/>
      <c r="Q77" s="3390"/>
      <c r="R77" s="3357"/>
      <c r="S77" s="3357"/>
      <c r="T77" s="3357"/>
      <c r="U77" s="3357"/>
      <c r="V77" s="3357"/>
      <c r="W77" s="3357"/>
      <c r="X77" s="3357"/>
      <c r="Y77" s="3357"/>
      <c r="Z77" s="3357"/>
      <c r="AA77" s="3357"/>
      <c r="AB77" s="3357"/>
      <c r="AC77" s="3357"/>
    </row>
    <row r="78" spans="1:29" ht="15.75" thickTop="1">
      <c r="A78" s="3426"/>
      <c r="B78" s="3432" t="s">
        <v>3290</v>
      </c>
      <c r="C78" s="3475" t="s">
        <v>3285</v>
      </c>
      <c r="D78" s="3475" t="s">
        <v>3286</v>
      </c>
      <c r="E78" s="3475" t="s">
        <v>3287</v>
      </c>
      <c r="F78" s="3475" t="s">
        <v>3288</v>
      </c>
      <c r="G78" s="3475" t="s">
        <v>3289</v>
      </c>
      <c r="H78" s="3433"/>
      <c r="I78" s="3433"/>
      <c r="J78" s="3433"/>
      <c r="K78" s="3434"/>
      <c r="L78" s="3435"/>
      <c r="M78" s="3436"/>
      <c r="N78" s="3424"/>
      <c r="O78" s="3424"/>
      <c r="P78" s="3425"/>
      <c r="Q78" s="3390"/>
      <c r="R78" s="3357"/>
      <c r="S78" s="3357"/>
      <c r="T78" s="3357"/>
      <c r="U78" s="3357"/>
      <c r="V78" s="3357"/>
      <c r="W78" s="3357"/>
      <c r="X78" s="3357"/>
      <c r="Y78" s="3357"/>
      <c r="Z78" s="3357"/>
      <c r="AA78" s="3357"/>
      <c r="AB78" s="3357"/>
      <c r="AC78" s="3357"/>
    </row>
    <row r="79" spans="1:29" ht="15.75" thickBot="1">
      <c r="A79" s="3426"/>
      <c r="B79" s="3437"/>
      <c r="C79" s="3438">
        <v>100</v>
      </c>
      <c r="D79" s="3438">
        <f>C79-$K17</f>
        <v>98</v>
      </c>
      <c r="E79" s="3438">
        <f>D79-$K17</f>
        <v>96</v>
      </c>
      <c r="F79" s="3438">
        <f>E79-$K17</f>
        <v>94</v>
      </c>
      <c r="G79" s="3438">
        <f>F79-$K17</f>
        <v>92</v>
      </c>
      <c r="H79" s="3438"/>
      <c r="I79" s="3438"/>
      <c r="J79" s="3438"/>
      <c r="K79" s="3438"/>
      <c r="L79" s="3438"/>
      <c r="M79" s="3439"/>
      <c r="N79" s="3431"/>
      <c r="O79" s="3431"/>
      <c r="P79" s="3425"/>
      <c r="Q79" s="3390"/>
      <c r="R79" s="3357"/>
      <c r="S79" s="3357"/>
      <c r="T79" s="3357"/>
      <c r="U79" s="3357"/>
      <c r="V79" s="3357"/>
      <c r="W79" s="3357"/>
      <c r="X79" s="3357"/>
      <c r="Y79" s="3357"/>
      <c r="Z79" s="3357"/>
      <c r="AA79" s="3357"/>
      <c r="AB79" s="3357"/>
      <c r="AC79" s="3357"/>
    </row>
    <row r="80" spans="1:29" ht="15.75" thickTop="1">
      <c r="A80" s="3426"/>
      <c r="B80" s="3476" t="s">
        <v>3236</v>
      </c>
      <c r="C80" s="3475" t="s">
        <v>3285</v>
      </c>
      <c r="D80" s="3475" t="s">
        <v>3286</v>
      </c>
      <c r="E80" s="3475" t="s">
        <v>3287</v>
      </c>
      <c r="F80" s="3475" t="s">
        <v>3288</v>
      </c>
      <c r="G80" s="3475" t="s">
        <v>3289</v>
      </c>
      <c r="H80" s="3433"/>
      <c r="I80" s="3433"/>
      <c r="J80" s="3433"/>
      <c r="K80" s="3434"/>
      <c r="L80" s="3435"/>
      <c r="M80" s="3436"/>
      <c r="N80" s="3424"/>
      <c r="O80" s="3424"/>
      <c r="P80" s="3425"/>
      <c r="Q80" s="3390"/>
      <c r="R80" s="3357"/>
      <c r="S80" s="3357"/>
      <c r="T80" s="3357"/>
      <c r="U80" s="3357"/>
      <c r="V80" s="3357"/>
      <c r="W80" s="3357"/>
      <c r="X80" s="3357"/>
      <c r="Y80" s="3357"/>
      <c r="Z80" s="3357"/>
      <c r="AA80" s="3357"/>
      <c r="AB80" s="3357"/>
      <c r="AC80" s="3357"/>
    </row>
    <row r="81" spans="1:29" ht="15.75" thickBot="1">
      <c r="A81" s="3426"/>
      <c r="B81" s="3437"/>
      <c r="C81" s="3438">
        <v>100</v>
      </c>
      <c r="D81" s="3438">
        <f>C81-$K19</f>
        <v>98</v>
      </c>
      <c r="E81" s="3438">
        <f>D81-$K19</f>
        <v>96</v>
      </c>
      <c r="F81" s="3438">
        <f>E81-$K19</f>
        <v>94</v>
      </c>
      <c r="G81" s="3438">
        <f>F81-$K19</f>
        <v>92</v>
      </c>
      <c r="H81" s="3438"/>
      <c r="I81" s="3438"/>
      <c r="J81" s="3438"/>
      <c r="K81" s="3438"/>
      <c r="L81" s="3438"/>
      <c r="M81" s="3439"/>
      <c r="N81" s="3431"/>
      <c r="O81" s="3431"/>
      <c r="P81" s="3425"/>
      <c r="Q81" s="3390"/>
      <c r="R81" s="3357"/>
      <c r="S81" s="3357"/>
      <c r="T81" s="3357"/>
      <c r="U81" s="3357"/>
      <c r="V81" s="3357"/>
      <c r="W81" s="3357"/>
      <c r="X81" s="3357"/>
      <c r="Y81" s="3357"/>
      <c r="Z81" s="3357"/>
      <c r="AA81" s="3357"/>
      <c r="AB81" s="3357"/>
      <c r="AC81" s="3357"/>
    </row>
    <row r="82" spans="1:29" ht="15.75" thickTop="1">
      <c r="A82" s="3426"/>
      <c r="B82" s="3477" t="s">
        <v>3237</v>
      </c>
      <c r="C82" s="3478" t="s">
        <v>3291</v>
      </c>
      <c r="D82" s="3478" t="s">
        <v>3292</v>
      </c>
      <c r="E82" s="3478" t="s">
        <v>1983</v>
      </c>
      <c r="F82" s="3478" t="s">
        <v>3293</v>
      </c>
      <c r="G82" s="3478" t="s">
        <v>3294</v>
      </c>
      <c r="H82" s="3433"/>
      <c r="I82" s="3433"/>
      <c r="J82" s="3433"/>
      <c r="K82" s="3433"/>
      <c r="L82" s="3433"/>
      <c r="M82" s="3479"/>
      <c r="N82" s="3431"/>
      <c r="O82" s="3431"/>
      <c r="P82" s="3425"/>
      <c r="Q82" s="3390"/>
      <c r="R82" s="3357"/>
      <c r="S82" s="3357"/>
      <c r="T82" s="3357"/>
      <c r="U82" s="3357"/>
      <c r="V82" s="3357"/>
      <c r="W82" s="3357"/>
      <c r="X82" s="3357"/>
      <c r="Y82" s="3357"/>
      <c r="Z82" s="3357"/>
      <c r="AA82" s="3357"/>
      <c r="AB82" s="3357"/>
      <c r="AC82" s="3357"/>
    </row>
    <row r="83" spans="1:29" ht="15.75" thickBot="1">
      <c r="A83" s="3426"/>
      <c r="B83" s="3440"/>
      <c r="C83" s="3438">
        <v>100</v>
      </c>
      <c r="D83" s="3438">
        <f>C83-$K21</f>
        <v>99</v>
      </c>
      <c r="E83" s="3438">
        <f>D83-$K21</f>
        <v>98</v>
      </c>
      <c r="F83" s="3438">
        <f>E83-$K21</f>
        <v>97</v>
      </c>
      <c r="G83" s="3438">
        <f>F83-$K21</f>
        <v>96</v>
      </c>
      <c r="H83" s="3480"/>
      <c r="I83" s="3480"/>
      <c r="J83" s="3480"/>
      <c r="K83" s="3480"/>
      <c r="L83" s="3480"/>
      <c r="M83" s="3293"/>
      <c r="N83" s="3431"/>
      <c r="O83" s="3431"/>
      <c r="P83" s="3425"/>
      <c r="Q83" s="3390"/>
      <c r="R83" s="3357"/>
      <c r="S83" s="3357"/>
      <c r="T83" s="3357"/>
      <c r="U83" s="3357"/>
      <c r="V83" s="3357"/>
      <c r="W83" s="3357"/>
      <c r="X83" s="3357"/>
      <c r="Y83" s="3357"/>
      <c r="Z83" s="3357"/>
      <c r="AA83" s="3357"/>
      <c r="AB83" s="3357"/>
      <c r="AC83" s="3357"/>
    </row>
    <row r="84" spans="1:29" ht="15.75" thickTop="1">
      <c r="A84" s="3426"/>
      <c r="B84" s="3432" t="s">
        <v>3295</v>
      </c>
      <c r="C84" s="3475" t="s">
        <v>3296</v>
      </c>
      <c r="D84" s="3475" t="s">
        <v>3297</v>
      </c>
      <c r="E84" s="3475" t="s">
        <v>3298</v>
      </c>
      <c r="F84" s="3475" t="s">
        <v>3299</v>
      </c>
      <c r="G84" s="3475" t="s">
        <v>3300</v>
      </c>
      <c r="H84" s="3433"/>
      <c r="I84" s="3433"/>
      <c r="J84" s="3433"/>
      <c r="K84" s="3434"/>
      <c r="L84" s="3435"/>
      <c r="M84" s="3436"/>
      <c r="N84" s="3424"/>
      <c r="O84" s="3424"/>
      <c r="P84" s="3425"/>
      <c r="Q84" s="3390"/>
      <c r="R84" s="3357"/>
      <c r="S84" s="3357"/>
      <c r="T84" s="3357"/>
      <c r="U84" s="3357"/>
      <c r="V84" s="3357"/>
      <c r="W84" s="3357"/>
      <c r="X84" s="3357"/>
      <c r="Y84" s="3357"/>
      <c r="Z84" s="3357"/>
      <c r="AA84" s="3357"/>
      <c r="AB84" s="3357"/>
      <c r="AC84" s="3357"/>
    </row>
    <row r="85" spans="1:29" ht="15.75" thickBot="1">
      <c r="A85" s="3426"/>
      <c r="B85" s="3437"/>
      <c r="C85" s="3438">
        <v>100</v>
      </c>
      <c r="D85" s="3438">
        <f>C85-$K23</f>
        <v>99</v>
      </c>
      <c r="E85" s="3438">
        <f>D85-$K23</f>
        <v>98</v>
      </c>
      <c r="F85" s="3438">
        <f>E85-$K23</f>
        <v>97</v>
      </c>
      <c r="G85" s="3438">
        <f>F85-$K23</f>
        <v>96</v>
      </c>
      <c r="H85" s="3438"/>
      <c r="I85" s="3438"/>
      <c r="J85" s="3438"/>
      <c r="K85" s="3438"/>
      <c r="L85" s="3438"/>
      <c r="M85" s="3439"/>
      <c r="N85" s="3431"/>
      <c r="O85" s="3431"/>
      <c r="P85" s="3425"/>
      <c r="Q85" s="3390"/>
      <c r="R85" s="3357"/>
      <c r="S85" s="3357"/>
      <c r="T85" s="3357"/>
      <c r="U85" s="3357"/>
      <c r="V85" s="3357"/>
      <c r="W85" s="3357"/>
      <c r="X85" s="3357"/>
      <c r="Y85" s="3357"/>
      <c r="Z85" s="3357"/>
      <c r="AA85" s="3357"/>
      <c r="AB85" s="3357"/>
      <c r="AC85" s="3357"/>
    </row>
    <row r="86" spans="1:29" s="3238" customFormat="1" ht="15.75" thickTop="1">
      <c r="A86" s="3481"/>
      <c r="B86" s="3476" t="s">
        <v>3301</v>
      </c>
      <c r="C86" s="3448"/>
      <c r="D86" s="3448"/>
      <c r="E86" s="3448"/>
      <c r="F86" s="3448"/>
      <c r="G86" s="3448"/>
      <c r="H86" s="3448"/>
      <c r="I86" s="3448"/>
      <c r="J86" s="3448"/>
      <c r="K86" s="3448"/>
      <c r="L86" s="3482"/>
      <c r="M86" s="3483"/>
      <c r="N86" s="3413"/>
      <c r="O86" s="3413"/>
      <c r="P86" s="3425"/>
      <c r="Q86" s="3390"/>
      <c r="R86" s="3401"/>
      <c r="S86" s="3401"/>
      <c r="T86" s="3401"/>
      <c r="U86" s="3401"/>
      <c r="V86" s="3401"/>
      <c r="W86" s="3401"/>
      <c r="X86" s="3401"/>
      <c r="Y86" s="3401"/>
      <c r="Z86" s="3401"/>
      <c r="AA86" s="3401"/>
      <c r="AB86" s="3401"/>
      <c r="AC86" s="3401"/>
    </row>
    <row r="87" spans="1:29" s="3238" customFormat="1" ht="15.75" thickBot="1">
      <c r="A87" s="3481"/>
      <c r="B87" s="3437"/>
      <c r="C87" s="3484">
        <v>100</v>
      </c>
      <c r="D87" s="3438">
        <f>$C$87-($C$86-D86)*$K$25</f>
        <v>100</v>
      </c>
      <c r="E87" s="3438">
        <f t="shared" ref="E87:M87" si="20">$C$87-($C$86-E86)*$K$25</f>
        <v>100</v>
      </c>
      <c r="F87" s="3438">
        <f t="shared" si="20"/>
        <v>100</v>
      </c>
      <c r="G87" s="3438">
        <f t="shared" si="20"/>
        <v>100</v>
      </c>
      <c r="H87" s="3438">
        <f t="shared" si="20"/>
        <v>100</v>
      </c>
      <c r="I87" s="3438">
        <f t="shared" si="20"/>
        <v>100</v>
      </c>
      <c r="J87" s="3438">
        <f t="shared" si="20"/>
        <v>100</v>
      </c>
      <c r="K87" s="3438">
        <f t="shared" si="20"/>
        <v>100</v>
      </c>
      <c r="L87" s="3438">
        <f t="shared" si="20"/>
        <v>100</v>
      </c>
      <c r="M87" s="3438">
        <f t="shared" si="20"/>
        <v>100</v>
      </c>
      <c r="N87" s="3431"/>
      <c r="O87" s="3431"/>
      <c r="P87" s="3425"/>
      <c r="Q87" s="3390"/>
      <c r="R87" s="3401"/>
      <c r="S87" s="3401"/>
      <c r="T87" s="3401"/>
      <c r="U87" s="3401"/>
      <c r="V87" s="3401"/>
      <c r="W87" s="3401"/>
      <c r="X87" s="3401"/>
      <c r="Y87" s="3401"/>
      <c r="Z87" s="3401"/>
      <c r="AA87" s="3401"/>
      <c r="AB87" s="3401"/>
      <c r="AC87" s="3401"/>
    </row>
    <row r="88" spans="1:29" s="3238" customFormat="1" ht="15.75" thickTop="1">
      <c r="A88" s="3481"/>
      <c r="B88" s="3432" t="s">
        <v>3302</v>
      </c>
      <c r="C88" s="3448"/>
      <c r="D88" s="3448"/>
      <c r="E88" s="3448"/>
      <c r="F88" s="3485"/>
      <c r="G88" s="3448"/>
      <c r="H88" s="3448"/>
      <c r="I88" s="3448"/>
      <c r="J88" s="3448"/>
      <c r="K88" s="3448"/>
      <c r="L88" s="3448"/>
      <c r="M88" s="3483"/>
      <c r="N88" s="3413"/>
      <c r="O88" s="3413"/>
      <c r="P88" s="3425"/>
      <c r="Q88" s="3390"/>
      <c r="R88" s="3401"/>
      <c r="S88" s="3401"/>
      <c r="T88" s="3401"/>
      <c r="U88" s="3401"/>
      <c r="V88" s="3401"/>
      <c r="W88" s="3401"/>
      <c r="X88" s="3401"/>
      <c r="Y88" s="3401"/>
      <c r="Z88" s="3401"/>
      <c r="AA88" s="3401"/>
      <c r="AB88" s="3401"/>
      <c r="AC88" s="3401"/>
    </row>
    <row r="89" spans="1:29" s="3238" customFormat="1" ht="15.75" thickBot="1">
      <c r="A89" s="3481"/>
      <c r="B89" s="3437"/>
      <c r="C89" s="3484">
        <v>100</v>
      </c>
      <c r="D89" s="3438">
        <f t="shared" ref="D89:M89" si="21">C89-$K26</f>
        <v>100</v>
      </c>
      <c r="E89" s="3438">
        <f t="shared" si="21"/>
        <v>100</v>
      </c>
      <c r="F89" s="3438">
        <f t="shared" si="21"/>
        <v>100</v>
      </c>
      <c r="G89" s="3438">
        <f t="shared" si="21"/>
        <v>100</v>
      </c>
      <c r="H89" s="3438">
        <f t="shared" si="21"/>
        <v>100</v>
      </c>
      <c r="I89" s="3438">
        <f t="shared" si="21"/>
        <v>100</v>
      </c>
      <c r="J89" s="3438">
        <f t="shared" si="21"/>
        <v>100</v>
      </c>
      <c r="K89" s="3438">
        <f t="shared" si="21"/>
        <v>100</v>
      </c>
      <c r="L89" s="3438">
        <f t="shared" si="21"/>
        <v>100</v>
      </c>
      <c r="M89" s="3438">
        <f t="shared" si="21"/>
        <v>100</v>
      </c>
      <c r="N89" s="3431"/>
      <c r="O89" s="3431"/>
      <c r="P89" s="3425"/>
      <c r="Q89" s="3390"/>
      <c r="R89" s="3401"/>
      <c r="S89" s="3401"/>
      <c r="T89" s="3401"/>
      <c r="U89" s="3401"/>
      <c r="V89" s="3401"/>
      <c r="W89" s="3401"/>
      <c r="X89" s="3401"/>
      <c r="Y89" s="3401"/>
      <c r="Z89" s="3401"/>
      <c r="AA89" s="3401"/>
      <c r="AB89" s="3401"/>
      <c r="AC89" s="3401"/>
    </row>
    <row r="90" spans="1:29" s="3337" customFormat="1" ht="15.75" thickTop="1">
      <c r="A90" s="3447"/>
      <c r="B90" s="3432" t="str">
        <f>B27</f>
        <v>道路级别</v>
      </c>
      <c r="C90" s="3448"/>
      <c r="D90" s="3448"/>
      <c r="E90" s="3448"/>
      <c r="F90" s="3448"/>
      <c r="G90" s="3448"/>
      <c r="H90" s="3449"/>
      <c r="I90" s="3449"/>
      <c r="J90" s="3449"/>
      <c r="K90" s="3449"/>
      <c r="L90" s="3450"/>
      <c r="M90" s="3451"/>
      <c r="N90" s="3452"/>
      <c r="O90" s="3452"/>
      <c r="P90" s="3453"/>
      <c r="Q90" s="3454"/>
      <c r="R90" s="3455"/>
      <c r="S90" s="3455"/>
      <c r="T90" s="3455"/>
      <c r="U90" s="3455"/>
      <c r="V90" s="3455"/>
      <c r="W90" s="3455"/>
      <c r="X90" s="3455"/>
      <c r="Y90" s="3455"/>
      <c r="Z90" s="3455"/>
      <c r="AA90" s="3455"/>
      <c r="AB90" s="3455"/>
      <c r="AC90" s="3455"/>
    </row>
    <row r="91" spans="1:29" s="3337" customFormat="1" ht="15.75" thickBot="1">
      <c r="A91" s="3447"/>
      <c r="B91" s="3437"/>
      <c r="C91" s="3456"/>
      <c r="D91" s="3456"/>
      <c r="E91" s="3456"/>
      <c r="F91" s="3456"/>
      <c r="G91" s="3456"/>
      <c r="H91" s="3459"/>
      <c r="I91" s="3459"/>
      <c r="J91" s="3459"/>
      <c r="K91" s="3459"/>
      <c r="L91" s="3459"/>
      <c r="M91" s="3460"/>
      <c r="N91" s="3452"/>
      <c r="O91" s="3452"/>
      <c r="P91" s="3453"/>
      <c r="Q91" s="3454"/>
      <c r="R91" s="3455"/>
      <c r="S91" s="3455"/>
      <c r="T91" s="3455"/>
      <c r="U91" s="3455"/>
      <c r="V91" s="3455"/>
      <c r="W91" s="3455"/>
      <c r="X91" s="3455"/>
      <c r="Y91" s="3455"/>
      <c r="Z91" s="3455"/>
      <c r="AA91" s="3455"/>
      <c r="AB91" s="3455"/>
      <c r="AC91" s="3455"/>
    </row>
    <row r="92" spans="1:29" ht="15.75" thickTop="1">
      <c r="A92" s="3426"/>
      <c r="B92" s="3432">
        <f>B28</f>
        <v>111</v>
      </c>
      <c r="C92" s="3448"/>
      <c r="D92" s="3448"/>
      <c r="E92" s="3448"/>
      <c r="F92" s="3448"/>
      <c r="G92" s="3486"/>
      <c r="H92" s="3486"/>
      <c r="I92" s="3486"/>
      <c r="J92" s="3486"/>
      <c r="K92" s="3487"/>
      <c r="L92" s="3488"/>
      <c r="M92" s="3489"/>
      <c r="N92" s="3424"/>
      <c r="O92" s="3424"/>
      <c r="P92" s="3425"/>
      <c r="Q92" s="3390"/>
      <c r="R92" s="3357"/>
      <c r="S92" s="3357"/>
      <c r="T92" s="3357"/>
      <c r="U92" s="3357"/>
      <c r="V92" s="3357"/>
      <c r="W92" s="3357"/>
      <c r="X92" s="3357"/>
      <c r="Y92" s="3357"/>
      <c r="Z92" s="3357"/>
      <c r="AA92" s="3357"/>
      <c r="AB92" s="3357"/>
      <c r="AC92" s="3357"/>
    </row>
    <row r="93" spans="1:29" ht="15.75" thickBot="1">
      <c r="A93" s="3426"/>
      <c r="B93" s="3437"/>
      <c r="C93" s="3456"/>
      <c r="D93" s="3428"/>
      <c r="E93" s="3428"/>
      <c r="F93" s="3428"/>
      <c r="G93" s="3428"/>
      <c r="H93" s="3428"/>
      <c r="I93" s="3428"/>
      <c r="J93" s="3428"/>
      <c r="K93" s="3428"/>
      <c r="L93" s="3428"/>
      <c r="M93" s="3457"/>
      <c r="N93" s="3431"/>
      <c r="O93" s="3431"/>
      <c r="P93" s="3425"/>
      <c r="Q93" s="3390"/>
      <c r="R93" s="3357"/>
      <c r="S93" s="3357"/>
      <c r="T93" s="3357"/>
      <c r="U93" s="3357"/>
      <c r="V93" s="3357"/>
      <c r="W93" s="3357"/>
      <c r="X93" s="3357"/>
      <c r="Y93" s="3357"/>
      <c r="Z93" s="3357"/>
      <c r="AA93" s="3357"/>
      <c r="AB93" s="3357"/>
      <c r="AC93" s="3357"/>
    </row>
    <row r="94" spans="1:29" ht="15.75" thickTop="1">
      <c r="A94" s="3426"/>
      <c r="B94" s="3432">
        <f>B29</f>
        <v>111</v>
      </c>
      <c r="C94" s="3448"/>
      <c r="D94" s="3448"/>
      <c r="E94" s="3448"/>
      <c r="F94" s="3448"/>
      <c r="G94" s="3486"/>
      <c r="H94" s="3486"/>
      <c r="I94" s="3486"/>
      <c r="J94" s="3486"/>
      <c r="K94" s="3487"/>
      <c r="L94" s="3488"/>
      <c r="M94" s="3489"/>
      <c r="N94" s="3424"/>
      <c r="O94" s="3424"/>
      <c r="P94" s="3425"/>
      <c r="Q94" s="3390"/>
      <c r="R94" s="3357"/>
      <c r="S94" s="3357"/>
      <c r="T94" s="3357"/>
      <c r="U94" s="3357"/>
      <c r="V94" s="3357"/>
      <c r="W94" s="3357"/>
      <c r="X94" s="3357"/>
      <c r="Y94" s="3357"/>
      <c r="Z94" s="3357"/>
      <c r="AA94" s="3357"/>
      <c r="AB94" s="3357"/>
      <c r="AC94" s="3357"/>
    </row>
    <row r="95" spans="1:29" ht="15.75" thickBot="1">
      <c r="A95" s="3426"/>
      <c r="B95" s="3437"/>
      <c r="C95" s="3456"/>
      <c r="D95" s="3456"/>
      <c r="E95" s="3456"/>
      <c r="F95" s="3456"/>
      <c r="G95" s="3428"/>
      <c r="H95" s="3428"/>
      <c r="I95" s="3428"/>
      <c r="J95" s="3428"/>
      <c r="K95" s="3428"/>
      <c r="L95" s="3428"/>
      <c r="M95" s="3457"/>
      <c r="N95" s="3431"/>
      <c r="O95" s="3431"/>
      <c r="P95" s="3425"/>
      <c r="Q95" s="3390"/>
      <c r="R95" s="3357"/>
      <c r="S95" s="3357"/>
      <c r="T95" s="3357"/>
      <c r="U95" s="3357"/>
      <c r="V95" s="3357"/>
      <c r="W95" s="3357"/>
      <c r="X95" s="3357"/>
      <c r="Y95" s="3357"/>
      <c r="Z95" s="3357"/>
      <c r="AA95" s="3357"/>
      <c r="AB95" s="3357"/>
      <c r="AC95" s="3357"/>
    </row>
    <row r="96" spans="1:29" ht="15.75" thickTop="1">
      <c r="A96" s="3426"/>
      <c r="B96" s="3432">
        <f>B30</f>
        <v>111</v>
      </c>
      <c r="C96" s="3448"/>
      <c r="D96" s="3448"/>
      <c r="E96" s="3448"/>
      <c r="F96" s="3448"/>
      <c r="G96" s="3486"/>
      <c r="H96" s="3486"/>
      <c r="I96" s="3486"/>
      <c r="J96" s="3486"/>
      <c r="K96" s="3487"/>
      <c r="L96" s="3488"/>
      <c r="M96" s="3489"/>
      <c r="N96" s="3424"/>
      <c r="O96" s="3424"/>
      <c r="P96" s="3425"/>
      <c r="Q96" s="3390"/>
      <c r="R96" s="3357"/>
      <c r="S96" s="3357"/>
      <c r="T96" s="3357"/>
      <c r="U96" s="3357"/>
      <c r="V96" s="3357"/>
      <c r="W96" s="3357"/>
      <c r="X96" s="3357"/>
      <c r="Y96" s="3357"/>
      <c r="Z96" s="3357"/>
      <c r="AA96" s="3357"/>
      <c r="AB96" s="3357"/>
      <c r="AC96" s="3357"/>
    </row>
    <row r="97" spans="1:29" ht="15.75" thickBot="1">
      <c r="A97" s="3426"/>
      <c r="B97" s="3437"/>
      <c r="C97" s="3467"/>
      <c r="D97" s="3467"/>
      <c r="E97" s="3467"/>
      <c r="F97" s="3467"/>
      <c r="G97" s="3428"/>
      <c r="H97" s="3428"/>
      <c r="I97" s="3428"/>
      <c r="J97" s="3428"/>
      <c r="K97" s="3428"/>
      <c r="L97" s="3428"/>
      <c r="M97" s="3457"/>
      <c r="N97" s="3431"/>
      <c r="O97" s="3431"/>
      <c r="P97" s="3425"/>
      <c r="Q97" s="3390"/>
      <c r="R97" s="3357"/>
      <c r="S97" s="3357"/>
      <c r="T97" s="3357"/>
      <c r="U97" s="3357"/>
      <c r="V97" s="3357"/>
      <c r="W97" s="3357"/>
      <c r="X97" s="3357"/>
      <c r="Y97" s="3357"/>
      <c r="Z97" s="3357"/>
      <c r="AA97" s="3357"/>
      <c r="AB97" s="3357"/>
      <c r="AC97" s="3357"/>
    </row>
    <row r="98" spans="1:29" ht="15.75" thickTop="1">
      <c r="A98" s="3426"/>
      <c r="B98" s="3440">
        <f>B31</f>
        <v>111</v>
      </c>
      <c r="C98" s="3490"/>
      <c r="D98" s="3490"/>
      <c r="E98" s="3490"/>
      <c r="F98" s="3490"/>
      <c r="G98" s="3490"/>
      <c r="H98" s="3490"/>
      <c r="I98" s="3490"/>
      <c r="J98" s="3490"/>
      <c r="K98" s="3491"/>
      <c r="L98" s="3492"/>
      <c r="M98" s="3493"/>
      <c r="N98" s="3424"/>
      <c r="O98" s="3424"/>
      <c r="P98" s="3425"/>
      <c r="Q98" s="3390"/>
      <c r="R98" s="3357"/>
      <c r="S98" s="3357"/>
      <c r="T98" s="3357"/>
      <c r="U98" s="3357"/>
      <c r="V98" s="3357"/>
      <c r="W98" s="3357"/>
      <c r="X98" s="3357"/>
      <c r="Y98" s="3357"/>
      <c r="Z98" s="3357"/>
      <c r="AA98" s="3357"/>
      <c r="AB98" s="3357"/>
      <c r="AC98" s="3357"/>
    </row>
    <row r="99" spans="1:29" ht="15.75" thickBot="1">
      <c r="A99" s="3494"/>
      <c r="B99" s="3466"/>
      <c r="C99" s="3495"/>
      <c r="D99" s="3495"/>
      <c r="E99" s="3495"/>
      <c r="F99" s="3495"/>
      <c r="G99" s="3495"/>
      <c r="H99" s="3495"/>
      <c r="I99" s="3495"/>
      <c r="J99" s="3495"/>
      <c r="K99" s="3495"/>
      <c r="L99" s="3495"/>
      <c r="M99" s="3496"/>
      <c r="N99" s="3431"/>
      <c r="O99" s="3431"/>
      <c r="P99" s="3425"/>
      <c r="Q99" s="3390"/>
      <c r="R99" s="3357"/>
      <c r="S99" s="3357"/>
      <c r="T99" s="3357"/>
      <c r="U99" s="3357"/>
      <c r="V99" s="3357"/>
      <c r="W99" s="3357"/>
      <c r="X99" s="3357"/>
      <c r="Y99" s="3357"/>
      <c r="Z99" s="3357"/>
      <c r="AA99" s="3357"/>
      <c r="AB99" s="3357"/>
      <c r="AC99" s="3357"/>
    </row>
    <row r="100" spans="1:29">
      <c r="A100" s="3417" t="s">
        <v>3303</v>
      </c>
      <c r="B100" s="3418" t="s">
        <v>3304</v>
      </c>
      <c r="C100" s="3497" t="s">
        <v>3305</v>
      </c>
      <c r="D100" s="3420"/>
      <c r="E100" s="3420"/>
      <c r="F100" s="3420"/>
      <c r="G100" s="3420"/>
      <c r="H100" s="3420"/>
      <c r="I100" s="3420"/>
      <c r="J100" s="3420"/>
      <c r="K100" s="3421"/>
      <c r="L100" s="3422"/>
      <c r="M100" s="3423"/>
      <c r="N100" s="3424"/>
      <c r="O100" s="3424"/>
      <c r="P100" s="3425"/>
      <c r="Q100" s="3390"/>
      <c r="R100" s="3357"/>
      <c r="S100" s="3357"/>
      <c r="T100" s="3357"/>
      <c r="U100" s="3357"/>
      <c r="V100" s="3357"/>
      <c r="W100" s="3357"/>
      <c r="X100" s="3357"/>
      <c r="Y100" s="3357"/>
      <c r="Z100" s="3357"/>
      <c r="AA100" s="3357"/>
      <c r="AB100" s="3357"/>
      <c r="AC100" s="3357"/>
    </row>
    <row r="101" spans="1:29" ht="15.75" thickBot="1">
      <c r="A101" s="3426"/>
      <c r="B101" s="3437"/>
      <c r="C101" s="3438">
        <v>100</v>
      </c>
      <c r="D101" s="3438">
        <f t="shared" ref="D101:M101" si="22">C101-$K32</f>
        <v>98</v>
      </c>
      <c r="E101" s="3438">
        <f t="shared" si="22"/>
        <v>96</v>
      </c>
      <c r="F101" s="3438">
        <f t="shared" si="22"/>
        <v>94</v>
      </c>
      <c r="G101" s="3438">
        <f t="shared" si="22"/>
        <v>92</v>
      </c>
      <c r="H101" s="3438">
        <f t="shared" si="22"/>
        <v>90</v>
      </c>
      <c r="I101" s="3438">
        <f t="shared" si="22"/>
        <v>88</v>
      </c>
      <c r="J101" s="3438">
        <f t="shared" si="22"/>
        <v>86</v>
      </c>
      <c r="K101" s="3438">
        <f t="shared" si="22"/>
        <v>84</v>
      </c>
      <c r="L101" s="3438">
        <f t="shared" si="22"/>
        <v>82</v>
      </c>
      <c r="M101" s="3438">
        <f t="shared" si="22"/>
        <v>80</v>
      </c>
      <c r="N101" s="3431"/>
      <c r="O101" s="3431"/>
      <c r="P101" s="3425"/>
      <c r="Q101" s="3390"/>
      <c r="R101" s="3357"/>
      <c r="S101" s="3357"/>
      <c r="T101" s="3357"/>
      <c r="U101" s="3357"/>
      <c r="V101" s="3357"/>
      <c r="W101" s="3357"/>
      <c r="X101" s="3357"/>
      <c r="Y101" s="3357"/>
      <c r="Z101" s="3357"/>
      <c r="AA101" s="3357"/>
      <c r="AB101" s="3357"/>
      <c r="AC101" s="3357"/>
    </row>
    <row r="102" spans="1:29" ht="29.25" thickTop="1">
      <c r="A102" s="3426"/>
      <c r="B102" s="3432" t="s">
        <v>3306</v>
      </c>
      <c r="C102" s="3475" t="str">
        <f>C103&amp;"(含)"&amp;"-"&amp;D103</f>
        <v>0(含)-100000</v>
      </c>
      <c r="D102" s="3475" t="str">
        <f t="shared" ref="D102:L102" si="23">D103&amp;"(含)"&amp;"-"&amp;E103</f>
        <v>100000(含)-200000</v>
      </c>
      <c r="E102" s="3475" t="str">
        <f t="shared" si="23"/>
        <v>200000(含)-300000</v>
      </c>
      <c r="F102" s="3475" t="str">
        <f t="shared" si="23"/>
        <v>300000(含)-</v>
      </c>
      <c r="G102" s="3475" t="str">
        <f t="shared" si="23"/>
        <v>(含)-</v>
      </c>
      <c r="H102" s="3475" t="str">
        <f t="shared" si="23"/>
        <v>(含)-</v>
      </c>
      <c r="I102" s="3475" t="str">
        <f t="shared" si="23"/>
        <v>(含)-</v>
      </c>
      <c r="J102" s="3475" t="str">
        <f t="shared" si="23"/>
        <v>(含)-</v>
      </c>
      <c r="K102" s="3475" t="str">
        <f t="shared" si="23"/>
        <v>(含)-</v>
      </c>
      <c r="L102" s="3475" t="str">
        <f t="shared" si="23"/>
        <v>(含)-</v>
      </c>
      <c r="M102" s="3475" t="str">
        <f>M103&amp;"(含)"&amp;"-"&amp;P103</f>
        <v>(含)-</v>
      </c>
      <c r="N102" s="3413"/>
      <c r="O102" s="3413"/>
      <c r="P102" s="3425"/>
      <c r="Q102" s="3390"/>
      <c r="R102" s="3357"/>
      <c r="S102" s="3357"/>
      <c r="T102" s="3357"/>
      <c r="U102" s="3357"/>
      <c r="V102" s="3357"/>
      <c r="W102" s="3357"/>
      <c r="X102" s="3357"/>
      <c r="Y102" s="3357"/>
      <c r="Z102" s="3357"/>
      <c r="AA102" s="3357"/>
      <c r="AB102" s="3357"/>
      <c r="AC102" s="3357"/>
    </row>
    <row r="103" spans="1:29" s="3337" customFormat="1">
      <c r="A103" s="3498"/>
      <c r="B103" s="3499"/>
      <c r="C103" s="3500">
        <v>0</v>
      </c>
      <c r="D103" s="3500">
        <v>100000</v>
      </c>
      <c r="E103" s="3500">
        <v>200000</v>
      </c>
      <c r="F103" s="3500">
        <v>300000</v>
      </c>
      <c r="G103" s="3500"/>
      <c r="H103" s="3500"/>
      <c r="I103" s="3500"/>
      <c r="J103" s="3501"/>
      <c r="K103" s="3501"/>
      <c r="L103" s="3502"/>
      <c r="M103" s="3503"/>
      <c r="N103" s="3452"/>
      <c r="O103" s="3452"/>
      <c r="P103" s="3453"/>
      <c r="Q103" s="3454"/>
      <c r="R103" s="3455"/>
      <c r="S103" s="3455"/>
      <c r="T103" s="3455"/>
      <c r="U103" s="3455"/>
      <c r="V103" s="3455"/>
      <c r="W103" s="3455"/>
      <c r="X103" s="3455"/>
      <c r="Y103" s="3455"/>
      <c r="Z103" s="3455"/>
      <c r="AA103" s="3455"/>
      <c r="AB103" s="3455"/>
      <c r="AC103" s="3455"/>
    </row>
    <row r="104" spans="1:29" s="3337" customFormat="1" ht="15.75" thickBot="1">
      <c r="A104" s="3447"/>
      <c r="B104" s="3437"/>
      <c r="C104" s="3456">
        <v>100</v>
      </c>
      <c r="D104" s="3428">
        <v>99</v>
      </c>
      <c r="E104" s="3428">
        <v>98</v>
      </c>
      <c r="F104" s="3428">
        <v>97</v>
      </c>
      <c r="G104" s="3428"/>
      <c r="H104" s="3428"/>
      <c r="I104" s="3428"/>
      <c r="J104" s="3428"/>
      <c r="K104" s="3428"/>
      <c r="L104" s="3428"/>
      <c r="M104" s="3428"/>
      <c r="N104" s="3431"/>
      <c r="O104" s="3431"/>
      <c r="P104" s="3453"/>
      <c r="Q104" s="3454"/>
      <c r="R104" s="3455"/>
      <c r="S104" s="3455"/>
      <c r="T104" s="3455"/>
      <c r="U104" s="3455"/>
      <c r="V104" s="3455"/>
      <c r="W104" s="3455"/>
      <c r="X104" s="3455"/>
      <c r="Y104" s="3455"/>
      <c r="Z104" s="3455"/>
      <c r="AA104" s="3455"/>
      <c r="AB104" s="3455"/>
      <c r="AC104" s="3455"/>
    </row>
    <row r="105" spans="1:29" ht="15" thickTop="1">
      <c r="A105" s="3504"/>
      <c r="B105" s="3432" t="s">
        <v>3307</v>
      </c>
      <c r="C105" s="3505" t="s">
        <v>2372</v>
      </c>
      <c r="D105" s="3448"/>
      <c r="E105" s="3486"/>
      <c r="F105" s="3486"/>
      <c r="G105" s="3486"/>
      <c r="H105" s="3486"/>
      <c r="I105" s="3486"/>
      <c r="J105" s="3486"/>
      <c r="K105" s="3487"/>
      <c r="L105" s="3488"/>
      <c r="M105" s="3489"/>
      <c r="N105" s="3424"/>
      <c r="O105" s="3424"/>
      <c r="P105" s="3425"/>
      <c r="Q105" s="3390"/>
      <c r="R105" s="3357"/>
      <c r="S105" s="3357"/>
      <c r="T105" s="3357"/>
      <c r="U105" s="3357"/>
      <c r="V105" s="3357"/>
      <c r="W105" s="3357"/>
      <c r="X105" s="3357"/>
      <c r="Y105" s="3357"/>
      <c r="Z105" s="3357"/>
      <c r="AA105" s="3357"/>
      <c r="AB105" s="3357"/>
      <c r="AC105" s="3357"/>
    </row>
    <row r="106" spans="1:29" ht="15.75" thickBot="1">
      <c r="A106" s="3426"/>
      <c r="B106" s="3437"/>
      <c r="C106" s="3438">
        <v>100</v>
      </c>
      <c r="D106" s="3438">
        <f t="shared" ref="D106:M106" si="24">C106-$K34</f>
        <v>98</v>
      </c>
      <c r="E106" s="3438">
        <f t="shared" si="24"/>
        <v>96</v>
      </c>
      <c r="F106" s="3438">
        <f t="shared" si="24"/>
        <v>94</v>
      </c>
      <c r="G106" s="3438">
        <f t="shared" si="24"/>
        <v>92</v>
      </c>
      <c r="H106" s="3438">
        <f t="shared" si="24"/>
        <v>90</v>
      </c>
      <c r="I106" s="3438">
        <f t="shared" si="24"/>
        <v>88</v>
      </c>
      <c r="J106" s="3438">
        <f t="shared" si="24"/>
        <v>86</v>
      </c>
      <c r="K106" s="3438">
        <f t="shared" si="24"/>
        <v>84</v>
      </c>
      <c r="L106" s="3438">
        <f t="shared" si="24"/>
        <v>82</v>
      </c>
      <c r="M106" s="3438">
        <f t="shared" si="24"/>
        <v>80</v>
      </c>
      <c r="N106" s="3431"/>
      <c r="O106" s="3431"/>
      <c r="P106" s="3425"/>
      <c r="Q106" s="3390"/>
      <c r="R106" s="3357"/>
      <c r="S106" s="3357"/>
      <c r="T106" s="3357"/>
      <c r="U106" s="3357"/>
      <c r="V106" s="3357"/>
      <c r="W106" s="3357"/>
      <c r="X106" s="3357"/>
      <c r="Y106" s="3357"/>
      <c r="Z106" s="3357"/>
      <c r="AA106" s="3357"/>
      <c r="AB106" s="3357"/>
      <c r="AC106" s="3357"/>
    </row>
    <row r="107" spans="1:29" ht="15" thickTop="1">
      <c r="A107" s="3504"/>
      <c r="B107" s="3432" t="s">
        <v>3308</v>
      </c>
      <c r="C107" s="3506" t="s">
        <v>3309</v>
      </c>
      <c r="D107" s="3506" t="s">
        <v>3310</v>
      </c>
      <c r="E107" s="3486"/>
      <c r="F107" s="3486"/>
      <c r="G107" s="3486"/>
      <c r="H107" s="3486"/>
      <c r="I107" s="3486"/>
      <c r="J107" s="3486"/>
      <c r="K107" s="3487"/>
      <c r="L107" s="3488"/>
      <c r="M107" s="3489"/>
      <c r="N107" s="3424"/>
      <c r="O107" s="3424"/>
      <c r="P107" s="3425"/>
      <c r="Q107" s="3390"/>
      <c r="R107" s="3357"/>
      <c r="S107" s="3357"/>
      <c r="T107" s="3357"/>
      <c r="U107" s="3357"/>
      <c r="V107" s="3357"/>
      <c r="W107" s="3357"/>
      <c r="X107" s="3357"/>
      <c r="Y107" s="3357"/>
      <c r="Z107" s="3357"/>
      <c r="AA107" s="3357"/>
      <c r="AB107" s="3357"/>
      <c r="AC107" s="3357"/>
    </row>
    <row r="108" spans="1:29" ht="15.75" thickBot="1">
      <c r="A108" s="3426"/>
      <c r="B108" s="3437"/>
      <c r="C108" s="3438">
        <v>100</v>
      </c>
      <c r="D108" s="3438">
        <f t="shared" ref="D108:M108" si="25">C108-$K35</f>
        <v>98</v>
      </c>
      <c r="E108" s="3438">
        <f t="shared" si="25"/>
        <v>96</v>
      </c>
      <c r="F108" s="3438">
        <f t="shared" si="25"/>
        <v>94</v>
      </c>
      <c r="G108" s="3438">
        <f t="shared" si="25"/>
        <v>92</v>
      </c>
      <c r="H108" s="3438">
        <f t="shared" si="25"/>
        <v>90</v>
      </c>
      <c r="I108" s="3438">
        <f t="shared" si="25"/>
        <v>88</v>
      </c>
      <c r="J108" s="3438">
        <f t="shared" si="25"/>
        <v>86</v>
      </c>
      <c r="K108" s="3438">
        <f t="shared" si="25"/>
        <v>84</v>
      </c>
      <c r="L108" s="3438">
        <f t="shared" si="25"/>
        <v>82</v>
      </c>
      <c r="M108" s="3438">
        <f t="shared" si="25"/>
        <v>80</v>
      </c>
      <c r="N108" s="3431"/>
      <c r="O108" s="3431"/>
      <c r="P108" s="3425"/>
      <c r="Q108" s="3390"/>
      <c r="R108" s="3357"/>
      <c r="S108" s="3357"/>
      <c r="T108" s="3357"/>
      <c r="U108" s="3357"/>
      <c r="V108" s="3357"/>
      <c r="W108" s="3357"/>
      <c r="X108" s="3357"/>
      <c r="Y108" s="3357"/>
      <c r="Z108" s="3357"/>
      <c r="AA108" s="3357"/>
      <c r="AB108" s="3357"/>
      <c r="AC108" s="3357"/>
    </row>
    <row r="109" spans="1:29" ht="15" thickTop="1">
      <c r="A109" s="3504"/>
      <c r="B109" s="3432" t="s">
        <v>3311</v>
      </c>
      <c r="C109" s="3505" t="s">
        <v>3312</v>
      </c>
      <c r="D109" s="3505" t="s">
        <v>3313</v>
      </c>
      <c r="E109" s="3505" t="s">
        <v>3314</v>
      </c>
      <c r="F109" s="3486"/>
      <c r="G109" s="3486"/>
      <c r="H109" s="3486"/>
      <c r="I109" s="3486"/>
      <c r="J109" s="3486"/>
      <c r="K109" s="3487"/>
      <c r="L109" s="3488"/>
      <c r="M109" s="3489"/>
      <c r="N109" s="3424"/>
      <c r="O109" s="3424"/>
      <c r="P109" s="3425"/>
      <c r="Q109" s="3390"/>
      <c r="R109" s="3357"/>
      <c r="S109" s="3357"/>
      <c r="T109" s="3357"/>
      <c r="U109" s="3357"/>
      <c r="V109" s="3357"/>
      <c r="W109" s="3357"/>
      <c r="X109" s="3357"/>
      <c r="Y109" s="3357"/>
      <c r="Z109" s="3357"/>
      <c r="AA109" s="3357"/>
      <c r="AB109" s="3357"/>
      <c r="AC109" s="3357"/>
    </row>
    <row r="110" spans="1:29" ht="15.75" thickBot="1">
      <c r="A110" s="3426"/>
      <c r="B110" s="3437"/>
      <c r="C110" s="3438">
        <v>100</v>
      </c>
      <c r="D110" s="3438">
        <f t="shared" ref="D110:M110" si="26">C110-$K36</f>
        <v>98</v>
      </c>
      <c r="E110" s="3438">
        <f t="shared" si="26"/>
        <v>96</v>
      </c>
      <c r="F110" s="3438">
        <f t="shared" si="26"/>
        <v>94</v>
      </c>
      <c r="G110" s="3438">
        <f t="shared" si="26"/>
        <v>92</v>
      </c>
      <c r="H110" s="3438">
        <f t="shared" si="26"/>
        <v>90</v>
      </c>
      <c r="I110" s="3438">
        <f t="shared" si="26"/>
        <v>88</v>
      </c>
      <c r="J110" s="3438">
        <f t="shared" si="26"/>
        <v>86</v>
      </c>
      <c r="K110" s="3438">
        <f t="shared" si="26"/>
        <v>84</v>
      </c>
      <c r="L110" s="3438">
        <f t="shared" si="26"/>
        <v>82</v>
      </c>
      <c r="M110" s="3438">
        <f t="shared" si="26"/>
        <v>80</v>
      </c>
      <c r="N110" s="3431"/>
      <c r="O110" s="3431"/>
      <c r="P110" s="3425"/>
      <c r="Q110" s="3390"/>
      <c r="R110" s="3357"/>
      <c r="S110" s="3357"/>
      <c r="T110" s="3357"/>
      <c r="U110" s="3357"/>
      <c r="V110" s="3357"/>
      <c r="W110" s="3357"/>
      <c r="X110" s="3357"/>
      <c r="Y110" s="3357"/>
      <c r="Z110" s="3357"/>
      <c r="AA110" s="3357"/>
      <c r="AB110" s="3357"/>
      <c r="AC110" s="3357"/>
    </row>
    <row r="111" spans="1:29" s="3337" customFormat="1" ht="15" thickTop="1">
      <c r="A111" s="3498"/>
      <c r="B111" s="3432" t="s">
        <v>3315</v>
      </c>
      <c r="C111" s="3475" t="str">
        <f>C112&amp;"(含)"&amp;"-"&amp;D112</f>
        <v>0.5(含)-0.6</v>
      </c>
      <c r="D111" s="3475" t="str">
        <f>D112&amp;"(含)"&amp;"-"&amp;E112</f>
        <v>0.6(含)-0.7</v>
      </c>
      <c r="E111" s="3475" t="str">
        <f>E112&amp;"(含)"&amp;"-"&amp;F112</f>
        <v>0.7(含)-0.8</v>
      </c>
      <c r="F111" s="3475" t="str">
        <f>F112&amp;"(含)"&amp;"-"&amp;G112</f>
        <v>0.8(含)-0.9</v>
      </c>
      <c r="G111" s="3475" t="str">
        <f>G112&amp;"(含)"&amp;"-"&amp;ROUND(H112,0)</f>
        <v>0.9(含)-1</v>
      </c>
      <c r="H111" s="3475" t="str">
        <f>ROUND(H112,0)&amp;"(含)"&amp;"-"&amp;I112</f>
        <v>1(含)-</v>
      </c>
      <c r="I111" s="3475"/>
      <c r="J111" s="3507"/>
      <c r="K111" s="3507"/>
      <c r="L111" s="3508"/>
      <c r="M111" s="3509"/>
      <c r="N111" s="3452"/>
      <c r="O111" s="3452"/>
      <c r="P111" s="3453"/>
      <c r="Q111" s="3454"/>
      <c r="R111" s="3455"/>
      <c r="S111" s="3455"/>
      <c r="T111" s="3455"/>
      <c r="U111" s="3455"/>
      <c r="V111" s="3455"/>
      <c r="W111" s="3455"/>
      <c r="X111" s="3455"/>
      <c r="Y111" s="3455"/>
      <c r="Z111" s="3455"/>
      <c r="AA111" s="3455"/>
      <c r="AB111" s="3455"/>
      <c r="AC111" s="3455"/>
    </row>
    <row r="112" spans="1:29" s="3337" customFormat="1">
      <c r="A112" s="3498"/>
      <c r="B112" s="3440"/>
      <c r="C112" s="3510">
        <v>0.5</v>
      </c>
      <c r="D112" s="3510">
        <v>0.6</v>
      </c>
      <c r="E112" s="3510">
        <v>0.7</v>
      </c>
      <c r="F112" s="3510">
        <v>0.8</v>
      </c>
      <c r="G112" s="3510">
        <v>0.9</v>
      </c>
      <c r="H112" s="3510">
        <v>1.0001</v>
      </c>
      <c r="I112" s="3510"/>
      <c r="J112" s="3511"/>
      <c r="K112" s="3511"/>
      <c r="L112" s="3512"/>
      <c r="M112" s="3513"/>
      <c r="N112" s="3452"/>
      <c r="O112" s="3452"/>
      <c r="P112" s="3453"/>
      <c r="Q112" s="3454"/>
      <c r="R112" s="3455"/>
      <c r="S112" s="3455"/>
      <c r="T112" s="3455"/>
      <c r="U112" s="3455"/>
      <c r="V112" s="3455"/>
      <c r="W112" s="3455"/>
      <c r="X112" s="3455"/>
      <c r="Y112" s="3455"/>
      <c r="Z112" s="3455"/>
      <c r="AA112" s="3455"/>
      <c r="AB112" s="3455"/>
      <c r="AC112" s="3455"/>
    </row>
    <row r="113" spans="1:29" s="3337" customFormat="1" ht="15.75" thickBot="1">
      <c r="A113" s="3447"/>
      <c r="B113" s="3437"/>
      <c r="C113" s="3484">
        <v>100</v>
      </c>
      <c r="D113" s="3438">
        <f>C113+$K37</f>
        <v>102</v>
      </c>
      <c r="E113" s="3438">
        <f>D113+$K37</f>
        <v>104</v>
      </c>
      <c r="F113" s="3438">
        <f>E113+$K37</f>
        <v>106</v>
      </c>
      <c r="G113" s="3438">
        <f>F113+$K37</f>
        <v>108</v>
      </c>
      <c r="H113" s="3438">
        <f>G113+$K37</f>
        <v>110</v>
      </c>
      <c r="I113" s="3484"/>
      <c r="J113" s="3514"/>
      <c r="K113" s="3514"/>
      <c r="L113" s="3514"/>
      <c r="M113" s="3515"/>
      <c r="N113" s="3452"/>
      <c r="O113" s="3452"/>
      <c r="P113" s="3453"/>
      <c r="Q113" s="3454"/>
      <c r="R113" s="3455"/>
      <c r="S113" s="3455"/>
      <c r="T113" s="3455"/>
      <c r="U113" s="3455"/>
      <c r="V113" s="3455"/>
      <c r="W113" s="3455"/>
      <c r="X113" s="3455"/>
      <c r="Y113" s="3455"/>
      <c r="Z113" s="3455"/>
      <c r="AA113" s="3455"/>
      <c r="AB113" s="3455"/>
      <c r="AC113" s="3455"/>
    </row>
    <row r="114" spans="1:29" ht="15" thickTop="1">
      <c r="A114" s="3504"/>
      <c r="B114" s="3432" t="s">
        <v>3316</v>
      </c>
      <c r="C114" s="3505" t="s">
        <v>3317</v>
      </c>
      <c r="D114" s="3505" t="s">
        <v>3318</v>
      </c>
      <c r="E114" s="3486"/>
      <c r="F114" s="3486"/>
      <c r="G114" s="3486"/>
      <c r="H114" s="3486"/>
      <c r="I114" s="3486"/>
      <c r="J114" s="3486"/>
      <c r="K114" s="3487"/>
      <c r="L114" s="3488"/>
      <c r="M114" s="3489"/>
      <c r="N114" s="3424"/>
      <c r="O114" s="3424"/>
      <c r="P114" s="3425"/>
      <c r="Q114" s="3390"/>
      <c r="R114" s="3357"/>
      <c r="S114" s="3357"/>
      <c r="T114" s="3357"/>
      <c r="U114" s="3357"/>
      <c r="V114" s="3357"/>
      <c r="W114" s="3357"/>
      <c r="X114" s="3357"/>
      <c r="Y114" s="3357"/>
      <c r="Z114" s="3357"/>
      <c r="AA114" s="3357"/>
      <c r="AB114" s="3357"/>
      <c r="AC114" s="3357"/>
    </row>
    <row r="115" spans="1:29" ht="15.75" thickBot="1">
      <c r="A115" s="3426"/>
      <c r="B115" s="3437"/>
      <c r="C115" s="3438">
        <v>100</v>
      </c>
      <c r="D115" s="3438">
        <f t="shared" ref="D115:M115" si="27">C115-$K38</f>
        <v>98</v>
      </c>
      <c r="E115" s="3438">
        <f t="shared" si="27"/>
        <v>96</v>
      </c>
      <c r="F115" s="3438">
        <f t="shared" si="27"/>
        <v>94</v>
      </c>
      <c r="G115" s="3438">
        <f t="shared" si="27"/>
        <v>92</v>
      </c>
      <c r="H115" s="3438">
        <f t="shared" si="27"/>
        <v>90</v>
      </c>
      <c r="I115" s="3438">
        <f t="shared" si="27"/>
        <v>88</v>
      </c>
      <c r="J115" s="3438">
        <f t="shared" si="27"/>
        <v>86</v>
      </c>
      <c r="K115" s="3438">
        <f t="shared" si="27"/>
        <v>84</v>
      </c>
      <c r="L115" s="3438">
        <f t="shared" si="27"/>
        <v>82</v>
      </c>
      <c r="M115" s="3438">
        <f t="shared" si="27"/>
        <v>80</v>
      </c>
      <c r="N115" s="3431"/>
      <c r="O115" s="3431"/>
      <c r="P115" s="3425"/>
      <c r="Q115" s="3390"/>
      <c r="R115" s="3357"/>
      <c r="S115" s="3357"/>
      <c r="T115" s="3357"/>
      <c r="U115" s="3357"/>
      <c r="V115" s="3357"/>
      <c r="W115" s="3357"/>
      <c r="X115" s="3357"/>
      <c r="Y115" s="3357"/>
      <c r="Z115" s="3357"/>
      <c r="AA115" s="3357"/>
      <c r="AB115" s="3357"/>
      <c r="AC115" s="3357"/>
    </row>
    <row r="116" spans="1:29" ht="15" thickTop="1">
      <c r="A116" s="3504"/>
      <c r="B116" s="3476" t="s">
        <v>3319</v>
      </c>
      <c r="C116" s="3505" t="s">
        <v>3291</v>
      </c>
      <c r="D116" s="3505" t="s">
        <v>3292</v>
      </c>
      <c r="E116" s="3505" t="s">
        <v>3362</v>
      </c>
      <c r="F116" s="3448"/>
      <c r="G116" s="3448"/>
      <c r="H116" s="3486"/>
      <c r="I116" s="3486"/>
      <c r="J116" s="3486"/>
      <c r="K116" s="3487"/>
      <c r="L116" s="3488"/>
      <c r="M116" s="3489"/>
      <c r="N116" s="3424"/>
      <c r="O116" s="3424"/>
      <c r="P116" s="3425"/>
      <c r="Q116" s="3390"/>
      <c r="R116" s="3357"/>
      <c r="S116" s="3357"/>
      <c r="T116" s="3357"/>
      <c r="U116" s="3357"/>
      <c r="V116" s="3357"/>
      <c r="W116" s="3357"/>
      <c r="X116" s="3357"/>
      <c r="Y116" s="3357"/>
      <c r="Z116" s="3357"/>
      <c r="AA116" s="3357"/>
      <c r="AB116" s="3357"/>
      <c r="AC116" s="3357"/>
    </row>
    <row r="117" spans="1:29" ht="15.75" thickBot="1">
      <c r="A117" s="3426"/>
      <c r="B117" s="3437"/>
      <c r="C117" s="3438">
        <v>100</v>
      </c>
      <c r="D117" s="3438">
        <f>C117-$K39</f>
        <v>99</v>
      </c>
      <c r="E117" s="3438">
        <f>D117-$K39</f>
        <v>98</v>
      </c>
      <c r="F117" s="3438">
        <f>E117-$K39</f>
        <v>97</v>
      </c>
      <c r="G117" s="3438">
        <f>F117-$K39</f>
        <v>96</v>
      </c>
      <c r="H117" s="3438"/>
      <c r="I117" s="3438"/>
      <c r="J117" s="3438"/>
      <c r="K117" s="3438"/>
      <c r="L117" s="3438"/>
      <c r="M117" s="3439"/>
      <c r="N117" s="3431"/>
      <c r="O117" s="3431"/>
      <c r="P117" s="3425"/>
      <c r="Q117" s="3390"/>
      <c r="R117" s="3357"/>
      <c r="S117" s="3357"/>
      <c r="T117" s="3357"/>
      <c r="U117" s="3357"/>
      <c r="V117" s="3357"/>
      <c r="W117" s="3357"/>
      <c r="X117" s="3357"/>
      <c r="Y117" s="3357"/>
      <c r="Z117" s="3357"/>
      <c r="AA117" s="3357"/>
      <c r="AB117" s="3357"/>
      <c r="AC117" s="3357"/>
    </row>
    <row r="118" spans="1:29" ht="15" thickTop="1">
      <c r="A118" s="3504"/>
      <c r="B118" s="3432" t="s">
        <v>3320</v>
      </c>
      <c r="C118" s="3486"/>
      <c r="D118" s="3486"/>
      <c r="E118" s="3486"/>
      <c r="F118" s="3486"/>
      <c r="G118" s="3486"/>
      <c r="H118" s="3486"/>
      <c r="I118" s="3486"/>
      <c r="J118" s="3486"/>
      <c r="K118" s="3487"/>
      <c r="L118" s="3488"/>
      <c r="M118" s="3489"/>
      <c r="N118" s="3424"/>
      <c r="O118" s="3424"/>
      <c r="P118" s="3425"/>
      <c r="Q118" s="3390"/>
      <c r="R118" s="3357"/>
      <c r="S118" s="3357"/>
      <c r="T118" s="3357"/>
      <c r="U118" s="3357"/>
      <c r="V118" s="3357"/>
      <c r="W118" s="3357"/>
      <c r="X118" s="3357"/>
      <c r="Y118" s="3357"/>
      <c r="Z118" s="3357"/>
      <c r="AA118" s="3357"/>
      <c r="AB118" s="3357"/>
      <c r="AC118" s="3357"/>
    </row>
    <row r="119" spans="1:29" ht="15.75" thickBot="1">
      <c r="A119" s="3426"/>
      <c r="B119" s="3437"/>
      <c r="C119" s="3438">
        <v>100</v>
      </c>
      <c r="D119" s="3438">
        <f t="shared" ref="D119:M119" si="28">C119-$K40</f>
        <v>100</v>
      </c>
      <c r="E119" s="3438">
        <f t="shared" si="28"/>
        <v>100</v>
      </c>
      <c r="F119" s="3438">
        <f t="shared" si="28"/>
        <v>100</v>
      </c>
      <c r="G119" s="3438">
        <f t="shared" si="28"/>
        <v>100</v>
      </c>
      <c r="H119" s="3438">
        <f t="shared" si="28"/>
        <v>100</v>
      </c>
      <c r="I119" s="3438">
        <f t="shared" si="28"/>
        <v>100</v>
      </c>
      <c r="J119" s="3438">
        <f t="shared" si="28"/>
        <v>100</v>
      </c>
      <c r="K119" s="3438">
        <f t="shared" si="28"/>
        <v>100</v>
      </c>
      <c r="L119" s="3438">
        <f t="shared" si="28"/>
        <v>100</v>
      </c>
      <c r="M119" s="3438">
        <f t="shared" si="28"/>
        <v>100</v>
      </c>
      <c r="N119" s="3431"/>
      <c r="O119" s="3431"/>
      <c r="P119" s="3425"/>
      <c r="Q119" s="3390"/>
      <c r="R119" s="3357"/>
      <c r="S119" s="3357"/>
      <c r="T119" s="3357"/>
      <c r="U119" s="3357"/>
      <c r="V119" s="3357"/>
      <c r="W119" s="3357"/>
      <c r="X119" s="3357"/>
      <c r="Y119" s="3357"/>
      <c r="Z119" s="3357"/>
      <c r="AA119" s="3357"/>
      <c r="AB119" s="3357"/>
      <c r="AC119" s="3357"/>
    </row>
    <row r="120" spans="1:29" s="3337" customFormat="1" ht="28.5" thickTop="1">
      <c r="A120" s="3498"/>
      <c r="B120" s="3432" t="s">
        <v>3258</v>
      </c>
      <c r="C120" s="3448"/>
      <c r="D120" s="3448"/>
      <c r="E120" s="3448"/>
      <c r="F120" s="3448"/>
      <c r="G120" s="3448"/>
      <c r="H120" s="3448"/>
      <c r="I120" s="3448"/>
      <c r="J120" s="3448"/>
      <c r="K120" s="3448"/>
      <c r="L120" s="3482"/>
      <c r="M120" s="3483"/>
      <c r="N120" s="3452"/>
      <c r="O120" s="3452"/>
      <c r="P120" s="3453"/>
      <c r="Q120" s="3454"/>
      <c r="R120" s="3455"/>
      <c r="S120" s="3455"/>
      <c r="T120" s="3455"/>
      <c r="U120" s="3455"/>
      <c r="V120" s="3455"/>
      <c r="W120" s="3455"/>
      <c r="X120" s="3455"/>
      <c r="Y120" s="3455"/>
      <c r="Z120" s="3455"/>
      <c r="AA120" s="3455"/>
      <c r="AB120" s="3455"/>
      <c r="AC120" s="3455"/>
    </row>
    <row r="121" spans="1:29" s="3337" customFormat="1" ht="15.75" thickBot="1">
      <c r="A121" s="3447"/>
      <c r="B121" s="3427"/>
      <c r="C121" s="3456"/>
      <c r="D121" s="3428"/>
      <c r="E121" s="3428"/>
      <c r="F121" s="3428"/>
      <c r="G121" s="3428"/>
      <c r="H121" s="3428"/>
      <c r="I121" s="3428"/>
      <c r="J121" s="3428"/>
      <c r="K121" s="3428"/>
      <c r="L121" s="3428"/>
      <c r="M121" s="3428"/>
      <c r="N121" s="3452"/>
      <c r="O121" s="3452"/>
      <c r="P121" s="3453"/>
      <c r="Q121" s="3454"/>
      <c r="R121" s="3455"/>
      <c r="S121" s="3455"/>
      <c r="T121" s="3455"/>
      <c r="U121" s="3455"/>
      <c r="V121" s="3455"/>
      <c r="W121" s="3455"/>
      <c r="X121" s="3455"/>
      <c r="Y121" s="3455"/>
      <c r="Z121" s="3455"/>
      <c r="AA121" s="3455"/>
      <c r="AB121" s="3455"/>
      <c r="AC121" s="3455"/>
    </row>
    <row r="122" spans="1:29" ht="15" thickTop="1">
      <c r="A122" s="3504"/>
      <c r="B122" s="3432" t="s">
        <v>3321</v>
      </c>
      <c r="C122" s="3505" t="s">
        <v>3322</v>
      </c>
      <c r="D122" s="3505" t="s">
        <v>3323</v>
      </c>
      <c r="E122" s="3505" t="s">
        <v>3324</v>
      </c>
      <c r="F122" s="3486"/>
      <c r="G122" s="3486"/>
      <c r="H122" s="3486"/>
      <c r="I122" s="3486"/>
      <c r="J122" s="3486"/>
      <c r="K122" s="3487"/>
      <c r="L122" s="3488"/>
      <c r="M122" s="3489"/>
      <c r="N122" s="3424"/>
      <c r="O122" s="3424"/>
      <c r="P122" s="3425"/>
      <c r="Q122" s="3390"/>
      <c r="R122" s="3357"/>
      <c r="S122" s="3357"/>
      <c r="T122" s="3357"/>
      <c r="U122" s="3357"/>
      <c r="V122" s="3357"/>
      <c r="W122" s="3357"/>
      <c r="X122" s="3357"/>
      <c r="Y122" s="3357"/>
      <c r="Z122" s="3357"/>
      <c r="AA122" s="3357"/>
      <c r="AB122" s="3357"/>
      <c r="AC122" s="3357"/>
    </row>
    <row r="123" spans="1:29" ht="15.75" thickBot="1">
      <c r="A123" s="3426"/>
      <c r="B123" s="3437"/>
      <c r="C123" s="3438">
        <v>100</v>
      </c>
      <c r="D123" s="3438">
        <f t="shared" ref="D123:M123" si="29">C123-$K42</f>
        <v>97</v>
      </c>
      <c r="E123" s="3438">
        <f t="shared" si="29"/>
        <v>94</v>
      </c>
      <c r="F123" s="3438">
        <f t="shared" si="29"/>
        <v>91</v>
      </c>
      <c r="G123" s="3438">
        <f t="shared" si="29"/>
        <v>88</v>
      </c>
      <c r="H123" s="3438">
        <f t="shared" si="29"/>
        <v>85</v>
      </c>
      <c r="I123" s="3438">
        <f t="shared" si="29"/>
        <v>82</v>
      </c>
      <c r="J123" s="3438">
        <f t="shared" si="29"/>
        <v>79</v>
      </c>
      <c r="K123" s="3438">
        <f t="shared" si="29"/>
        <v>76</v>
      </c>
      <c r="L123" s="3438">
        <f t="shared" si="29"/>
        <v>73</v>
      </c>
      <c r="M123" s="3438">
        <f t="shared" si="29"/>
        <v>70</v>
      </c>
      <c r="N123" s="3431"/>
      <c r="O123" s="3431"/>
      <c r="P123" s="3425"/>
      <c r="Q123" s="3390"/>
      <c r="R123" s="3357"/>
      <c r="S123" s="3357"/>
      <c r="T123" s="3357"/>
      <c r="U123" s="3357"/>
      <c r="V123" s="3357"/>
      <c r="W123" s="3357"/>
      <c r="X123" s="3357"/>
      <c r="Y123" s="3357"/>
      <c r="Z123" s="3357"/>
      <c r="AA123" s="3357"/>
      <c r="AB123" s="3357"/>
      <c r="AC123" s="3357"/>
    </row>
    <row r="124" spans="1:29" ht="27.75" thickTop="1">
      <c r="A124" s="3504"/>
      <c r="B124" s="3432" t="s">
        <v>3325</v>
      </c>
      <c r="C124" s="3475" t="s">
        <v>3285</v>
      </c>
      <c r="D124" s="3475" t="s">
        <v>3286</v>
      </c>
      <c r="E124" s="3475" t="s">
        <v>3287</v>
      </c>
      <c r="F124" s="3475" t="s">
        <v>3288</v>
      </c>
      <c r="G124" s="3475" t="s">
        <v>3289</v>
      </c>
      <c r="H124" s="3433"/>
      <c r="I124" s="3433"/>
      <c r="J124" s="3433"/>
      <c r="K124" s="3434"/>
      <c r="L124" s="3435"/>
      <c r="M124" s="3436"/>
      <c r="N124" s="3424"/>
      <c r="O124" s="3424"/>
      <c r="P124" s="3453"/>
      <c r="Q124" s="3390"/>
      <c r="R124" s="3357"/>
      <c r="S124" s="3357"/>
      <c r="T124" s="3357"/>
      <c r="U124" s="3357"/>
      <c r="V124" s="3357"/>
      <c r="W124" s="3357"/>
      <c r="X124" s="3357"/>
      <c r="Y124" s="3357"/>
      <c r="Z124" s="3357"/>
      <c r="AA124" s="3357"/>
      <c r="AB124" s="3357"/>
      <c r="AC124" s="3357"/>
    </row>
    <row r="125" spans="1:29" ht="15.75" thickBot="1">
      <c r="A125" s="3426"/>
      <c r="B125" s="3437"/>
      <c r="C125" s="3438">
        <v>100</v>
      </c>
      <c r="D125" s="3438">
        <f>C125-$K43</f>
        <v>98</v>
      </c>
      <c r="E125" s="3438">
        <f>D125-$K43</f>
        <v>96</v>
      </c>
      <c r="F125" s="3438">
        <f>E125-$K43</f>
        <v>94</v>
      </c>
      <c r="G125" s="3438">
        <f>F125-$K43</f>
        <v>92</v>
      </c>
      <c r="H125" s="3438"/>
      <c r="I125" s="3438"/>
      <c r="J125" s="3438"/>
      <c r="K125" s="3438"/>
      <c r="L125" s="3438"/>
      <c r="M125" s="3439"/>
      <c r="N125" s="3431"/>
      <c r="O125" s="3431"/>
      <c r="P125" s="3425"/>
      <c r="Q125" s="3390"/>
      <c r="R125" s="3357"/>
      <c r="S125" s="3357"/>
      <c r="T125" s="3357"/>
      <c r="U125" s="3357"/>
      <c r="V125" s="3357"/>
      <c r="W125" s="3357"/>
      <c r="X125" s="3357"/>
      <c r="Y125" s="3357"/>
      <c r="Z125" s="3357"/>
      <c r="AA125" s="3357"/>
      <c r="AB125" s="3357"/>
      <c r="AC125" s="3357"/>
    </row>
    <row r="126" spans="1:29" s="3337" customFormat="1" ht="15" thickTop="1">
      <c r="A126" s="3498"/>
      <c r="B126" s="3432">
        <f>B44</f>
        <v>111</v>
      </c>
      <c r="C126" s="3448"/>
      <c r="D126" s="3448"/>
      <c r="E126" s="3448"/>
      <c r="F126" s="3448"/>
      <c r="G126" s="3448"/>
      <c r="H126" s="3449"/>
      <c r="I126" s="3449"/>
      <c r="J126" s="3449"/>
      <c r="K126" s="3449"/>
      <c r="L126" s="3450"/>
      <c r="M126" s="3451"/>
      <c r="N126" s="3452"/>
      <c r="O126" s="3452"/>
      <c r="P126" s="3453"/>
      <c r="Q126" s="3454"/>
      <c r="R126" s="3455"/>
      <c r="S126" s="3455"/>
      <c r="T126" s="3455"/>
      <c r="U126" s="3455"/>
      <c r="V126" s="3455"/>
      <c r="W126" s="3455"/>
      <c r="X126" s="3455"/>
      <c r="Y126" s="3455"/>
      <c r="Z126" s="3455"/>
      <c r="AA126" s="3455"/>
      <c r="AB126" s="3455"/>
      <c r="AC126" s="3455"/>
    </row>
    <row r="127" spans="1:29" s="3337" customFormat="1" ht="15.75" thickBot="1">
      <c r="A127" s="3447"/>
      <c r="B127" s="3437"/>
      <c r="C127" s="3456"/>
      <c r="D127" s="3428"/>
      <c r="E127" s="3428"/>
      <c r="F127" s="3428"/>
      <c r="G127" s="3456"/>
      <c r="H127" s="3459"/>
      <c r="I127" s="3459"/>
      <c r="J127" s="3459"/>
      <c r="K127" s="3459"/>
      <c r="L127" s="3459"/>
      <c r="M127" s="3460"/>
      <c r="N127" s="3452"/>
      <c r="O127" s="3452"/>
      <c r="P127" s="3453"/>
      <c r="Q127" s="3454"/>
      <c r="R127" s="3455"/>
      <c r="S127" s="3455"/>
      <c r="T127" s="3455"/>
      <c r="U127" s="3455"/>
      <c r="V127" s="3455"/>
      <c r="W127" s="3455"/>
      <c r="X127" s="3455"/>
      <c r="Y127" s="3455"/>
      <c r="Z127" s="3455"/>
      <c r="AA127" s="3455"/>
      <c r="AB127" s="3455"/>
      <c r="AC127" s="3455"/>
    </row>
    <row r="128" spans="1:29" ht="15" thickTop="1">
      <c r="A128" s="3504"/>
      <c r="B128" s="3432">
        <f>B45</f>
        <v>111</v>
      </c>
      <c r="C128" s="3448"/>
      <c r="D128" s="3448"/>
      <c r="E128" s="3448"/>
      <c r="F128" s="3448"/>
      <c r="G128" s="3486"/>
      <c r="H128" s="3486"/>
      <c r="I128" s="3486"/>
      <c r="J128" s="3486"/>
      <c r="K128" s="3487"/>
      <c r="L128" s="3488"/>
      <c r="M128" s="3489"/>
      <c r="N128" s="3424"/>
      <c r="O128" s="3424"/>
      <c r="P128" s="3425"/>
      <c r="Q128" s="3390"/>
      <c r="R128" s="3357"/>
      <c r="S128" s="3357"/>
      <c r="T128" s="3357"/>
      <c r="U128" s="3357"/>
      <c r="V128" s="3357"/>
      <c r="W128" s="3357"/>
      <c r="X128" s="3357"/>
      <c r="Y128" s="3357"/>
      <c r="Z128" s="3357"/>
      <c r="AA128" s="3357"/>
      <c r="AB128" s="3357"/>
      <c r="AC128" s="3357"/>
    </row>
    <row r="129" spans="1:29" ht="15.75" thickBot="1">
      <c r="A129" s="3426"/>
      <c r="B129" s="3437"/>
      <c r="C129" s="3456"/>
      <c r="D129" s="3456"/>
      <c r="E129" s="3456"/>
      <c r="F129" s="3456"/>
      <c r="G129" s="3428"/>
      <c r="H129" s="3428"/>
      <c r="I129" s="3428"/>
      <c r="J129" s="3428"/>
      <c r="K129" s="3428"/>
      <c r="L129" s="3428"/>
      <c r="M129" s="3457"/>
      <c r="N129" s="3431"/>
      <c r="O129" s="3431"/>
      <c r="P129" s="3425"/>
      <c r="Q129" s="3390"/>
      <c r="R129" s="3357"/>
      <c r="S129" s="3357"/>
      <c r="T129" s="3357"/>
      <c r="U129" s="3357"/>
      <c r="V129" s="3357"/>
      <c r="W129" s="3357"/>
      <c r="X129" s="3357"/>
      <c r="Y129" s="3357"/>
      <c r="Z129" s="3357"/>
      <c r="AA129" s="3357"/>
      <c r="AB129" s="3357"/>
      <c r="AC129" s="3357"/>
    </row>
    <row r="130" spans="1:29" ht="15" thickTop="1">
      <c r="A130" s="3504"/>
      <c r="B130" s="3440">
        <f>B46</f>
        <v>111</v>
      </c>
      <c r="C130" s="3448"/>
      <c r="D130" s="3448"/>
      <c r="E130" s="3448"/>
      <c r="F130" s="3448"/>
      <c r="G130" s="3490"/>
      <c r="H130" s="3490"/>
      <c r="I130" s="3490"/>
      <c r="J130" s="3490"/>
      <c r="K130" s="3410"/>
      <c r="L130" s="3411"/>
      <c r="M130" s="3493"/>
      <c r="N130" s="3424"/>
      <c r="O130" s="3424"/>
      <c r="P130" s="3425"/>
      <c r="Q130" s="3390"/>
      <c r="R130" s="3357"/>
      <c r="S130" s="3357"/>
      <c r="T130" s="3357"/>
      <c r="U130" s="3357"/>
      <c r="V130" s="3357"/>
      <c r="W130" s="3357"/>
      <c r="X130" s="3357"/>
      <c r="Y130" s="3357"/>
      <c r="Z130" s="3357"/>
      <c r="AA130" s="3357"/>
      <c r="AB130" s="3357"/>
      <c r="AC130" s="3357"/>
    </row>
    <row r="131" spans="1:29" ht="15.75" thickBot="1">
      <c r="A131" s="3494"/>
      <c r="B131" s="3466"/>
      <c r="C131" s="3467"/>
      <c r="D131" s="3467"/>
      <c r="E131" s="3467"/>
      <c r="F131" s="3467"/>
      <c r="G131" s="3495"/>
      <c r="H131" s="3495"/>
      <c r="I131" s="3495"/>
      <c r="J131" s="3495"/>
      <c r="K131" s="3495"/>
      <c r="L131" s="3495"/>
      <c r="M131" s="3496"/>
      <c r="N131" s="3431"/>
      <c r="O131" s="3431"/>
      <c r="P131" s="3425"/>
      <c r="Q131" s="3390"/>
      <c r="R131" s="3357"/>
      <c r="S131" s="3357"/>
      <c r="T131" s="3357"/>
      <c r="U131" s="3357"/>
      <c r="V131" s="3357"/>
      <c r="W131" s="3357"/>
      <c r="X131" s="3357"/>
      <c r="Y131" s="3357"/>
      <c r="Z131" s="3357"/>
      <c r="AA131" s="3357"/>
      <c r="AB131" s="3357"/>
      <c r="AC131" s="3357"/>
    </row>
    <row r="132" spans="1:29">
      <c r="A132" s="3516"/>
      <c r="B132" s="3516"/>
      <c r="C132" s="3516"/>
      <c r="D132" s="3516"/>
      <c r="E132" s="3516"/>
      <c r="F132" s="3516"/>
      <c r="G132" s="3516"/>
      <c r="H132" s="3516"/>
      <c r="I132" s="3516"/>
      <c r="J132" s="3516"/>
      <c r="K132" s="3517"/>
      <c r="L132" s="3518"/>
      <c r="M132" s="3516"/>
      <c r="N132" s="3516"/>
      <c r="O132" s="3516"/>
      <c r="P132" s="3516"/>
      <c r="Q132" s="3516"/>
      <c r="R132" s="3516"/>
      <c r="S132" s="3516"/>
      <c r="T132" s="3516"/>
      <c r="U132" s="3516"/>
      <c r="V132" s="3516"/>
      <c r="W132" s="3516"/>
      <c r="X132" s="3516"/>
      <c r="Y132" s="3516"/>
      <c r="Z132" s="3516"/>
      <c r="AA132" s="3516"/>
      <c r="AB132" s="3516"/>
      <c r="AC132" s="3516"/>
    </row>
    <row r="133" spans="1:29">
      <c r="A133" s="3516"/>
      <c r="B133" s="3516"/>
      <c r="C133" s="3516"/>
      <c r="D133" s="3516"/>
      <c r="E133" s="3516"/>
      <c r="F133" s="3516"/>
      <c r="G133" s="3516"/>
      <c r="H133" s="3516"/>
      <c r="I133" s="3516"/>
      <c r="J133" s="3516"/>
      <c r="K133" s="3517"/>
      <c r="L133" s="3518"/>
      <c r="M133" s="3516"/>
      <c r="N133" s="3516"/>
      <c r="O133" s="3516"/>
      <c r="P133" s="3516"/>
      <c r="Q133" s="3516"/>
      <c r="R133" s="3516"/>
      <c r="S133" s="3516"/>
      <c r="T133" s="3516"/>
      <c r="U133" s="3516"/>
      <c r="V133" s="3516"/>
      <c r="W133" s="3516"/>
      <c r="X133" s="3516"/>
      <c r="Y133" s="3516"/>
      <c r="Z133" s="3516"/>
      <c r="AA133" s="3516"/>
      <c r="AB133" s="3516"/>
      <c r="AC133" s="3516"/>
    </row>
    <row r="134" spans="1:29">
      <c r="A134" s="3516"/>
      <c r="B134" s="3516"/>
      <c r="C134" s="3516"/>
      <c r="D134" s="3516"/>
      <c r="E134" s="3516"/>
      <c r="F134" s="3516"/>
      <c r="G134" s="3516"/>
      <c r="H134" s="3516"/>
      <c r="I134" s="3516"/>
      <c r="J134" s="3516"/>
      <c r="K134" s="3517"/>
      <c r="L134" s="3518"/>
      <c r="M134" s="3516"/>
      <c r="N134" s="3516"/>
      <c r="O134" s="3516"/>
      <c r="P134" s="3516"/>
      <c r="Q134" s="3516"/>
      <c r="R134" s="3516"/>
      <c r="S134" s="3516"/>
      <c r="T134" s="3516"/>
      <c r="U134" s="3516"/>
      <c r="V134" s="3516"/>
      <c r="W134" s="3516"/>
      <c r="X134" s="3516"/>
      <c r="Y134" s="3516"/>
      <c r="Z134" s="3516"/>
      <c r="AA134" s="3516"/>
      <c r="AB134" s="3516"/>
      <c r="AC134" s="3516"/>
    </row>
    <row r="135" spans="1:29">
      <c r="A135" s="3516"/>
      <c r="B135" s="3516"/>
      <c r="C135" s="3516"/>
      <c r="D135" s="3516"/>
      <c r="E135" s="3516"/>
      <c r="F135" s="3516"/>
      <c r="G135" s="3516"/>
      <c r="H135" s="3516"/>
      <c r="I135" s="3516"/>
      <c r="J135" s="3516"/>
      <c r="K135" s="3517"/>
      <c r="L135" s="3518"/>
      <c r="M135" s="3516"/>
      <c r="N135" s="3516"/>
      <c r="O135" s="3516"/>
      <c r="P135" s="3516"/>
      <c r="Q135" s="3516"/>
      <c r="R135" s="3516"/>
      <c r="S135" s="3516"/>
      <c r="T135" s="3516"/>
      <c r="U135" s="3516"/>
      <c r="V135" s="3516"/>
      <c r="W135" s="3516"/>
      <c r="X135" s="3516"/>
      <c r="Y135" s="3516"/>
      <c r="Z135" s="3516"/>
      <c r="AA135" s="3516"/>
      <c r="AB135" s="3516"/>
      <c r="AC135" s="3516"/>
    </row>
    <row r="136" spans="1:29" ht="15" thickBot="1">
      <c r="A136" s="3516"/>
      <c r="B136" s="3519" t="s">
        <v>3326</v>
      </c>
      <c r="C136" s="3520"/>
      <c r="D136" s="3520"/>
      <c r="E136" s="3520"/>
      <c r="F136" s="3520"/>
      <c r="G136" s="3520"/>
      <c r="H136" s="3520"/>
      <c r="I136" s="3520"/>
      <c r="J136" s="3520"/>
      <c r="K136" s="3521"/>
      <c r="L136" s="3518"/>
      <c r="M136" s="3516"/>
      <c r="N136" s="3516"/>
      <c r="O136" s="3516"/>
      <c r="P136" s="3516"/>
      <c r="Q136" s="3516"/>
      <c r="R136" s="3516"/>
      <c r="S136" s="3516"/>
      <c r="T136" s="3516"/>
      <c r="U136" s="3516"/>
      <c r="V136" s="3516"/>
      <c r="W136" s="3516"/>
      <c r="X136" s="3516"/>
      <c r="Y136" s="3516"/>
      <c r="Z136" s="3516"/>
      <c r="AA136" s="3516"/>
      <c r="AB136" s="3516"/>
      <c r="AC136" s="3516"/>
    </row>
    <row r="137" spans="1:29">
      <c r="A137" s="3516"/>
      <c r="B137" s="3522" t="s">
        <v>3327</v>
      </c>
      <c r="C137" s="3523"/>
      <c r="D137" s="3523"/>
      <c r="E137" s="3523"/>
      <c r="F137" s="3523"/>
      <c r="G137" s="3524"/>
      <c r="H137" s="3525"/>
      <c r="I137" s="3526" t="s">
        <v>3305</v>
      </c>
      <c r="J137" s="3523"/>
      <c r="K137" s="3527"/>
      <c r="L137" s="3518"/>
      <c r="M137" s="3516"/>
      <c r="N137" s="3516"/>
      <c r="O137" s="3516"/>
      <c r="P137" s="3516"/>
      <c r="Q137" s="3516"/>
      <c r="R137" s="3516"/>
      <c r="S137" s="3516"/>
      <c r="T137" s="3516"/>
      <c r="U137" s="3516"/>
      <c r="V137" s="3516"/>
      <c r="W137" s="3516"/>
      <c r="X137" s="3516"/>
      <c r="Y137" s="3516"/>
      <c r="Z137" s="3516"/>
      <c r="AA137" s="3516"/>
      <c r="AB137" s="3516"/>
      <c r="AC137" s="3516"/>
    </row>
    <row r="138" spans="1:29">
      <c r="A138" s="3516"/>
      <c r="B138" s="3528"/>
      <c r="C138" s="3529" t="s">
        <v>3328</v>
      </c>
      <c r="D138" s="3529" t="s">
        <v>3329</v>
      </c>
      <c r="E138" s="3530" t="s">
        <v>3330</v>
      </c>
      <c r="F138" s="3531" t="s">
        <v>3331</v>
      </c>
      <c r="G138" s="3529" t="s">
        <v>3329</v>
      </c>
      <c r="H138" s="3532" t="s">
        <v>3330</v>
      </c>
      <c r="I138" s="3533"/>
      <c r="J138" s="3529" t="s">
        <v>3332</v>
      </c>
      <c r="K138" s="3532" t="s">
        <v>3333</v>
      </c>
      <c r="L138" s="3518"/>
      <c r="M138" s="3516"/>
      <c r="N138" s="3516"/>
      <c r="O138" s="3516"/>
      <c r="P138" s="3516"/>
      <c r="Q138" s="3516"/>
      <c r="R138" s="3516"/>
      <c r="S138" s="3516"/>
      <c r="T138" s="3516"/>
      <c r="U138" s="3516"/>
      <c r="V138" s="3516"/>
      <c r="W138" s="3516"/>
      <c r="X138" s="3516"/>
      <c r="Y138" s="3516"/>
      <c r="Z138" s="3516"/>
      <c r="AA138" s="3516"/>
      <c r="AB138" s="3516"/>
      <c r="AC138" s="3516"/>
    </row>
    <row r="139" spans="1:29" ht="15">
      <c r="A139" s="3516"/>
      <c r="B139" s="3534">
        <v>6</v>
      </c>
      <c r="C139" s="3535">
        <v>96</v>
      </c>
      <c r="D139" s="3536" t="s">
        <v>3334</v>
      </c>
      <c r="E139" s="3537">
        <v>100</v>
      </c>
      <c r="F139" s="3538">
        <v>102.5</v>
      </c>
      <c r="G139" s="3536" t="s">
        <v>3334</v>
      </c>
      <c r="H139" s="3539">
        <v>105</v>
      </c>
      <c r="I139" s="3540" t="s">
        <v>3335</v>
      </c>
      <c r="J139" s="3535">
        <v>20</v>
      </c>
      <c r="K139" s="3541">
        <f>C145/(J139-2)</f>
        <v>4.0555555555555553E-3</v>
      </c>
      <c r="L139" s="3518"/>
      <c r="M139" s="3516"/>
      <c r="N139" s="3516"/>
      <c r="O139" s="3516"/>
      <c r="P139" s="3516"/>
      <c r="Q139" s="3516"/>
      <c r="R139" s="3516"/>
      <c r="S139" s="3516"/>
      <c r="T139" s="3516"/>
      <c r="U139" s="3516"/>
      <c r="V139" s="3516"/>
      <c r="W139" s="3516"/>
      <c r="X139" s="3516"/>
      <c r="Y139" s="3516"/>
      <c r="Z139" s="3516"/>
      <c r="AA139" s="3516"/>
      <c r="AB139" s="3516"/>
      <c r="AC139" s="3516"/>
    </row>
    <row r="140" spans="1:29" ht="15">
      <c r="A140" s="3516"/>
      <c r="B140" s="3542">
        <v>5</v>
      </c>
      <c r="C140" s="3543">
        <v>100</v>
      </c>
      <c r="D140" s="3544"/>
      <c r="E140" s="3545"/>
      <c r="F140" s="3546">
        <v>102</v>
      </c>
      <c r="G140" s="3544"/>
      <c r="H140" s="3547"/>
      <c r="I140" s="3548" t="s">
        <v>3336</v>
      </c>
      <c r="J140" s="3549">
        <f>ROUNDUP((J139-1)/2,0)</f>
        <v>10</v>
      </c>
      <c r="K140" s="3550">
        <v>100</v>
      </c>
      <c r="L140" s="3518"/>
      <c r="M140" s="3516"/>
      <c r="N140" s="3516"/>
      <c r="O140" s="3516"/>
      <c r="P140" s="3516"/>
      <c r="Q140" s="3516"/>
      <c r="R140" s="3516"/>
      <c r="S140" s="3516"/>
      <c r="T140" s="3516"/>
      <c r="U140" s="3516"/>
      <c r="V140" s="3516"/>
      <c r="W140" s="3516"/>
      <c r="X140" s="3516"/>
      <c r="Y140" s="3516"/>
      <c r="Z140" s="3516"/>
      <c r="AA140" s="3516"/>
      <c r="AB140" s="3516"/>
      <c r="AC140" s="3516"/>
    </row>
    <row r="141" spans="1:29" ht="15">
      <c r="A141" s="3516"/>
      <c r="B141" s="3542">
        <v>4</v>
      </c>
      <c r="C141" s="3543">
        <v>102</v>
      </c>
      <c r="D141" s="3544"/>
      <c r="E141" s="3545"/>
      <c r="F141" s="3546">
        <v>101.5</v>
      </c>
      <c r="G141" s="3544"/>
      <c r="H141" s="3547"/>
      <c r="I141" s="3548" t="s">
        <v>3337</v>
      </c>
      <c r="J141" s="3549">
        <v>1</v>
      </c>
      <c r="K141" s="3551">
        <f>ROUND(100+(J141-J140)*K139*100,1)</f>
        <v>96.4</v>
      </c>
      <c r="L141" s="3518"/>
      <c r="M141" s="3516"/>
      <c r="N141" s="3516"/>
      <c r="O141" s="3516"/>
      <c r="P141" s="3516"/>
      <c r="Q141" s="3516"/>
      <c r="R141" s="3516"/>
      <c r="S141" s="3516"/>
      <c r="T141" s="3516"/>
      <c r="U141" s="3516"/>
      <c r="V141" s="3516"/>
      <c r="W141" s="3516"/>
      <c r="X141" s="3516"/>
      <c r="Y141" s="3516"/>
      <c r="Z141" s="3516"/>
      <c r="AA141" s="3516"/>
      <c r="AB141" s="3516"/>
      <c r="AC141" s="3516"/>
    </row>
    <row r="142" spans="1:29" ht="15">
      <c r="A142" s="3516"/>
      <c r="B142" s="3542">
        <v>3</v>
      </c>
      <c r="C142" s="3543">
        <v>103</v>
      </c>
      <c r="D142" s="3544"/>
      <c r="E142" s="3545"/>
      <c r="F142" s="3546">
        <v>101</v>
      </c>
      <c r="G142" s="3544"/>
      <c r="H142" s="3547"/>
      <c r="I142" s="3548" t="s">
        <v>3338</v>
      </c>
      <c r="J142" s="3549">
        <f>J139</f>
        <v>20</v>
      </c>
      <c r="K142" s="3552">
        <v>95</v>
      </c>
      <c r="L142" s="3518"/>
      <c r="M142" s="3516"/>
      <c r="N142" s="3516"/>
      <c r="O142" s="3516"/>
      <c r="P142" s="3516"/>
      <c r="Q142" s="3516"/>
      <c r="R142" s="3516"/>
      <c r="S142" s="3516"/>
      <c r="T142" s="3516"/>
      <c r="U142" s="3516"/>
      <c r="V142" s="3516"/>
      <c r="W142" s="3516"/>
      <c r="X142" s="3516"/>
      <c r="Y142" s="3516"/>
      <c r="Z142" s="3516"/>
      <c r="AA142" s="3516"/>
      <c r="AB142" s="3516"/>
      <c r="AC142" s="3516"/>
    </row>
    <row r="143" spans="1:29" ht="15">
      <c r="A143" s="3516"/>
      <c r="B143" s="3542">
        <v>2</v>
      </c>
      <c r="C143" s="3543">
        <v>100</v>
      </c>
      <c r="D143" s="3544"/>
      <c r="E143" s="3545"/>
      <c r="F143" s="3546">
        <v>100.5</v>
      </c>
      <c r="G143" s="3544"/>
      <c r="H143" s="3547"/>
      <c r="I143" s="3548" t="s">
        <v>3339</v>
      </c>
      <c r="J143" s="3543">
        <v>15</v>
      </c>
      <c r="K143" s="3551">
        <f>ROUND(100+(J143-J140)*K139*100,1)</f>
        <v>102</v>
      </c>
      <c r="L143" s="3518"/>
      <c r="M143" s="3516"/>
      <c r="N143" s="3516"/>
      <c r="O143" s="3516"/>
      <c r="P143" s="3516"/>
      <c r="Q143" s="3516"/>
      <c r="R143" s="3516"/>
      <c r="S143" s="3516"/>
      <c r="T143" s="3516"/>
      <c r="U143" s="3516"/>
      <c r="V143" s="3516"/>
      <c r="W143" s="3516"/>
      <c r="X143" s="3516"/>
      <c r="Y143" s="3516"/>
      <c r="Z143" s="3516"/>
      <c r="AA143" s="3516"/>
      <c r="AB143" s="3516"/>
      <c r="AC143" s="3516"/>
    </row>
    <row r="144" spans="1:29" ht="15">
      <c r="A144" s="3516"/>
      <c r="B144" s="3542">
        <v>1</v>
      </c>
      <c r="C144" s="3543">
        <v>98</v>
      </c>
      <c r="D144" s="3553" t="s">
        <v>3340</v>
      </c>
      <c r="E144" s="3545">
        <v>102</v>
      </c>
      <c r="F144" s="3554">
        <v>100</v>
      </c>
      <c r="G144" s="3553" t="s">
        <v>3340</v>
      </c>
      <c r="H144" s="3547">
        <v>105</v>
      </c>
      <c r="I144" s="3548" t="s">
        <v>3339</v>
      </c>
      <c r="J144" s="3543">
        <v>18</v>
      </c>
      <c r="K144" s="3551">
        <f>ROUND(100+(J144-J140)*K139*100,1)</f>
        <v>103.2</v>
      </c>
      <c r="L144" s="3518"/>
      <c r="M144" s="3516"/>
      <c r="N144" s="3516"/>
      <c r="O144" s="3516"/>
      <c r="P144" s="3516"/>
      <c r="Q144" s="3516"/>
      <c r="R144" s="3516"/>
      <c r="S144" s="3516"/>
      <c r="T144" s="3516"/>
      <c r="U144" s="3516"/>
      <c r="V144" s="3516"/>
      <c r="W144" s="3516"/>
      <c r="X144" s="3516"/>
      <c r="Y144" s="3516"/>
      <c r="Z144" s="3516"/>
      <c r="AA144" s="3516"/>
      <c r="AB144" s="3516"/>
      <c r="AC144" s="3516"/>
    </row>
    <row r="145" spans="1:29" ht="15.75" thickBot="1">
      <c r="A145" s="3516"/>
      <c r="B145" s="3555" t="s">
        <v>3341</v>
      </c>
      <c r="C145" s="3556">
        <f>ROUND(MAX(C139:C144)/MIN(C139:C144)-1,3)</f>
        <v>7.2999999999999995E-2</v>
      </c>
      <c r="D145" s="3557"/>
      <c r="E145" s="3557"/>
      <c r="F145" s="3558" t="s">
        <v>3342</v>
      </c>
      <c r="G145" s="3559"/>
      <c r="H145" s="3560"/>
      <c r="I145" s="3561" t="s">
        <v>3339</v>
      </c>
      <c r="J145" s="3562">
        <v>8</v>
      </c>
      <c r="K145" s="3563">
        <f>ROUND(100+(J145-J140)*K139*100,1)</f>
        <v>99.2</v>
      </c>
      <c r="L145" s="3518"/>
      <c r="M145" s="3516"/>
      <c r="N145" s="3516"/>
      <c r="O145" s="3516"/>
      <c r="P145" s="3516"/>
      <c r="Q145" s="3516"/>
      <c r="R145" s="3516"/>
      <c r="S145" s="3516"/>
      <c r="T145" s="3516"/>
      <c r="U145" s="3516"/>
      <c r="V145" s="3516"/>
      <c r="W145" s="3516"/>
      <c r="X145" s="3516"/>
      <c r="Y145" s="3516"/>
      <c r="Z145" s="3516"/>
      <c r="AA145" s="3516"/>
      <c r="AB145" s="3516"/>
      <c r="AC145" s="3516"/>
    </row>
    <row r="146" spans="1:29">
      <c r="A146" s="3516"/>
      <c r="B146" s="3516"/>
      <c r="C146" s="3516"/>
      <c r="D146" s="3516"/>
      <c r="E146" s="3516"/>
      <c r="F146" s="3516"/>
      <c r="G146" s="3516"/>
      <c r="H146" s="3516"/>
      <c r="I146" s="3516"/>
      <c r="J146" s="3516"/>
      <c r="K146" s="3517"/>
      <c r="L146" s="3518"/>
      <c r="M146" s="3516"/>
      <c r="N146" s="3516"/>
      <c r="O146" s="3516"/>
      <c r="P146" s="3516"/>
      <c r="Q146" s="3516"/>
      <c r="R146" s="3516"/>
      <c r="S146" s="3516"/>
      <c r="T146" s="3516"/>
      <c r="U146" s="3516"/>
      <c r="V146" s="3516"/>
      <c r="W146" s="3516"/>
      <c r="X146" s="3516"/>
      <c r="Y146" s="3516"/>
      <c r="Z146" s="3516"/>
      <c r="AA146" s="3516"/>
      <c r="AB146" s="3516"/>
      <c r="AC146" s="3516"/>
    </row>
    <row r="147" spans="1:29">
      <c r="A147" s="3516"/>
      <c r="B147" s="3564" t="s">
        <v>3343</v>
      </c>
      <c r="L147" s="3518"/>
      <c r="M147" s="3516"/>
      <c r="N147" s="3516"/>
      <c r="O147" s="3516"/>
      <c r="P147" s="3516"/>
      <c r="Q147" s="3516"/>
      <c r="R147" s="3516"/>
      <c r="S147" s="3516"/>
      <c r="T147" s="3516"/>
      <c r="U147" s="3516"/>
      <c r="V147" s="3516"/>
      <c r="W147" s="3516"/>
      <c r="X147" s="3516"/>
      <c r="Y147" s="3516"/>
      <c r="Z147" s="3516"/>
      <c r="AA147" s="3516"/>
      <c r="AB147" s="3516"/>
      <c r="AC147" s="3516"/>
    </row>
    <row r="148" spans="1:29">
      <c r="A148" s="3516"/>
      <c r="B148" s="3564" t="s">
        <v>3344</v>
      </c>
      <c r="L148" s="3518"/>
      <c r="M148" s="3516"/>
      <c r="N148" s="3516"/>
      <c r="O148" s="3516"/>
      <c r="P148" s="3516"/>
      <c r="Q148" s="3516"/>
      <c r="R148" s="3516"/>
      <c r="S148" s="3516"/>
      <c r="T148" s="3516"/>
      <c r="U148" s="3516"/>
      <c r="V148" s="3516"/>
      <c r="W148" s="3516"/>
      <c r="X148" s="3516"/>
      <c r="Y148" s="3516"/>
      <c r="Z148" s="3516"/>
      <c r="AA148" s="3516"/>
      <c r="AB148" s="3516"/>
      <c r="AC148" s="3516"/>
    </row>
    <row r="149" spans="1:29">
      <c r="A149" s="3516"/>
      <c r="B149" s="3516"/>
      <c r="C149" s="3516"/>
      <c r="D149" s="3516"/>
      <c r="E149" s="3516"/>
      <c r="F149" s="3516"/>
      <c r="G149" s="3516"/>
      <c r="H149" s="3516"/>
      <c r="I149" s="3516"/>
      <c r="J149" s="3516"/>
      <c r="K149" s="3517"/>
      <c r="L149" s="3518"/>
      <c r="M149" s="3516"/>
      <c r="N149" s="3516"/>
      <c r="O149" s="3516"/>
      <c r="P149" s="3516"/>
      <c r="Q149" s="3516"/>
      <c r="R149" s="3516"/>
      <c r="S149" s="3516"/>
      <c r="T149" s="3516"/>
      <c r="U149" s="3516"/>
      <c r="V149" s="3516"/>
      <c r="W149" s="3516"/>
      <c r="X149" s="3516"/>
      <c r="Y149" s="3516"/>
      <c r="Z149" s="3516"/>
      <c r="AA149" s="3516"/>
      <c r="AB149" s="3516"/>
      <c r="AC149" s="3516"/>
    </row>
    <row r="150" spans="1:29">
      <c r="A150" s="3516"/>
      <c r="B150" s="3516"/>
      <c r="C150" s="3516"/>
      <c r="D150" s="3516"/>
      <c r="E150" s="3516"/>
      <c r="F150" s="3516"/>
      <c r="G150" s="3516"/>
      <c r="H150" s="3516"/>
      <c r="I150" s="3516"/>
      <c r="J150" s="3516"/>
      <c r="K150" s="3517"/>
      <c r="L150" s="3518"/>
      <c r="M150" s="3516"/>
      <c r="N150" s="3516"/>
      <c r="O150" s="3516"/>
      <c r="P150" s="3516"/>
      <c r="Q150" s="3516"/>
      <c r="R150" s="3516"/>
      <c r="S150" s="3516"/>
      <c r="T150" s="3516"/>
      <c r="U150" s="3516"/>
      <c r="V150" s="3516"/>
      <c r="W150" s="3516"/>
      <c r="X150" s="3516"/>
      <c r="Y150" s="3516"/>
      <c r="Z150" s="3516"/>
      <c r="AA150" s="3516"/>
      <c r="AB150" s="3516"/>
      <c r="AC150" s="3516"/>
    </row>
    <row r="151" spans="1:29">
      <c r="A151" s="3516"/>
      <c r="B151" s="3516"/>
      <c r="C151" s="3516"/>
      <c r="D151" s="3516"/>
      <c r="E151" s="3516"/>
      <c r="F151" s="3516"/>
      <c r="G151" s="3516"/>
      <c r="H151" s="3516"/>
      <c r="I151" s="3516"/>
      <c r="J151" s="3516"/>
      <c r="K151" s="3517"/>
      <c r="L151" s="3518"/>
      <c r="M151" s="3516"/>
      <c r="N151" s="3516"/>
      <c r="O151" s="3516"/>
      <c r="P151" s="3516"/>
      <c r="Q151" s="3516"/>
      <c r="R151" s="3516"/>
      <c r="S151" s="3516"/>
      <c r="T151" s="3516"/>
      <c r="U151" s="3516"/>
      <c r="V151" s="3516"/>
      <c r="W151" s="3516"/>
      <c r="X151" s="3516"/>
      <c r="Y151" s="3516"/>
      <c r="Z151" s="3516"/>
      <c r="AA151" s="3516"/>
      <c r="AB151" s="3516"/>
      <c r="AC151" s="3516"/>
    </row>
    <row r="152" spans="1:29">
      <c r="A152" s="3516"/>
      <c r="B152" s="3516"/>
      <c r="C152" s="3516"/>
      <c r="D152" s="3516"/>
      <c r="E152" s="3516"/>
      <c r="F152" s="3516"/>
      <c r="G152" s="3516"/>
      <c r="H152" s="3516"/>
      <c r="I152" s="3516"/>
      <c r="J152" s="3516"/>
      <c r="K152" s="3517"/>
      <c r="L152" s="3518"/>
      <c r="M152" s="3516"/>
      <c r="N152" s="3516"/>
      <c r="O152" s="3516"/>
      <c r="P152" s="3516"/>
      <c r="Q152" s="3516"/>
      <c r="R152" s="3516"/>
      <c r="S152" s="3516"/>
      <c r="T152" s="3516"/>
      <c r="U152" s="3516"/>
      <c r="V152" s="3516"/>
      <c r="W152" s="3516"/>
      <c r="X152" s="3516"/>
      <c r="Y152" s="3516"/>
      <c r="Z152" s="3516"/>
      <c r="AA152" s="3516"/>
      <c r="AB152" s="3516"/>
      <c r="AC152" s="3516"/>
    </row>
    <row r="153" spans="1:29">
      <c r="A153" s="3516"/>
      <c r="B153" s="3516"/>
      <c r="C153" s="3516"/>
      <c r="D153" s="3516"/>
      <c r="E153" s="3516"/>
      <c r="F153" s="3516"/>
      <c r="G153" s="3516"/>
      <c r="H153" s="3516"/>
      <c r="I153" s="3516"/>
      <c r="J153" s="3516"/>
      <c r="K153" s="3517"/>
      <c r="L153" s="3518"/>
      <c r="M153" s="3516"/>
      <c r="N153" s="3516"/>
      <c r="O153" s="3516"/>
      <c r="P153" s="3516"/>
      <c r="Q153" s="3516"/>
      <c r="R153" s="3516"/>
      <c r="S153" s="3516"/>
      <c r="T153" s="3516"/>
      <c r="U153" s="3516"/>
      <c r="V153" s="3516"/>
      <c r="W153" s="3516"/>
      <c r="X153" s="3516"/>
      <c r="Y153" s="3516"/>
      <c r="Z153" s="3516"/>
      <c r="AA153" s="3516"/>
      <c r="AB153" s="3516"/>
      <c r="AC153" s="3516"/>
    </row>
    <row r="154" spans="1:29">
      <c r="A154" s="3516"/>
      <c r="B154" s="3516"/>
      <c r="C154" s="3516"/>
      <c r="D154" s="3516"/>
      <c r="E154" s="3516"/>
      <c r="F154" s="3516"/>
      <c r="G154" s="3516"/>
      <c r="H154" s="3516"/>
      <c r="I154" s="3516"/>
      <c r="J154" s="3516"/>
      <c r="K154" s="3517"/>
      <c r="L154" s="3518"/>
      <c r="M154" s="3516"/>
      <c r="N154" s="3516"/>
      <c r="O154" s="3516"/>
      <c r="P154" s="3516"/>
      <c r="Q154" s="3516"/>
      <c r="R154" s="3516"/>
      <c r="S154" s="3516"/>
      <c r="T154" s="3516"/>
      <c r="U154" s="3516"/>
      <c r="V154" s="3516"/>
      <c r="W154" s="3516"/>
      <c r="X154" s="3516"/>
      <c r="Y154" s="3516"/>
      <c r="Z154" s="3516"/>
      <c r="AA154" s="3516"/>
      <c r="AB154" s="3516"/>
      <c r="AC154" s="3516"/>
    </row>
    <row r="155" spans="1:29">
      <c r="A155" s="3516"/>
      <c r="B155" s="3516"/>
      <c r="C155" s="3516"/>
      <c r="D155" s="3516"/>
      <c r="E155" s="3516"/>
      <c r="F155" s="3516"/>
      <c r="G155" s="3516"/>
      <c r="H155" s="3516"/>
      <c r="I155" s="3516"/>
      <c r="J155" s="3516"/>
      <c r="K155" s="3517"/>
      <c r="L155" s="3518"/>
      <c r="M155" s="3516"/>
      <c r="N155" s="3516"/>
      <c r="O155" s="3516"/>
      <c r="P155" s="3516"/>
      <c r="Q155" s="3516"/>
      <c r="R155" s="3516"/>
      <c r="S155" s="3516"/>
      <c r="T155" s="3516"/>
      <c r="U155" s="3516"/>
      <c r="V155" s="3516"/>
      <c r="W155" s="3516"/>
      <c r="X155" s="3516"/>
      <c r="Y155" s="3516"/>
      <c r="Z155" s="3516"/>
      <c r="AA155" s="3516"/>
      <c r="AB155" s="3516"/>
      <c r="AC155" s="3516"/>
    </row>
    <row r="156" spans="1:29">
      <c r="A156" s="3516"/>
      <c r="B156" s="3516"/>
      <c r="C156" s="3516"/>
      <c r="D156" s="3516"/>
      <c r="E156" s="3516"/>
      <c r="F156" s="3516"/>
      <c r="G156" s="3516"/>
      <c r="H156" s="3516"/>
      <c r="I156" s="3516"/>
      <c r="J156" s="3516"/>
      <c r="K156" s="3517"/>
      <c r="L156" s="3518"/>
      <c r="M156" s="3516"/>
      <c r="N156" s="3516"/>
      <c r="O156" s="3516"/>
      <c r="P156" s="3516"/>
      <c r="Q156" s="3516"/>
      <c r="R156" s="3516"/>
      <c r="S156" s="3516"/>
      <c r="T156" s="3516"/>
      <c r="U156" s="3516"/>
      <c r="V156" s="3516"/>
      <c r="W156" s="3516"/>
      <c r="X156" s="3516"/>
      <c r="Y156" s="3516"/>
      <c r="Z156" s="3516"/>
      <c r="AA156" s="3516"/>
      <c r="AB156" s="3516"/>
      <c r="AC156" s="3516"/>
    </row>
    <row r="157" spans="1:29">
      <c r="A157" s="3516"/>
      <c r="B157" s="3516"/>
      <c r="C157" s="3516"/>
      <c r="D157" s="3516"/>
      <c r="E157" s="3516"/>
      <c r="F157" s="3516"/>
      <c r="G157" s="3516"/>
      <c r="H157" s="3516"/>
      <c r="I157" s="3516"/>
      <c r="J157" s="3516"/>
      <c r="K157" s="3517"/>
      <c r="L157" s="3518"/>
      <c r="M157" s="3516"/>
      <c r="N157" s="3516"/>
      <c r="O157" s="3516"/>
      <c r="P157" s="3516"/>
      <c r="Q157" s="3516"/>
      <c r="R157" s="3516"/>
      <c r="S157" s="3516"/>
      <c r="T157" s="3516"/>
      <c r="U157" s="3516"/>
      <c r="V157" s="3516"/>
      <c r="W157" s="3516"/>
      <c r="X157" s="3516"/>
      <c r="Y157" s="3516"/>
      <c r="Z157" s="3516"/>
      <c r="AA157" s="3516"/>
      <c r="AB157" s="3516"/>
      <c r="AC157" s="3516"/>
    </row>
    <row r="158" spans="1:29">
      <c r="A158" s="3516"/>
      <c r="B158" s="3516"/>
      <c r="C158" s="3516"/>
      <c r="D158" s="3516"/>
      <c r="E158" s="3516"/>
      <c r="F158" s="3516"/>
      <c r="G158" s="3516"/>
      <c r="H158" s="3516"/>
      <c r="I158" s="3516"/>
      <c r="J158" s="3516"/>
      <c r="K158" s="3517"/>
      <c r="L158" s="3518"/>
      <c r="M158" s="3516"/>
      <c r="N158" s="3516"/>
      <c r="O158" s="3516"/>
      <c r="P158" s="3516"/>
      <c r="Q158" s="3516"/>
      <c r="R158" s="3516"/>
      <c r="S158" s="3516"/>
      <c r="T158" s="3516"/>
      <c r="U158" s="3516"/>
      <c r="V158" s="3516"/>
      <c r="W158" s="3516"/>
      <c r="X158" s="3516"/>
      <c r="Y158" s="3516"/>
      <c r="Z158" s="3516"/>
      <c r="AA158" s="3516"/>
      <c r="AB158" s="3516"/>
      <c r="AC158" s="3516"/>
    </row>
    <row r="159" spans="1:29">
      <c r="A159" s="3516"/>
      <c r="B159" s="3516"/>
      <c r="C159" s="3516"/>
      <c r="D159" s="3516"/>
      <c r="E159" s="3516"/>
      <c r="F159" s="3516"/>
      <c r="G159" s="3516"/>
      <c r="H159" s="3516"/>
      <c r="I159" s="3516"/>
      <c r="J159" s="3516"/>
      <c r="K159" s="3517"/>
      <c r="L159" s="3518"/>
      <c r="M159" s="3516"/>
      <c r="N159" s="3516"/>
      <c r="O159" s="3516"/>
      <c r="P159" s="3516"/>
      <c r="Q159" s="3516"/>
      <c r="R159" s="3516"/>
      <c r="S159" s="3516"/>
      <c r="T159" s="3516"/>
      <c r="U159" s="3516"/>
      <c r="V159" s="3516"/>
      <c r="W159" s="3516"/>
      <c r="X159" s="3516"/>
      <c r="Y159" s="3516"/>
      <c r="Z159" s="3516"/>
      <c r="AA159" s="3516"/>
      <c r="AB159" s="3516"/>
      <c r="AC159" s="3516"/>
    </row>
    <row r="160" spans="1:29">
      <c r="A160" s="3516"/>
      <c r="B160" s="3516"/>
      <c r="C160" s="3516"/>
      <c r="D160" s="3516"/>
      <c r="E160" s="3516"/>
      <c r="F160" s="3516"/>
      <c r="G160" s="3516"/>
      <c r="H160" s="3516"/>
      <c r="I160" s="3516"/>
      <c r="J160" s="3516"/>
      <c r="K160" s="3517"/>
      <c r="L160" s="3518"/>
      <c r="M160" s="3516"/>
      <c r="N160" s="3516"/>
      <c r="O160" s="3516"/>
      <c r="P160" s="3516"/>
      <c r="Q160" s="3516"/>
      <c r="R160" s="3516"/>
      <c r="S160" s="3516"/>
      <c r="T160" s="3516"/>
      <c r="U160" s="3516"/>
      <c r="V160" s="3516"/>
      <c r="W160" s="3516"/>
      <c r="X160" s="3516"/>
      <c r="Y160" s="3516"/>
      <c r="Z160" s="3516"/>
      <c r="AA160" s="3516"/>
      <c r="AB160" s="3516"/>
      <c r="AC160" s="3516"/>
    </row>
    <row r="161" spans="1:29">
      <c r="A161" s="3516"/>
      <c r="B161" s="3516"/>
      <c r="C161" s="3516"/>
      <c r="D161" s="3516"/>
      <c r="E161" s="3516"/>
      <c r="F161" s="3516"/>
      <c r="G161" s="3516"/>
      <c r="H161" s="3516"/>
      <c r="I161" s="3516"/>
      <c r="J161" s="3516"/>
      <c r="K161" s="3517"/>
      <c r="L161" s="3518"/>
      <c r="M161" s="3516"/>
      <c r="N161" s="3516"/>
      <c r="O161" s="3516"/>
      <c r="P161" s="3516"/>
      <c r="Q161" s="3516"/>
      <c r="R161" s="3516"/>
      <c r="S161" s="3516"/>
      <c r="T161" s="3516"/>
      <c r="U161" s="3516"/>
      <c r="V161" s="3516"/>
      <c r="W161" s="3516"/>
      <c r="X161" s="3516"/>
      <c r="Y161" s="3516"/>
      <c r="Z161" s="3516"/>
      <c r="AA161" s="3516"/>
      <c r="AB161" s="3516"/>
      <c r="AC161" s="3516"/>
    </row>
    <row r="162" spans="1:29">
      <c r="A162" s="3516"/>
      <c r="B162" s="3516"/>
      <c r="C162" s="3516"/>
      <c r="D162" s="3516"/>
      <c r="E162" s="3516"/>
      <c r="F162" s="3516"/>
      <c r="G162" s="3516"/>
      <c r="H162" s="3516"/>
      <c r="I162" s="3516"/>
      <c r="J162" s="3516"/>
      <c r="K162" s="3517"/>
      <c r="L162" s="3518"/>
      <c r="M162" s="3516"/>
      <c r="N162" s="3516"/>
      <c r="O162" s="3516"/>
      <c r="P162" s="3516"/>
      <c r="Q162" s="3516"/>
      <c r="R162" s="3516"/>
      <c r="S162" s="3516"/>
      <c r="T162" s="3516"/>
      <c r="U162" s="3516"/>
      <c r="V162" s="3516"/>
      <c r="W162" s="3516"/>
      <c r="X162" s="3516"/>
      <c r="Y162" s="3516"/>
      <c r="Z162" s="3516"/>
      <c r="AA162" s="3516"/>
      <c r="AB162" s="3516"/>
      <c r="AC162" s="3516"/>
    </row>
    <row r="163" spans="1:29">
      <c r="A163" s="3516"/>
      <c r="B163" s="3516"/>
      <c r="C163" s="3516"/>
      <c r="D163" s="3516"/>
      <c r="E163" s="3516"/>
      <c r="F163" s="3516"/>
      <c r="G163" s="3516"/>
      <c r="H163" s="3516"/>
      <c r="I163" s="3516"/>
      <c r="J163" s="3516"/>
      <c r="K163" s="3517"/>
      <c r="L163" s="3518"/>
      <c r="M163" s="3516"/>
      <c r="N163" s="3516"/>
      <c r="O163" s="3516"/>
      <c r="P163" s="3516"/>
      <c r="Q163" s="3516"/>
      <c r="R163" s="3516"/>
      <c r="S163" s="3516"/>
      <c r="T163" s="3516"/>
      <c r="U163" s="3516"/>
      <c r="V163" s="3516"/>
      <c r="W163" s="3516"/>
      <c r="X163" s="3516"/>
      <c r="Y163" s="3516"/>
      <c r="Z163" s="3516"/>
      <c r="AA163" s="3516"/>
      <c r="AB163" s="3516"/>
      <c r="AC163" s="3516"/>
    </row>
    <row r="164" spans="1:29">
      <c r="A164" s="3516"/>
      <c r="B164" s="3516"/>
      <c r="C164" s="3516"/>
      <c r="D164" s="3516"/>
      <c r="E164" s="3516"/>
      <c r="F164" s="3516"/>
      <c r="G164" s="3516"/>
      <c r="H164" s="3516"/>
      <c r="I164" s="3516"/>
      <c r="J164" s="3516"/>
      <c r="K164" s="3517"/>
      <c r="L164" s="3518"/>
      <c r="M164" s="3516"/>
      <c r="N164" s="3516"/>
      <c r="O164" s="3516"/>
      <c r="P164" s="3516"/>
      <c r="Q164" s="3516"/>
      <c r="R164" s="3516"/>
      <c r="S164" s="3516"/>
      <c r="T164" s="3516"/>
      <c r="U164" s="3516"/>
      <c r="V164" s="3516"/>
      <c r="W164" s="3516"/>
      <c r="X164" s="3516"/>
      <c r="Y164" s="3516"/>
      <c r="Z164" s="3516"/>
      <c r="AA164" s="3516"/>
      <c r="AB164" s="3516"/>
      <c r="AC164" s="3516"/>
    </row>
    <row r="165" spans="1:29">
      <c r="A165" s="3516"/>
      <c r="B165" s="3516"/>
      <c r="C165" s="3516"/>
      <c r="D165" s="3516"/>
      <c r="E165" s="3516"/>
      <c r="F165" s="3516"/>
      <c r="G165" s="3516"/>
      <c r="H165" s="3516"/>
      <c r="I165" s="3516"/>
      <c r="J165" s="3516"/>
      <c r="K165" s="3517"/>
      <c r="L165" s="3518"/>
      <c r="M165" s="3516"/>
      <c r="N165" s="3516"/>
      <c r="O165" s="3516"/>
      <c r="P165" s="3516"/>
      <c r="Q165" s="3516"/>
      <c r="R165" s="3516"/>
      <c r="S165" s="3516"/>
      <c r="T165" s="3516"/>
      <c r="U165" s="3516"/>
      <c r="V165" s="3516"/>
      <c r="W165" s="3516"/>
      <c r="X165" s="3516"/>
      <c r="Y165" s="3516"/>
      <c r="Z165" s="3516"/>
      <c r="AA165" s="3516"/>
      <c r="AB165" s="3516"/>
      <c r="AC165" s="3516"/>
    </row>
    <row r="166" spans="1:29">
      <c r="A166" s="3516"/>
      <c r="B166" s="3516"/>
      <c r="C166" s="3516"/>
      <c r="D166" s="3516"/>
      <c r="E166" s="3516"/>
      <c r="F166" s="3516"/>
      <c r="G166" s="3516"/>
      <c r="H166" s="3516"/>
      <c r="I166" s="3516"/>
      <c r="J166" s="3516"/>
      <c r="K166" s="3517"/>
      <c r="L166" s="3518"/>
      <c r="M166" s="3516"/>
      <c r="N166" s="3516"/>
      <c r="O166" s="3516"/>
      <c r="P166" s="3516"/>
      <c r="Q166" s="3516"/>
      <c r="R166" s="3516"/>
      <c r="S166" s="3516"/>
      <c r="T166" s="3516"/>
      <c r="U166" s="3516"/>
      <c r="V166" s="3516"/>
      <c r="W166" s="3516"/>
      <c r="X166" s="3516"/>
      <c r="Y166" s="3516"/>
      <c r="Z166" s="3516"/>
      <c r="AA166" s="3516"/>
      <c r="AB166" s="3516"/>
      <c r="AC166" s="3516"/>
    </row>
    <row r="167" spans="1:29">
      <c r="A167" s="3516"/>
      <c r="B167" s="3516"/>
      <c r="C167" s="3516"/>
      <c r="D167" s="3516"/>
      <c r="E167" s="3516"/>
      <c r="F167" s="3516"/>
      <c r="G167" s="3516"/>
      <c r="H167" s="3516"/>
      <c r="I167" s="3516"/>
      <c r="J167" s="3516"/>
      <c r="K167" s="3517"/>
      <c r="L167" s="3518"/>
      <c r="M167" s="3516"/>
      <c r="N167" s="3516"/>
      <c r="O167" s="3516"/>
      <c r="P167" s="3516"/>
      <c r="Q167" s="3516"/>
      <c r="R167" s="3516"/>
      <c r="S167" s="3516"/>
      <c r="T167" s="3516"/>
      <c r="U167" s="3516"/>
      <c r="V167" s="3516"/>
      <c r="W167" s="3516"/>
      <c r="X167" s="3516"/>
      <c r="Y167" s="3516"/>
      <c r="Z167" s="3516"/>
      <c r="AA167" s="3516"/>
      <c r="AB167" s="3516"/>
      <c r="AC167" s="3516"/>
    </row>
    <row r="168" spans="1:29">
      <c r="A168" s="3516"/>
      <c r="B168" s="3516"/>
      <c r="C168" s="3516"/>
      <c r="D168" s="3516"/>
      <c r="E168" s="3516"/>
      <c r="F168" s="3516"/>
      <c r="G168" s="3516"/>
      <c r="H168" s="3516"/>
      <c r="I168" s="3516"/>
      <c r="J168" s="3516"/>
      <c r="K168" s="3517"/>
      <c r="L168" s="3518"/>
      <c r="M168" s="3516"/>
      <c r="N168" s="3516"/>
      <c r="O168" s="3516"/>
      <c r="P168" s="3516"/>
      <c r="Q168" s="3516"/>
      <c r="R168" s="3516"/>
      <c r="S168" s="3516"/>
      <c r="T168" s="3516"/>
      <c r="U168" s="3516"/>
      <c r="V168" s="3516"/>
      <c r="W168" s="3516"/>
      <c r="X168" s="3516"/>
      <c r="Y168" s="3516"/>
      <c r="Z168" s="3516"/>
      <c r="AA168" s="3516"/>
      <c r="AB168" s="3516"/>
      <c r="AC168" s="3516"/>
    </row>
    <row r="169" spans="1:29">
      <c r="A169" s="3516"/>
      <c r="B169" s="3516"/>
      <c r="C169" s="3516"/>
      <c r="D169" s="3516"/>
      <c r="E169" s="3516"/>
      <c r="F169" s="3516"/>
      <c r="G169" s="3516"/>
      <c r="H169" s="3516"/>
      <c r="I169" s="3516"/>
      <c r="J169" s="3516"/>
      <c r="K169" s="3517"/>
      <c r="L169" s="3518"/>
      <c r="M169" s="3516"/>
      <c r="N169" s="3516"/>
      <c r="O169" s="3516"/>
      <c r="P169" s="3516"/>
      <c r="Q169" s="3516"/>
      <c r="R169" s="3516"/>
      <c r="S169" s="3516"/>
      <c r="T169" s="3516"/>
      <c r="U169" s="3516"/>
      <c r="V169" s="3516"/>
      <c r="W169" s="3516"/>
      <c r="X169" s="3516"/>
      <c r="Y169" s="3516"/>
      <c r="Z169" s="3516"/>
      <c r="AA169" s="3516"/>
      <c r="AB169" s="3516"/>
      <c r="AC169" s="3516"/>
    </row>
    <row r="170" spans="1:29">
      <c r="A170" s="3516"/>
      <c r="B170" s="3516"/>
      <c r="C170" s="3516"/>
      <c r="D170" s="3516"/>
      <c r="E170" s="3516"/>
      <c r="F170" s="3516"/>
      <c r="G170" s="3516"/>
      <c r="H170" s="3516"/>
      <c r="I170" s="3516"/>
      <c r="J170" s="3516"/>
      <c r="K170" s="3517"/>
      <c r="L170" s="3518"/>
      <c r="M170" s="3516"/>
      <c r="N170" s="3516"/>
      <c r="O170" s="3516"/>
      <c r="P170" s="3516"/>
      <c r="Q170" s="3516"/>
      <c r="R170" s="3516"/>
      <c r="S170" s="3516"/>
      <c r="T170" s="3516"/>
      <c r="U170" s="3516"/>
      <c r="V170" s="3516"/>
      <c r="W170" s="3516"/>
      <c r="X170" s="3516"/>
      <c r="Y170" s="3516"/>
      <c r="Z170" s="3516"/>
      <c r="AA170" s="3516"/>
      <c r="AB170" s="3516"/>
      <c r="AC170" s="3516"/>
    </row>
    <row r="171" spans="1:29">
      <c r="A171" s="3516"/>
      <c r="B171" s="3516"/>
      <c r="C171" s="3516"/>
      <c r="D171" s="3516"/>
      <c r="E171" s="3516"/>
      <c r="F171" s="3516"/>
      <c r="G171" s="3516"/>
      <c r="H171" s="3516"/>
      <c r="I171" s="3516"/>
      <c r="J171" s="3516"/>
      <c r="K171" s="3517"/>
      <c r="L171" s="3518"/>
      <c r="M171" s="3516"/>
      <c r="N171" s="3516"/>
      <c r="O171" s="3516"/>
      <c r="P171" s="3516"/>
      <c r="Q171" s="3516"/>
      <c r="R171" s="3516"/>
      <c r="S171" s="3516"/>
      <c r="T171" s="3516"/>
      <c r="U171" s="3516"/>
      <c r="V171" s="3516"/>
      <c r="W171" s="3516"/>
      <c r="X171" s="3516"/>
      <c r="Y171" s="3516"/>
      <c r="Z171" s="3516"/>
      <c r="AA171" s="3516"/>
      <c r="AB171" s="3516"/>
      <c r="AC171" s="3516"/>
    </row>
    <row r="172" spans="1:29">
      <c r="A172" s="3516"/>
      <c r="B172" s="3516"/>
      <c r="C172" s="3516"/>
      <c r="D172" s="3516"/>
      <c r="E172" s="3516"/>
      <c r="F172" s="3516"/>
      <c r="G172" s="3516"/>
      <c r="H172" s="3516"/>
      <c r="I172" s="3516"/>
      <c r="J172" s="3516"/>
      <c r="K172" s="3517"/>
      <c r="L172" s="3518"/>
      <c r="M172" s="3516"/>
      <c r="N172" s="3516"/>
      <c r="O172" s="3516"/>
      <c r="P172" s="3516"/>
      <c r="Q172" s="3516"/>
      <c r="R172" s="3516"/>
      <c r="S172" s="3516"/>
      <c r="T172" s="3516"/>
      <c r="U172" s="3516"/>
      <c r="V172" s="3516"/>
      <c r="W172" s="3516"/>
      <c r="X172" s="3516"/>
      <c r="Y172" s="3516"/>
      <c r="Z172" s="3516"/>
      <c r="AA172" s="3516"/>
      <c r="AB172" s="3516"/>
      <c r="AC172" s="3516"/>
    </row>
    <row r="173" spans="1:29">
      <c r="A173" s="3516"/>
      <c r="B173" s="3516"/>
      <c r="C173" s="3516"/>
      <c r="D173" s="3516"/>
      <c r="E173" s="3516"/>
      <c r="F173" s="3516"/>
      <c r="G173" s="3516"/>
      <c r="H173" s="3516"/>
      <c r="I173" s="3516"/>
      <c r="J173" s="3516"/>
      <c r="K173" s="3517"/>
      <c r="L173" s="3518"/>
      <c r="M173" s="3516"/>
      <c r="N173" s="3516"/>
      <c r="O173" s="3516"/>
      <c r="P173" s="3516"/>
      <c r="Q173" s="3516"/>
      <c r="R173" s="3516"/>
      <c r="S173" s="3516"/>
      <c r="T173" s="3516"/>
      <c r="U173" s="3516"/>
      <c r="V173" s="3516"/>
      <c r="W173" s="3516"/>
      <c r="X173" s="3516"/>
      <c r="Y173" s="3516"/>
      <c r="Z173" s="3516"/>
      <c r="AA173" s="3516"/>
      <c r="AB173" s="3516"/>
      <c r="AC173" s="3516"/>
    </row>
    <row r="174" spans="1:29">
      <c r="A174" s="3516"/>
      <c r="B174" s="3516"/>
      <c r="C174" s="3516"/>
      <c r="D174" s="3516"/>
      <c r="E174" s="3516"/>
      <c r="F174" s="3516"/>
      <c r="G174" s="3516"/>
      <c r="H174" s="3516"/>
      <c r="I174" s="3516"/>
      <c r="J174" s="3516"/>
      <c r="K174" s="3517"/>
      <c r="L174" s="3518"/>
      <c r="M174" s="3516"/>
      <c r="N174" s="3516"/>
      <c r="O174" s="3516"/>
      <c r="P174" s="3516"/>
      <c r="Q174" s="3516"/>
      <c r="R174" s="3516"/>
      <c r="S174" s="3516"/>
      <c r="T174" s="3516"/>
      <c r="U174" s="3516"/>
      <c r="V174" s="3516"/>
      <c r="W174" s="3516"/>
      <c r="X174" s="3516"/>
      <c r="Y174" s="3516"/>
      <c r="Z174" s="3516"/>
      <c r="AA174" s="3516"/>
      <c r="AB174" s="3516"/>
      <c r="AC174" s="3516"/>
    </row>
    <row r="175" spans="1:29">
      <c r="A175" s="3516"/>
      <c r="B175" s="3516"/>
      <c r="C175" s="3516"/>
      <c r="D175" s="3516"/>
      <c r="E175" s="3516"/>
      <c r="F175" s="3516"/>
      <c r="G175" s="3516"/>
      <c r="H175" s="3516"/>
      <c r="I175" s="3516"/>
      <c r="J175" s="3516"/>
      <c r="K175" s="3517"/>
      <c r="L175" s="3518"/>
      <c r="M175" s="3516"/>
      <c r="N175" s="3516"/>
      <c r="O175" s="3516"/>
      <c r="P175" s="3516"/>
      <c r="Q175" s="3516"/>
      <c r="R175" s="3516"/>
      <c r="S175" s="3516"/>
      <c r="T175" s="3516"/>
      <c r="U175" s="3516"/>
      <c r="V175" s="3516"/>
      <c r="W175" s="3516"/>
      <c r="X175" s="3516"/>
      <c r="Y175" s="3516"/>
      <c r="Z175" s="3516"/>
      <c r="AA175" s="3516"/>
      <c r="AB175" s="3516"/>
      <c r="AC175" s="3516"/>
    </row>
    <row r="176" spans="1:29">
      <c r="A176" s="3516"/>
      <c r="B176" s="3516"/>
      <c r="C176" s="3516"/>
      <c r="D176" s="3516"/>
      <c r="E176" s="3516"/>
      <c r="F176" s="3516"/>
      <c r="G176" s="3516"/>
      <c r="H176" s="3516"/>
      <c r="I176" s="3516"/>
      <c r="J176" s="3516"/>
      <c r="K176" s="3517"/>
      <c r="L176" s="3518"/>
      <c r="M176" s="3516"/>
      <c r="N176" s="3516"/>
      <c r="O176" s="3516"/>
      <c r="P176" s="3516"/>
      <c r="Q176" s="3516"/>
      <c r="R176" s="3516"/>
      <c r="S176" s="3516"/>
      <c r="T176" s="3516"/>
      <c r="U176" s="3516"/>
      <c r="V176" s="3516"/>
      <c r="W176" s="3516"/>
      <c r="X176" s="3516"/>
      <c r="Y176" s="3516"/>
      <c r="Z176" s="3516"/>
      <c r="AA176" s="3516"/>
      <c r="AB176" s="3516"/>
      <c r="AC176" s="3516"/>
    </row>
    <row r="177" spans="1:29">
      <c r="A177" s="3516"/>
      <c r="B177" s="3516"/>
      <c r="C177" s="3516"/>
      <c r="D177" s="3516"/>
      <c r="E177" s="3516"/>
      <c r="F177" s="3516"/>
      <c r="G177" s="3516"/>
      <c r="H177" s="3516"/>
      <c r="I177" s="3516"/>
      <c r="J177" s="3516"/>
      <c r="K177" s="3517"/>
      <c r="L177" s="3518"/>
      <c r="M177" s="3516"/>
      <c r="N177" s="3516"/>
      <c r="O177" s="3516"/>
      <c r="P177" s="3516"/>
      <c r="Q177" s="3516"/>
      <c r="R177" s="3516"/>
      <c r="S177" s="3516"/>
      <c r="T177" s="3516"/>
      <c r="U177" s="3516"/>
      <c r="V177" s="3516"/>
      <c r="W177" s="3516"/>
      <c r="X177" s="3516"/>
      <c r="Y177" s="3516"/>
      <c r="Z177" s="3516"/>
      <c r="AA177" s="3516"/>
      <c r="AB177" s="3516"/>
      <c r="AC177" s="3516"/>
    </row>
    <row r="178" spans="1:29">
      <c r="A178" s="3516"/>
      <c r="B178" s="3516"/>
      <c r="C178" s="3516"/>
      <c r="D178" s="3516"/>
      <c r="E178" s="3516"/>
      <c r="F178" s="3516"/>
      <c r="G178" s="3516"/>
      <c r="H178" s="3516"/>
      <c r="I178" s="3516"/>
      <c r="J178" s="3516"/>
      <c r="K178" s="3517"/>
      <c r="L178" s="3518"/>
      <c r="M178" s="3516"/>
      <c r="N178" s="3516"/>
      <c r="O178" s="3516"/>
      <c r="P178" s="3516"/>
      <c r="Q178" s="3516"/>
      <c r="R178" s="3516"/>
      <c r="S178" s="3516"/>
      <c r="T178" s="3516"/>
      <c r="U178" s="3516"/>
      <c r="V178" s="3516"/>
      <c r="W178" s="3516"/>
      <c r="X178" s="3516"/>
      <c r="Y178" s="3516"/>
      <c r="Z178" s="3516"/>
      <c r="AA178" s="3516"/>
      <c r="AB178" s="3516"/>
      <c r="AC178" s="3516"/>
    </row>
    <row r="179" spans="1:29">
      <c r="A179" s="3516"/>
      <c r="B179" s="3516"/>
      <c r="C179" s="3516"/>
      <c r="D179" s="3516"/>
      <c r="E179" s="3516"/>
      <c r="F179" s="3516"/>
      <c r="G179" s="3516"/>
      <c r="H179" s="3516"/>
      <c r="I179" s="3516"/>
      <c r="J179" s="3516"/>
      <c r="K179" s="3517"/>
      <c r="L179" s="3518"/>
      <c r="M179" s="3516"/>
      <c r="N179" s="3516"/>
      <c r="O179" s="3516"/>
      <c r="P179" s="3516"/>
      <c r="Q179" s="3516"/>
      <c r="R179" s="3516"/>
      <c r="S179" s="3516"/>
      <c r="T179" s="3516"/>
      <c r="U179" s="3516"/>
      <c r="V179" s="3516"/>
      <c r="W179" s="3516"/>
      <c r="X179" s="3516"/>
      <c r="Y179" s="3516"/>
      <c r="Z179" s="3516"/>
      <c r="AA179" s="3516"/>
      <c r="AB179" s="3516"/>
      <c r="AC179" s="3516"/>
    </row>
    <row r="180" spans="1:29">
      <c r="A180" s="3516"/>
      <c r="B180" s="3516"/>
      <c r="C180" s="3516"/>
      <c r="D180" s="3516"/>
      <c r="E180" s="3516"/>
      <c r="F180" s="3516"/>
      <c r="G180" s="3516"/>
      <c r="H180" s="3516"/>
      <c r="I180" s="3516"/>
      <c r="J180" s="3516"/>
      <c r="K180" s="3517"/>
      <c r="L180" s="3518"/>
      <c r="M180" s="3516"/>
      <c r="N180" s="3516"/>
      <c r="O180" s="3516"/>
      <c r="P180" s="3516"/>
      <c r="Q180" s="3516"/>
      <c r="R180" s="3516"/>
      <c r="S180" s="3516"/>
      <c r="T180" s="3516"/>
      <c r="U180" s="3516"/>
      <c r="V180" s="3516"/>
      <c r="W180" s="3516"/>
      <c r="X180" s="3516"/>
      <c r="Y180" s="3516"/>
      <c r="Z180" s="3516"/>
      <c r="AA180" s="3516"/>
      <c r="AB180" s="3516"/>
      <c r="AC180" s="3516"/>
    </row>
    <row r="181" spans="1:29">
      <c r="A181" s="3516"/>
      <c r="B181" s="3516"/>
      <c r="C181" s="3516"/>
      <c r="D181" s="3516"/>
      <c r="E181" s="3516"/>
      <c r="F181" s="3516"/>
      <c r="G181" s="3516"/>
      <c r="H181" s="3516"/>
      <c r="I181" s="3516"/>
      <c r="J181" s="3516"/>
      <c r="K181" s="3517"/>
      <c r="L181" s="3518"/>
      <c r="M181" s="3516"/>
      <c r="N181" s="3516"/>
      <c r="O181" s="3516"/>
      <c r="P181" s="3516"/>
      <c r="Q181" s="3516"/>
      <c r="R181" s="3516"/>
      <c r="S181" s="3516"/>
      <c r="T181" s="3516"/>
      <c r="U181" s="3516"/>
      <c r="V181" s="3516"/>
      <c r="W181" s="3516"/>
      <c r="X181" s="3516"/>
      <c r="Y181" s="3516"/>
      <c r="Z181" s="3516"/>
      <c r="AA181" s="3516"/>
      <c r="AB181" s="3516"/>
      <c r="AC181" s="3516"/>
    </row>
    <row r="182" spans="1:29">
      <c r="A182" s="3516"/>
      <c r="B182" s="3516"/>
      <c r="C182" s="3516"/>
      <c r="D182" s="3516"/>
      <c r="E182" s="3516"/>
      <c r="F182" s="3516"/>
      <c r="G182" s="3516"/>
      <c r="H182" s="3516"/>
      <c r="I182" s="3516"/>
      <c r="J182" s="3516"/>
      <c r="K182" s="3517"/>
      <c r="L182" s="3518"/>
      <c r="M182" s="3516"/>
      <c r="N182" s="3516"/>
      <c r="O182" s="3516"/>
      <c r="P182" s="3516"/>
      <c r="Q182" s="3516"/>
      <c r="R182" s="3516"/>
      <c r="S182" s="3516"/>
      <c r="T182" s="3516"/>
      <c r="U182" s="3516"/>
      <c r="V182" s="3516"/>
      <c r="W182" s="3516"/>
      <c r="X182" s="3516"/>
      <c r="Y182" s="3516"/>
      <c r="Z182" s="3516"/>
      <c r="AA182" s="3516"/>
      <c r="AB182" s="3516"/>
      <c r="AC182" s="3516"/>
    </row>
    <row r="183" spans="1:29">
      <c r="A183" s="3516"/>
      <c r="B183" s="3516"/>
      <c r="C183" s="3516"/>
      <c r="D183" s="3516"/>
      <c r="E183" s="3516"/>
      <c r="F183" s="3516"/>
      <c r="G183" s="3516"/>
      <c r="H183" s="3516"/>
      <c r="I183" s="3516"/>
      <c r="J183" s="3516"/>
      <c r="K183" s="3517"/>
      <c r="L183" s="3518"/>
      <c r="M183" s="3516"/>
      <c r="N183" s="3516"/>
      <c r="O183" s="3516"/>
      <c r="P183" s="3516"/>
      <c r="Q183" s="3516"/>
      <c r="R183" s="3516"/>
      <c r="S183" s="3516"/>
      <c r="T183" s="3516"/>
      <c r="U183" s="3516"/>
      <c r="V183" s="3516"/>
      <c r="W183" s="3516"/>
      <c r="X183" s="3516"/>
      <c r="Y183" s="3516"/>
      <c r="Z183" s="3516"/>
      <c r="AA183" s="3516"/>
      <c r="AB183" s="3516"/>
      <c r="AC183" s="3516"/>
    </row>
    <row r="184" spans="1:29">
      <c r="A184" s="3516"/>
      <c r="B184" s="3516"/>
      <c r="C184" s="3516"/>
      <c r="D184" s="3516"/>
      <c r="E184" s="3516"/>
      <c r="F184" s="3516"/>
      <c r="G184" s="3516"/>
      <c r="H184" s="3516"/>
      <c r="I184" s="3516"/>
      <c r="J184" s="3516"/>
      <c r="K184" s="3517"/>
      <c r="L184" s="3518"/>
      <c r="M184" s="3516"/>
      <c r="N184" s="3516"/>
      <c r="O184" s="3516"/>
      <c r="P184" s="3516"/>
      <c r="Q184" s="3516"/>
      <c r="R184" s="3516"/>
      <c r="S184" s="3516"/>
      <c r="T184" s="3516"/>
      <c r="U184" s="3516"/>
      <c r="V184" s="3516"/>
      <c r="W184" s="3516"/>
      <c r="X184" s="3516"/>
      <c r="Y184" s="3516"/>
      <c r="Z184" s="3516"/>
      <c r="AA184" s="3516"/>
      <c r="AB184" s="3516"/>
      <c r="AC184" s="3516"/>
    </row>
    <row r="185" spans="1:29">
      <c r="A185" s="3516"/>
      <c r="B185" s="3516"/>
      <c r="C185" s="3516"/>
      <c r="D185" s="3516"/>
      <c r="E185" s="3516"/>
      <c r="F185" s="3516"/>
      <c r="G185" s="3516"/>
      <c r="H185" s="3516"/>
      <c r="I185" s="3516"/>
      <c r="J185" s="3516"/>
      <c r="K185" s="3517"/>
      <c r="L185" s="3518"/>
      <c r="M185" s="3516"/>
      <c r="N185" s="3516"/>
      <c r="O185" s="3516"/>
      <c r="P185" s="3516"/>
      <c r="Q185" s="3516"/>
      <c r="R185" s="3516"/>
      <c r="S185" s="3516"/>
      <c r="T185" s="3516"/>
      <c r="U185" s="3516"/>
      <c r="V185" s="3516"/>
      <c r="W185" s="3516"/>
      <c r="X185" s="3516"/>
      <c r="Y185" s="3516"/>
      <c r="Z185" s="3516"/>
      <c r="AA185" s="3516"/>
      <c r="AB185" s="3516"/>
      <c r="AC185" s="3516"/>
    </row>
    <row r="186" spans="1:29">
      <c r="A186" s="3516"/>
      <c r="B186" s="3516"/>
      <c r="C186" s="3516"/>
      <c r="D186" s="3516"/>
      <c r="E186" s="3516"/>
      <c r="F186" s="3516"/>
      <c r="G186" s="3516"/>
      <c r="H186" s="3516"/>
      <c r="I186" s="3516"/>
      <c r="J186" s="3516"/>
      <c r="K186" s="3517"/>
      <c r="L186" s="3518"/>
      <c r="M186" s="3516"/>
      <c r="N186" s="3516"/>
      <c r="O186" s="3516"/>
      <c r="P186" s="3516"/>
      <c r="Q186" s="3516"/>
      <c r="R186" s="3516"/>
      <c r="S186" s="3516"/>
      <c r="T186" s="3516"/>
      <c r="U186" s="3516"/>
      <c r="V186" s="3516"/>
      <c r="W186" s="3516"/>
      <c r="X186" s="3516"/>
      <c r="Y186" s="3516"/>
      <c r="Z186" s="3516"/>
      <c r="AA186" s="3516"/>
      <c r="AB186" s="3516"/>
      <c r="AC186" s="3516"/>
    </row>
    <row r="187" spans="1:29">
      <c r="A187" s="3516"/>
      <c r="B187" s="3516"/>
      <c r="C187" s="3516"/>
      <c r="D187" s="3516"/>
      <c r="E187" s="3516"/>
      <c r="F187" s="3516"/>
      <c r="G187" s="3516"/>
      <c r="H187" s="3516"/>
      <c r="I187" s="3516"/>
      <c r="J187" s="3516"/>
      <c r="K187" s="3517"/>
      <c r="L187" s="3518"/>
      <c r="M187" s="3516"/>
      <c r="N187" s="3516"/>
      <c r="O187" s="3516"/>
      <c r="P187" s="3516"/>
      <c r="Q187" s="3516"/>
      <c r="R187" s="3516"/>
      <c r="S187" s="3516"/>
      <c r="T187" s="3516"/>
      <c r="U187" s="3516"/>
      <c r="V187" s="3516"/>
      <c r="W187" s="3516"/>
      <c r="X187" s="3516"/>
      <c r="Y187" s="3516"/>
      <c r="Z187" s="3516"/>
      <c r="AA187" s="3516"/>
      <c r="AB187" s="3516"/>
      <c r="AC187" s="3516"/>
    </row>
    <row r="188" spans="1:29">
      <c r="A188" s="3516"/>
      <c r="B188" s="3516"/>
      <c r="C188" s="3516"/>
      <c r="D188" s="3516"/>
      <c r="E188" s="3516"/>
      <c r="F188" s="3516"/>
      <c r="G188" s="3516"/>
      <c r="H188" s="3516"/>
      <c r="I188" s="3516"/>
      <c r="J188" s="3516"/>
      <c r="K188" s="3517"/>
      <c r="L188" s="3518"/>
      <c r="M188" s="3516"/>
      <c r="N188" s="3516"/>
      <c r="O188" s="3516"/>
      <c r="P188" s="3516"/>
      <c r="Q188" s="3516"/>
      <c r="R188" s="3516"/>
      <c r="S188" s="3516"/>
      <c r="T188" s="3516"/>
      <c r="U188" s="3516"/>
      <c r="V188" s="3516"/>
      <c r="W188" s="3516"/>
      <c r="X188" s="3516"/>
      <c r="Y188" s="3516"/>
      <c r="Z188" s="3516"/>
      <c r="AA188" s="3516"/>
      <c r="AB188" s="3516"/>
      <c r="AC188" s="3516"/>
    </row>
    <row r="189" spans="1:29">
      <c r="A189" s="3516"/>
      <c r="B189" s="3516"/>
      <c r="C189" s="3516"/>
      <c r="D189" s="3516"/>
      <c r="E189" s="3516"/>
      <c r="F189" s="3516"/>
      <c r="G189" s="3516"/>
      <c r="H189" s="3516"/>
      <c r="I189" s="3516"/>
      <c r="J189" s="3516"/>
      <c r="K189" s="3517"/>
      <c r="L189" s="3518"/>
      <c r="M189" s="3516"/>
      <c r="N189" s="3516"/>
      <c r="O189" s="3516"/>
      <c r="P189" s="3516"/>
      <c r="Q189" s="3516"/>
      <c r="R189" s="3516"/>
      <c r="S189" s="3516"/>
      <c r="T189" s="3516"/>
      <c r="U189" s="3516"/>
      <c r="V189" s="3516"/>
      <c r="W189" s="3516"/>
      <c r="X189" s="3516"/>
      <c r="Y189" s="3516"/>
      <c r="Z189" s="3516"/>
      <c r="AA189" s="3516"/>
      <c r="AB189" s="3516"/>
      <c r="AC189" s="3516"/>
    </row>
    <row r="190" spans="1:29">
      <c r="A190" s="3516"/>
      <c r="B190" s="3516"/>
      <c r="C190" s="3516"/>
      <c r="D190" s="3516"/>
      <c r="E190" s="3516"/>
      <c r="F190" s="3516"/>
      <c r="G190" s="3516"/>
      <c r="H190" s="3516"/>
      <c r="I190" s="3516"/>
      <c r="J190" s="3516"/>
      <c r="K190" s="3517"/>
      <c r="L190" s="3518"/>
      <c r="M190" s="3516"/>
      <c r="N190" s="3516"/>
      <c r="O190" s="3516"/>
      <c r="P190" s="3516"/>
      <c r="Q190" s="3516"/>
      <c r="R190" s="3516"/>
      <c r="S190" s="3516"/>
      <c r="T190" s="3516"/>
      <c r="U190" s="3516"/>
      <c r="V190" s="3516"/>
      <c r="W190" s="3516"/>
      <c r="X190" s="3516"/>
      <c r="Y190" s="3516"/>
      <c r="Z190" s="3516"/>
      <c r="AA190" s="3516"/>
      <c r="AB190" s="3516"/>
      <c r="AC190" s="3516"/>
    </row>
    <row r="191" spans="1:29">
      <c r="A191" s="3516"/>
      <c r="B191" s="3516"/>
      <c r="C191" s="3516"/>
      <c r="D191" s="3516"/>
      <c r="E191" s="3516"/>
      <c r="F191" s="3516"/>
      <c r="G191" s="3516"/>
      <c r="H191" s="3516"/>
      <c r="I191" s="3516"/>
      <c r="J191" s="3516"/>
      <c r="K191" s="3517"/>
      <c r="L191" s="3518"/>
      <c r="M191" s="3516"/>
      <c r="N191" s="3516"/>
      <c r="O191" s="3516"/>
      <c r="P191" s="3516"/>
      <c r="Q191" s="3516"/>
      <c r="R191" s="3516"/>
      <c r="S191" s="3516"/>
      <c r="T191" s="3516"/>
      <c r="U191" s="3516"/>
      <c r="V191" s="3516"/>
      <c r="W191" s="3516"/>
      <c r="X191" s="3516"/>
      <c r="Y191" s="3516"/>
      <c r="Z191" s="3516"/>
      <c r="AA191" s="3516"/>
      <c r="AB191" s="3516"/>
      <c r="AC191" s="3516"/>
    </row>
    <row r="192" spans="1:29">
      <c r="A192" s="3516"/>
      <c r="B192" s="3516"/>
      <c r="C192" s="3516"/>
      <c r="D192" s="3516"/>
      <c r="E192" s="3516"/>
      <c r="F192" s="3516"/>
      <c r="G192" s="3516"/>
      <c r="H192" s="3516"/>
      <c r="I192" s="3516"/>
      <c r="J192" s="3516"/>
      <c r="K192" s="3517"/>
      <c r="L192" s="3518"/>
      <c r="M192" s="3516"/>
      <c r="N192" s="3516"/>
      <c r="O192" s="3516"/>
      <c r="P192" s="3516"/>
      <c r="Q192" s="3516"/>
      <c r="R192" s="3516"/>
      <c r="S192" s="3516"/>
      <c r="T192" s="3516"/>
      <c r="U192" s="3516"/>
      <c r="V192" s="3516"/>
      <c r="W192" s="3516"/>
      <c r="X192" s="3516"/>
      <c r="Y192" s="3516"/>
      <c r="Z192" s="3516"/>
      <c r="AA192" s="3516"/>
      <c r="AB192" s="3516"/>
      <c r="AC192" s="3516"/>
    </row>
    <row r="193" spans="1:29">
      <c r="A193" s="3516"/>
      <c r="B193" s="3516"/>
      <c r="C193" s="3516"/>
      <c r="D193" s="3516"/>
      <c r="E193" s="3516"/>
      <c r="F193" s="3516"/>
      <c r="G193" s="3516"/>
      <c r="H193" s="3516"/>
      <c r="I193" s="3516"/>
      <c r="J193" s="3516"/>
      <c r="K193" s="3517"/>
      <c r="L193" s="3518"/>
      <c r="M193" s="3516"/>
      <c r="N193" s="3516"/>
      <c r="O193" s="3516"/>
      <c r="P193" s="3516"/>
      <c r="Q193" s="3516"/>
      <c r="R193" s="3516"/>
      <c r="S193" s="3516"/>
      <c r="T193" s="3516"/>
      <c r="U193" s="3516"/>
      <c r="V193" s="3516"/>
      <c r="W193" s="3516"/>
      <c r="X193" s="3516"/>
      <c r="Y193" s="3516"/>
      <c r="Z193" s="3516"/>
      <c r="AA193" s="3516"/>
      <c r="AB193" s="3516"/>
      <c r="AC193" s="3516"/>
    </row>
    <row r="194" spans="1:29">
      <c r="A194" s="3516"/>
      <c r="B194" s="3516"/>
      <c r="C194" s="3516"/>
      <c r="D194" s="3516"/>
      <c r="E194" s="3516"/>
      <c r="F194" s="3516"/>
      <c r="G194" s="3516"/>
      <c r="H194" s="3516"/>
      <c r="I194" s="3516"/>
      <c r="J194" s="3516"/>
      <c r="K194" s="3517"/>
      <c r="L194" s="3518"/>
      <c r="M194" s="3516"/>
      <c r="N194" s="3516"/>
      <c r="O194" s="3516"/>
      <c r="P194" s="3516"/>
      <c r="Q194" s="3516"/>
      <c r="R194" s="3516"/>
      <c r="S194" s="3516"/>
      <c r="T194" s="3516"/>
      <c r="U194" s="3516"/>
      <c r="V194" s="3516"/>
      <c r="W194" s="3516"/>
      <c r="X194" s="3516"/>
      <c r="Y194" s="3516"/>
      <c r="Z194" s="3516"/>
      <c r="AA194" s="3516"/>
      <c r="AB194" s="3516"/>
      <c r="AC194" s="3516"/>
    </row>
    <row r="195" spans="1:29">
      <c r="A195" s="3516"/>
      <c r="B195" s="3516"/>
      <c r="C195" s="3516"/>
      <c r="D195" s="3516"/>
      <c r="E195" s="3516"/>
      <c r="F195" s="3516"/>
      <c r="G195" s="3516"/>
      <c r="H195" s="3516"/>
      <c r="I195" s="3516"/>
      <c r="J195" s="3516"/>
      <c r="K195" s="3517"/>
      <c r="L195" s="3518"/>
      <c r="M195" s="3516"/>
      <c r="N195" s="3516"/>
      <c r="O195" s="3516"/>
      <c r="P195" s="3516"/>
      <c r="Q195" s="3516"/>
      <c r="R195" s="3516"/>
      <c r="S195" s="3516"/>
      <c r="T195" s="3516"/>
      <c r="U195" s="3516"/>
      <c r="V195" s="3516"/>
      <c r="W195" s="3516"/>
      <c r="X195" s="3516"/>
      <c r="Y195" s="3516"/>
      <c r="Z195" s="3516"/>
      <c r="AA195" s="3516"/>
      <c r="AB195" s="3516"/>
      <c r="AC195" s="3516"/>
    </row>
    <row r="196" spans="1:29">
      <c r="A196" s="3516"/>
      <c r="B196" s="3516"/>
      <c r="C196" s="3516"/>
      <c r="D196" s="3516"/>
      <c r="E196" s="3516"/>
      <c r="F196" s="3516"/>
      <c r="G196" s="3516"/>
      <c r="H196" s="3516"/>
      <c r="I196" s="3516"/>
      <c r="J196" s="3516"/>
      <c r="K196" s="3517"/>
      <c r="L196" s="3518"/>
      <c r="M196" s="3516"/>
      <c r="N196" s="3516"/>
      <c r="O196" s="3516"/>
      <c r="P196" s="3516"/>
      <c r="Q196" s="3516"/>
      <c r="R196" s="3516"/>
      <c r="S196" s="3516"/>
      <c r="T196" s="3516"/>
      <c r="U196" s="3516"/>
      <c r="V196" s="3516"/>
      <c r="W196" s="3516"/>
      <c r="X196" s="3516"/>
      <c r="Y196" s="3516"/>
      <c r="Z196" s="3516"/>
      <c r="AA196" s="3516"/>
      <c r="AB196" s="3516"/>
      <c r="AC196" s="3516"/>
    </row>
    <row r="197" spans="1:29">
      <c r="A197" s="3516"/>
      <c r="B197" s="3516"/>
      <c r="C197" s="3516"/>
      <c r="D197" s="3516"/>
      <c r="E197" s="3516"/>
      <c r="F197" s="3516"/>
      <c r="G197" s="3516"/>
      <c r="H197" s="3516"/>
      <c r="I197" s="3516"/>
      <c r="J197" s="3516"/>
      <c r="K197" s="3517"/>
      <c r="L197" s="3518"/>
      <c r="M197" s="3516"/>
      <c r="N197" s="3516"/>
      <c r="O197" s="3516"/>
      <c r="P197" s="3516"/>
      <c r="Q197" s="3516"/>
      <c r="R197" s="3516"/>
      <c r="S197" s="3516"/>
      <c r="T197" s="3516"/>
      <c r="U197" s="3516"/>
      <c r="V197" s="3516"/>
      <c r="W197" s="3516"/>
      <c r="X197" s="3516"/>
      <c r="Y197" s="3516"/>
      <c r="Z197" s="3516"/>
      <c r="AA197" s="3516"/>
      <c r="AB197" s="3516"/>
      <c r="AC197" s="3516"/>
    </row>
    <row r="198" spans="1:29">
      <c r="A198" s="3516"/>
      <c r="B198" s="3516"/>
      <c r="C198" s="3516"/>
      <c r="D198" s="3516"/>
      <c r="E198" s="3516"/>
      <c r="F198" s="3516"/>
      <c r="G198" s="3516"/>
      <c r="H198" s="3516"/>
      <c r="I198" s="3516"/>
      <c r="J198" s="3516"/>
      <c r="K198" s="3517"/>
      <c r="L198" s="3518"/>
      <c r="M198" s="3516"/>
      <c r="N198" s="3516"/>
      <c r="O198" s="3516"/>
      <c r="P198" s="3516"/>
      <c r="Q198" s="3516"/>
      <c r="R198" s="3516"/>
      <c r="S198" s="3516"/>
      <c r="T198" s="3516"/>
      <c r="U198" s="3516"/>
      <c r="V198" s="3516"/>
      <c r="W198" s="3516"/>
      <c r="X198" s="3516"/>
      <c r="Y198" s="3516"/>
      <c r="Z198" s="3516"/>
      <c r="AA198" s="3516"/>
      <c r="AB198" s="3516"/>
      <c r="AC198" s="3516"/>
    </row>
    <row r="199" spans="1:29">
      <c r="A199" s="3516"/>
      <c r="B199" s="3516"/>
      <c r="C199" s="3516"/>
      <c r="D199" s="3516"/>
      <c r="E199" s="3516"/>
      <c r="F199" s="3516"/>
      <c r="G199" s="3516"/>
      <c r="H199" s="3516"/>
      <c r="I199" s="3516"/>
      <c r="J199" s="3516"/>
      <c r="K199" s="3517"/>
      <c r="L199" s="3518"/>
      <c r="M199" s="3516"/>
      <c r="N199" s="3516"/>
      <c r="O199" s="3516"/>
      <c r="P199" s="3516"/>
      <c r="Q199" s="3516"/>
      <c r="R199" s="3516"/>
      <c r="S199" s="3516"/>
      <c r="T199" s="3516"/>
      <c r="U199" s="3516"/>
      <c r="V199" s="3516"/>
      <c r="W199" s="3516"/>
      <c r="X199" s="3516"/>
      <c r="Y199" s="3516"/>
      <c r="Z199" s="3516"/>
      <c r="AA199" s="3516"/>
      <c r="AB199" s="3516"/>
      <c r="AC199" s="3516"/>
    </row>
    <row r="200" spans="1:29">
      <c r="A200" s="3516"/>
      <c r="B200" s="3516"/>
      <c r="C200" s="3516"/>
      <c r="D200" s="3516"/>
      <c r="E200" s="3516"/>
      <c r="F200" s="3516"/>
      <c r="G200" s="3516"/>
      <c r="H200" s="3516"/>
      <c r="I200" s="3516"/>
      <c r="J200" s="3516"/>
      <c r="K200" s="3517"/>
      <c r="L200" s="3518"/>
      <c r="M200" s="3516"/>
      <c r="N200" s="3516"/>
      <c r="O200" s="3516"/>
      <c r="P200" s="3516"/>
      <c r="Q200" s="3516"/>
      <c r="R200" s="3516"/>
      <c r="S200" s="3516"/>
      <c r="T200" s="3516"/>
      <c r="U200" s="3516"/>
      <c r="V200" s="3516"/>
      <c r="W200" s="3516"/>
      <c r="X200" s="3516"/>
      <c r="Y200" s="3516"/>
      <c r="Z200" s="3516"/>
      <c r="AA200" s="3516"/>
      <c r="AB200" s="3516"/>
      <c r="AC200" s="3516"/>
    </row>
    <row r="201" spans="1:29">
      <c r="A201" s="3516"/>
      <c r="B201" s="3516"/>
      <c r="C201" s="3516"/>
      <c r="D201" s="3516"/>
      <c r="E201" s="3516"/>
      <c r="F201" s="3516"/>
      <c r="G201" s="3516"/>
      <c r="H201" s="3516"/>
      <c r="I201" s="3516"/>
      <c r="J201" s="3516"/>
      <c r="K201" s="3517"/>
      <c r="L201" s="3518"/>
      <c r="M201" s="3516"/>
      <c r="N201" s="3516"/>
      <c r="O201" s="3516"/>
      <c r="P201" s="3516"/>
      <c r="Q201" s="3516"/>
      <c r="R201" s="3516"/>
      <c r="S201" s="3516"/>
      <c r="T201" s="3516"/>
      <c r="U201" s="3516"/>
      <c r="V201" s="3516"/>
      <c r="W201" s="3516"/>
      <c r="X201" s="3516"/>
      <c r="Y201" s="3516"/>
      <c r="Z201" s="3516"/>
      <c r="AA201" s="3516"/>
      <c r="AB201" s="3516"/>
      <c r="AC201" s="3516"/>
    </row>
    <row r="202" spans="1:29">
      <c r="A202" s="3516"/>
      <c r="B202" s="3516"/>
      <c r="C202" s="3516"/>
      <c r="D202" s="3516"/>
      <c r="E202" s="3516"/>
      <c r="F202" s="3516"/>
      <c r="G202" s="3516"/>
      <c r="H202" s="3516"/>
      <c r="I202" s="3516"/>
      <c r="J202" s="3516"/>
      <c r="K202" s="3517"/>
      <c r="L202" s="3518"/>
      <c r="M202" s="3516"/>
      <c r="N202" s="3516"/>
      <c r="O202" s="3516"/>
      <c r="P202" s="3516"/>
      <c r="Q202" s="3516"/>
      <c r="R202" s="3516"/>
      <c r="S202" s="3516"/>
      <c r="T202" s="3516"/>
      <c r="U202" s="3516"/>
      <c r="V202" s="3516"/>
      <c r="W202" s="3516"/>
      <c r="X202" s="3516"/>
      <c r="Y202" s="3516"/>
      <c r="Z202" s="3516"/>
      <c r="AA202" s="3516"/>
      <c r="AB202" s="3516"/>
      <c r="AC202" s="3516"/>
    </row>
    <row r="203" spans="1:29">
      <c r="A203" s="3516"/>
      <c r="B203" s="3516"/>
      <c r="C203" s="3516"/>
      <c r="D203" s="3516"/>
      <c r="E203" s="3516"/>
      <c r="F203" s="3516"/>
      <c r="G203" s="3516"/>
      <c r="H203" s="3516"/>
      <c r="I203" s="3516"/>
      <c r="J203" s="3516"/>
      <c r="K203" s="3517"/>
      <c r="L203" s="3518"/>
      <c r="M203" s="3516"/>
      <c r="N203" s="3516"/>
      <c r="O203" s="3516"/>
      <c r="P203" s="3516"/>
      <c r="Q203" s="3516"/>
      <c r="R203" s="3516"/>
      <c r="S203" s="3516"/>
      <c r="T203" s="3516"/>
      <c r="U203" s="3516"/>
      <c r="V203" s="3516"/>
      <c r="W203" s="3516"/>
      <c r="X203" s="3516"/>
      <c r="Y203" s="3516"/>
      <c r="Z203" s="3516"/>
      <c r="AA203" s="3516"/>
      <c r="AB203" s="3516"/>
      <c r="AC203" s="3516"/>
    </row>
    <row r="204" spans="1:29">
      <c r="A204" s="3516"/>
      <c r="B204" s="3516"/>
      <c r="C204" s="3516"/>
      <c r="D204" s="3516"/>
      <c r="E204" s="3516"/>
      <c r="F204" s="3516"/>
      <c r="G204" s="3516"/>
      <c r="H204" s="3516"/>
      <c r="I204" s="3516"/>
      <c r="J204" s="3516"/>
      <c r="K204" s="3517"/>
      <c r="L204" s="3518"/>
      <c r="M204" s="3516"/>
      <c r="N204" s="3516"/>
      <c r="O204" s="3516"/>
      <c r="P204" s="3516"/>
      <c r="Q204" s="3516"/>
      <c r="R204" s="3516"/>
      <c r="S204" s="3516"/>
      <c r="T204" s="3516"/>
      <c r="U204" s="3516"/>
      <c r="V204" s="3516"/>
      <c r="W204" s="3516"/>
      <c r="X204" s="3516"/>
      <c r="Y204" s="3516"/>
      <c r="Z204" s="3516"/>
      <c r="AA204" s="3516"/>
      <c r="AB204" s="3516"/>
      <c r="AC204" s="3516"/>
    </row>
    <row r="205" spans="1:29">
      <c r="A205" s="3516"/>
      <c r="B205" s="3516"/>
      <c r="C205" s="3516"/>
      <c r="D205" s="3516"/>
      <c r="E205" s="3516"/>
      <c r="F205" s="3516"/>
      <c r="G205" s="3516"/>
      <c r="H205" s="3516"/>
      <c r="I205" s="3516"/>
      <c r="J205" s="3516"/>
      <c r="K205" s="3517"/>
      <c r="L205" s="3518"/>
      <c r="M205" s="3516"/>
      <c r="N205" s="3516"/>
      <c r="O205" s="3516"/>
      <c r="P205" s="3516"/>
      <c r="Q205" s="3516"/>
      <c r="R205" s="3516"/>
      <c r="S205" s="3516"/>
      <c r="T205" s="3516"/>
      <c r="U205" s="3516"/>
      <c r="V205" s="3516"/>
      <c r="W205" s="3516"/>
      <c r="X205" s="3516"/>
      <c r="Y205" s="3516"/>
      <c r="Z205" s="3516"/>
      <c r="AA205" s="3516"/>
      <c r="AB205" s="3516"/>
      <c r="AC205" s="3516"/>
    </row>
    <row r="206" spans="1:29">
      <c r="A206" s="3516"/>
      <c r="B206" s="3516"/>
      <c r="C206" s="3516"/>
      <c r="D206" s="3516"/>
      <c r="E206" s="3516"/>
      <c r="F206" s="3516"/>
      <c r="G206" s="3516"/>
      <c r="H206" s="3516"/>
      <c r="I206" s="3516"/>
      <c r="J206" s="3516"/>
      <c r="K206" s="3517"/>
      <c r="L206" s="3518"/>
      <c r="M206" s="3516"/>
      <c r="N206" s="3516"/>
      <c r="O206" s="3516"/>
      <c r="P206" s="3516"/>
      <c r="Q206" s="3516"/>
      <c r="R206" s="3516"/>
      <c r="S206" s="3516"/>
      <c r="T206" s="3516"/>
      <c r="U206" s="3516"/>
      <c r="V206" s="3516"/>
      <c r="W206" s="3516"/>
      <c r="X206" s="3516"/>
      <c r="Y206" s="3516"/>
      <c r="Z206" s="3516"/>
      <c r="AA206" s="3516"/>
      <c r="AB206" s="3516"/>
      <c r="AC206" s="3516"/>
    </row>
    <row r="207" spans="1:29">
      <c r="A207" s="3516"/>
      <c r="B207" s="3516"/>
      <c r="C207" s="3516"/>
      <c r="D207" s="3516"/>
      <c r="E207" s="3516"/>
      <c r="F207" s="3516"/>
      <c r="G207" s="3516"/>
      <c r="H207" s="3516"/>
      <c r="I207" s="3516"/>
      <c r="J207" s="3516"/>
      <c r="K207" s="3517"/>
      <c r="L207" s="3518"/>
      <c r="M207" s="3516"/>
      <c r="N207" s="3516"/>
      <c r="O207" s="3516"/>
      <c r="P207" s="3516"/>
      <c r="Q207" s="3516"/>
      <c r="R207" s="3516"/>
      <c r="S207" s="3516"/>
      <c r="T207" s="3516"/>
      <c r="U207" s="3516"/>
      <c r="V207" s="3516"/>
      <c r="W207" s="3516"/>
      <c r="X207" s="3516"/>
      <c r="Y207" s="3516"/>
      <c r="Z207" s="3516"/>
      <c r="AA207" s="3516"/>
      <c r="AB207" s="3516"/>
      <c r="AC207" s="3516"/>
    </row>
    <row r="208" spans="1:29">
      <c r="A208" s="3516"/>
      <c r="B208" s="3516"/>
      <c r="C208" s="3516"/>
      <c r="D208" s="3516"/>
      <c r="E208" s="3516"/>
      <c r="F208" s="3516"/>
      <c r="G208" s="3516"/>
      <c r="H208" s="3516"/>
      <c r="I208" s="3516"/>
      <c r="J208" s="3516"/>
      <c r="K208" s="3517"/>
      <c r="L208" s="3518"/>
      <c r="M208" s="3516"/>
      <c r="N208" s="3516"/>
      <c r="O208" s="3516"/>
      <c r="P208" s="3516"/>
      <c r="Q208" s="3516"/>
      <c r="R208" s="3516"/>
      <c r="S208" s="3516"/>
      <c r="T208" s="3516"/>
      <c r="U208" s="3516"/>
      <c r="V208" s="3516"/>
      <c r="W208" s="3516"/>
      <c r="X208" s="3516"/>
      <c r="Y208" s="3516"/>
      <c r="Z208" s="3516"/>
      <c r="AA208" s="3516"/>
      <c r="AB208" s="3516"/>
      <c r="AC208" s="3516"/>
    </row>
    <row r="209" spans="1:29">
      <c r="A209" s="3516"/>
      <c r="B209" s="3516"/>
      <c r="C209" s="3516"/>
      <c r="D209" s="3516"/>
      <c r="E209" s="3516"/>
      <c r="F209" s="3516"/>
      <c r="G209" s="3516"/>
      <c r="H209" s="3516"/>
      <c r="I209" s="3516"/>
      <c r="J209" s="3516"/>
      <c r="K209" s="3517"/>
      <c r="L209" s="3518"/>
      <c r="M209" s="3516"/>
      <c r="N209" s="3516"/>
      <c r="O209" s="3516"/>
      <c r="P209" s="3516"/>
      <c r="Q209" s="3516"/>
      <c r="R209" s="3516"/>
      <c r="S209" s="3516"/>
      <c r="T209" s="3516"/>
      <c r="U209" s="3516"/>
      <c r="V209" s="3516"/>
      <c r="W209" s="3516"/>
      <c r="X209" s="3516"/>
      <c r="Y209" s="3516"/>
      <c r="Z209" s="3516"/>
      <c r="AA209" s="3516"/>
      <c r="AB209" s="3516"/>
      <c r="AC209" s="3516"/>
    </row>
    <row r="210" spans="1:29">
      <c r="A210" s="3516"/>
      <c r="B210" s="3516"/>
      <c r="C210" s="3516"/>
      <c r="D210" s="3516"/>
      <c r="E210" s="3516"/>
      <c r="F210" s="3516"/>
      <c r="G210" s="3516"/>
      <c r="H210" s="3516"/>
      <c r="I210" s="3516"/>
      <c r="J210" s="3516"/>
      <c r="K210" s="3517"/>
      <c r="L210" s="3518"/>
      <c r="M210" s="3516"/>
      <c r="N210" s="3516"/>
      <c r="O210" s="3516"/>
      <c r="P210" s="3516"/>
      <c r="Q210" s="3516"/>
      <c r="R210" s="3516"/>
      <c r="S210" s="3516"/>
      <c r="T210" s="3516"/>
      <c r="U210" s="3516"/>
      <c r="V210" s="3516"/>
      <c r="W210" s="3516"/>
      <c r="X210" s="3516"/>
      <c r="Y210" s="3516"/>
      <c r="Z210" s="3516"/>
      <c r="AA210" s="3516"/>
      <c r="AB210" s="3516"/>
      <c r="AC210" s="3516"/>
    </row>
    <row r="211" spans="1:29">
      <c r="A211" s="3516"/>
      <c r="B211" s="3516"/>
      <c r="C211" s="3516"/>
      <c r="D211" s="3516"/>
      <c r="E211" s="3516"/>
      <c r="F211" s="3516"/>
      <c r="G211" s="3516"/>
      <c r="H211" s="3516"/>
      <c r="I211" s="3516"/>
      <c r="J211" s="3516"/>
      <c r="K211" s="3517"/>
      <c r="L211" s="3518"/>
      <c r="M211" s="3516"/>
      <c r="N211" s="3516"/>
      <c r="O211" s="3516"/>
      <c r="P211" s="3516"/>
      <c r="Q211" s="3516"/>
      <c r="R211" s="3516"/>
      <c r="S211" s="3516"/>
      <c r="T211" s="3516"/>
      <c r="U211" s="3516"/>
      <c r="V211" s="3516"/>
      <c r="W211" s="3516"/>
      <c r="X211" s="3516"/>
      <c r="Y211" s="3516"/>
      <c r="Z211" s="3516"/>
      <c r="AA211" s="3516"/>
      <c r="AB211" s="3516"/>
      <c r="AC211" s="3516"/>
    </row>
    <row r="212" spans="1:29">
      <c r="A212" s="3516"/>
      <c r="B212" s="3516"/>
      <c r="C212" s="3516"/>
      <c r="D212" s="3516"/>
      <c r="E212" s="3516"/>
      <c r="F212" s="3516"/>
      <c r="G212" s="3516"/>
      <c r="H212" s="3516"/>
      <c r="I212" s="3516"/>
      <c r="J212" s="3516"/>
      <c r="K212" s="3517"/>
      <c r="L212" s="3518"/>
      <c r="M212" s="3516"/>
      <c r="N212" s="3516"/>
      <c r="O212" s="3516"/>
      <c r="P212" s="3516"/>
      <c r="Q212" s="3516"/>
      <c r="R212" s="3516"/>
      <c r="S212" s="3516"/>
      <c r="T212" s="3516"/>
      <c r="U212" s="3516"/>
      <c r="V212" s="3516"/>
      <c r="W212" s="3516"/>
      <c r="X212" s="3516"/>
      <c r="Y212" s="3516"/>
      <c r="Z212" s="3516"/>
      <c r="AA212" s="3516"/>
      <c r="AB212" s="3516"/>
      <c r="AC212" s="3516"/>
    </row>
    <row r="213" spans="1:29">
      <c r="A213" s="3516"/>
      <c r="B213" s="3516"/>
      <c r="C213" s="3516"/>
      <c r="D213" s="3516"/>
      <c r="E213" s="3516"/>
      <c r="F213" s="3516"/>
      <c r="G213" s="3516"/>
      <c r="H213" s="3516"/>
      <c r="I213" s="3516"/>
      <c r="J213" s="3516"/>
      <c r="K213" s="3517"/>
      <c r="L213" s="3518"/>
      <c r="M213" s="3516"/>
      <c r="N213" s="3516"/>
      <c r="O213" s="3516"/>
      <c r="P213" s="3516"/>
      <c r="Q213" s="3516"/>
      <c r="R213" s="3516"/>
      <c r="S213" s="3516"/>
      <c r="T213" s="3516"/>
      <c r="U213" s="3516"/>
      <c r="V213" s="3516"/>
      <c r="W213" s="3516"/>
      <c r="X213" s="3516"/>
      <c r="Y213" s="3516"/>
      <c r="Z213" s="3516"/>
      <c r="AA213" s="3516"/>
      <c r="AB213" s="3516"/>
      <c r="AC213" s="3516"/>
    </row>
    <row r="214" spans="1:29">
      <c r="A214" s="3516"/>
      <c r="B214" s="3516"/>
      <c r="C214" s="3516"/>
      <c r="D214" s="3516"/>
      <c r="E214" s="3516"/>
      <c r="F214" s="3516"/>
      <c r="G214" s="3516"/>
      <c r="H214" s="3516"/>
      <c r="I214" s="3516"/>
      <c r="J214" s="3516"/>
      <c r="K214" s="3517"/>
      <c r="L214" s="3518"/>
      <c r="M214" s="3516"/>
      <c r="N214" s="3516"/>
      <c r="O214" s="3516"/>
      <c r="P214" s="3516"/>
      <c r="Q214" s="3516"/>
      <c r="R214" s="3516"/>
      <c r="S214" s="3516"/>
      <c r="T214" s="3516"/>
      <c r="U214" s="3516"/>
      <c r="V214" s="3516"/>
      <c r="W214" s="3516"/>
      <c r="X214" s="3516"/>
      <c r="Y214" s="3516"/>
      <c r="Z214" s="3516"/>
      <c r="AA214" s="3516"/>
      <c r="AB214" s="3516"/>
      <c r="AC214" s="3516"/>
    </row>
    <row r="215" spans="1:29">
      <c r="A215" s="3516"/>
      <c r="B215" s="3516"/>
      <c r="C215" s="3516"/>
      <c r="D215" s="3516"/>
      <c r="E215" s="3516"/>
      <c r="F215" s="3516"/>
      <c r="G215" s="3516"/>
      <c r="H215" s="3516"/>
      <c r="I215" s="3516"/>
      <c r="J215" s="3516"/>
      <c r="K215" s="3517"/>
      <c r="L215" s="3518"/>
      <c r="M215" s="3516"/>
      <c r="N215" s="3516"/>
      <c r="O215" s="3516"/>
      <c r="P215" s="3516"/>
      <c r="Q215" s="3516"/>
      <c r="R215" s="3516"/>
      <c r="S215" s="3516"/>
      <c r="T215" s="3516"/>
      <c r="U215" s="3516"/>
      <c r="V215" s="3516"/>
      <c r="W215" s="3516"/>
      <c r="X215" s="3516"/>
      <c r="Y215" s="3516"/>
      <c r="Z215" s="3516"/>
      <c r="AA215" s="3516"/>
      <c r="AB215" s="3516"/>
      <c r="AC215" s="3516"/>
    </row>
    <row r="216" spans="1:29">
      <c r="A216" s="3516"/>
      <c r="B216" s="3516"/>
      <c r="C216" s="3516"/>
      <c r="D216" s="3516"/>
      <c r="E216" s="3516"/>
      <c r="F216" s="3516"/>
      <c r="G216" s="3516"/>
      <c r="H216" s="3516"/>
      <c r="I216" s="3516"/>
      <c r="J216" s="3516"/>
      <c r="K216" s="3517"/>
      <c r="L216" s="3518"/>
      <c r="M216" s="3516"/>
      <c r="N216" s="3516"/>
      <c r="O216" s="3516"/>
      <c r="P216" s="3516"/>
      <c r="Q216" s="3516"/>
      <c r="R216" s="3516"/>
      <c r="S216" s="3516"/>
      <c r="T216" s="3516"/>
      <c r="U216" s="3516"/>
      <c r="V216" s="3516"/>
      <c r="W216" s="3516"/>
      <c r="X216" s="3516"/>
      <c r="Y216" s="3516"/>
      <c r="Z216" s="3516"/>
      <c r="AA216" s="3516"/>
      <c r="AB216" s="3516"/>
      <c r="AC216" s="3516"/>
    </row>
    <row r="217" spans="1:29">
      <c r="A217" s="3516"/>
      <c r="B217" s="3516"/>
      <c r="C217" s="3516"/>
      <c r="D217" s="3516"/>
      <c r="E217" s="3516"/>
      <c r="F217" s="3516"/>
      <c r="G217" s="3516"/>
      <c r="H217" s="3516"/>
      <c r="I217" s="3516"/>
      <c r="J217" s="3516"/>
      <c r="K217" s="3517"/>
      <c r="L217" s="3518"/>
      <c r="M217" s="3516"/>
      <c r="N217" s="3516"/>
      <c r="O217" s="3516"/>
      <c r="P217" s="3516"/>
      <c r="Q217" s="3516"/>
      <c r="R217" s="3516"/>
      <c r="S217" s="3516"/>
      <c r="T217" s="3516"/>
      <c r="U217" s="3516"/>
      <c r="V217" s="3516"/>
      <c r="W217" s="3516"/>
      <c r="X217" s="3516"/>
      <c r="Y217" s="3516"/>
      <c r="Z217" s="3516"/>
      <c r="AA217" s="3516"/>
      <c r="AB217" s="3516"/>
      <c r="AC217" s="3516"/>
    </row>
    <row r="218" spans="1:29">
      <c r="A218" s="3516"/>
      <c r="B218" s="3516"/>
      <c r="C218" s="3516"/>
      <c r="D218" s="3516"/>
      <c r="E218" s="3516"/>
      <c r="F218" s="3516"/>
      <c r="G218" s="3516"/>
      <c r="H218" s="3516"/>
      <c r="I218" s="3516"/>
      <c r="J218" s="3516"/>
      <c r="K218" s="3517"/>
      <c r="L218" s="3518"/>
      <c r="M218" s="3516"/>
      <c r="N218" s="3516"/>
      <c r="O218" s="3516"/>
      <c r="P218" s="3516"/>
      <c r="Q218" s="3516"/>
      <c r="R218" s="3516"/>
      <c r="S218" s="3516"/>
      <c r="T218" s="3516"/>
      <c r="U218" s="3516"/>
      <c r="V218" s="3516"/>
      <c r="W218" s="3516"/>
      <c r="X218" s="3516"/>
      <c r="Y218" s="3516"/>
      <c r="Z218" s="3516"/>
      <c r="AA218" s="3516"/>
      <c r="AB218" s="3516"/>
      <c r="AC218" s="3516"/>
    </row>
    <row r="219" spans="1:29">
      <c r="A219" s="3516"/>
      <c r="B219" s="3516"/>
      <c r="C219" s="3516"/>
      <c r="D219" s="3516"/>
      <c r="E219" s="3516"/>
      <c r="F219" s="3516"/>
      <c r="G219" s="3516"/>
      <c r="H219" s="3516"/>
      <c r="I219" s="3516"/>
      <c r="J219" s="3516"/>
      <c r="K219" s="3517"/>
      <c r="L219" s="3518"/>
      <c r="M219" s="3516"/>
      <c r="N219" s="3516"/>
      <c r="O219" s="3516"/>
      <c r="P219" s="3516"/>
      <c r="Q219" s="3516"/>
      <c r="R219" s="3516"/>
      <c r="S219" s="3516"/>
      <c r="T219" s="3516"/>
      <c r="U219" s="3516"/>
      <c r="V219" s="3516"/>
      <c r="W219" s="3516"/>
      <c r="X219" s="3516"/>
      <c r="Y219" s="3516"/>
      <c r="Z219" s="3516"/>
      <c r="AA219" s="3516"/>
      <c r="AB219" s="3516"/>
      <c r="AC219" s="3516"/>
    </row>
    <row r="220" spans="1:29">
      <c r="A220" s="3516"/>
      <c r="B220" s="3516"/>
      <c r="C220" s="3516"/>
      <c r="D220" s="3516"/>
      <c r="E220" s="3516"/>
      <c r="F220" s="3516"/>
      <c r="G220" s="3516"/>
      <c r="H220" s="3516"/>
      <c r="I220" s="3516"/>
      <c r="J220" s="3516"/>
      <c r="K220" s="3517"/>
      <c r="L220" s="3518"/>
      <c r="M220" s="3516"/>
      <c r="N220" s="3516"/>
      <c r="O220" s="3516"/>
      <c r="P220" s="3516"/>
      <c r="Q220" s="3516"/>
      <c r="R220" s="3516"/>
      <c r="S220" s="3516"/>
      <c r="T220" s="3516"/>
      <c r="U220" s="3516"/>
      <c r="V220" s="3516"/>
      <c r="W220" s="3516"/>
      <c r="X220" s="3516"/>
      <c r="Y220" s="3516"/>
      <c r="Z220" s="3516"/>
      <c r="AA220" s="3516"/>
      <c r="AB220" s="3516"/>
      <c r="AC220" s="3516"/>
    </row>
    <row r="221" spans="1:29">
      <c r="A221" s="3516"/>
      <c r="B221" s="3516"/>
      <c r="C221" s="3516"/>
      <c r="D221" s="3516"/>
      <c r="E221" s="3516"/>
      <c r="F221" s="3516"/>
      <c r="G221" s="3516"/>
      <c r="H221" s="3516"/>
      <c r="I221" s="3516"/>
      <c r="J221" s="3516"/>
      <c r="K221" s="3517"/>
      <c r="L221" s="3518"/>
      <c r="M221" s="3516"/>
      <c r="N221" s="3516"/>
      <c r="O221" s="3516"/>
      <c r="P221" s="3516"/>
      <c r="Q221" s="3516"/>
      <c r="R221" s="3516"/>
      <c r="S221" s="3516"/>
      <c r="T221" s="3516"/>
      <c r="U221" s="3516"/>
      <c r="V221" s="3516"/>
      <c r="W221" s="3516"/>
      <c r="X221" s="3516"/>
      <c r="Y221" s="3516"/>
      <c r="Z221" s="3516"/>
      <c r="AA221" s="3516"/>
      <c r="AB221" s="3516"/>
      <c r="AC221" s="3516"/>
    </row>
    <row r="222" spans="1:29">
      <c r="A222" s="3516"/>
      <c r="B222" s="3516"/>
      <c r="C222" s="3516"/>
      <c r="D222" s="3516"/>
      <c r="E222" s="3516"/>
      <c r="F222" s="3516"/>
      <c r="G222" s="3516"/>
      <c r="H222" s="3516"/>
      <c r="I222" s="3516"/>
      <c r="J222" s="3516"/>
      <c r="K222" s="3517"/>
      <c r="L222" s="3518"/>
      <c r="M222" s="3516"/>
      <c r="N222" s="3516"/>
      <c r="O222" s="3516"/>
      <c r="P222" s="3516"/>
      <c r="Q222" s="3516"/>
      <c r="R222" s="3516"/>
      <c r="S222" s="3516"/>
      <c r="T222" s="3516"/>
      <c r="U222" s="3516"/>
      <c r="V222" s="3516"/>
      <c r="W222" s="3516"/>
      <c r="X222" s="3516"/>
      <c r="Y222" s="3516"/>
      <c r="Z222" s="3516"/>
      <c r="AA222" s="3516"/>
      <c r="AB222" s="3516"/>
      <c r="AC222" s="3516"/>
    </row>
    <row r="223" spans="1:29">
      <c r="A223" s="3516"/>
      <c r="B223" s="3516"/>
      <c r="C223" s="3516"/>
      <c r="D223" s="3516"/>
      <c r="E223" s="3516"/>
      <c r="F223" s="3516"/>
      <c r="G223" s="3516"/>
      <c r="H223" s="3516"/>
      <c r="I223" s="3516"/>
      <c r="J223" s="3516"/>
      <c r="K223" s="3517"/>
      <c r="L223" s="3518"/>
      <c r="M223" s="3516"/>
      <c r="N223" s="3516"/>
      <c r="O223" s="3516"/>
      <c r="P223" s="3516"/>
      <c r="Q223" s="3516"/>
      <c r="R223" s="3516"/>
      <c r="S223" s="3516"/>
      <c r="T223" s="3516"/>
      <c r="U223" s="3516"/>
      <c r="V223" s="3516"/>
      <c r="W223" s="3516"/>
      <c r="X223" s="3516"/>
      <c r="Y223" s="3516"/>
      <c r="Z223" s="3516"/>
      <c r="AA223" s="3516"/>
      <c r="AB223" s="3516"/>
      <c r="AC223" s="3516"/>
    </row>
    <row r="224" spans="1:29">
      <c r="A224" s="3516"/>
      <c r="B224" s="3516"/>
      <c r="C224" s="3516"/>
      <c r="D224" s="3516"/>
      <c r="E224" s="3516"/>
      <c r="F224" s="3516"/>
      <c r="G224" s="3516"/>
      <c r="H224" s="3516"/>
      <c r="I224" s="3516"/>
      <c r="J224" s="3516"/>
      <c r="K224" s="3517"/>
      <c r="L224" s="3518"/>
      <c r="M224" s="3516"/>
      <c r="N224" s="3516"/>
      <c r="O224" s="3516"/>
      <c r="P224" s="3516"/>
      <c r="Q224" s="3516"/>
      <c r="R224" s="3516"/>
      <c r="S224" s="3516"/>
      <c r="T224" s="3516"/>
      <c r="U224" s="3516"/>
      <c r="V224" s="3516"/>
      <c r="W224" s="3516"/>
      <c r="X224" s="3516"/>
      <c r="Y224" s="3516"/>
      <c r="Z224" s="3516"/>
      <c r="AA224" s="3516"/>
      <c r="AB224" s="3516"/>
      <c r="AC224" s="3516"/>
    </row>
    <row r="225" spans="1:29">
      <c r="A225" s="3516"/>
      <c r="B225" s="3516"/>
      <c r="C225" s="3516"/>
      <c r="D225" s="3516"/>
      <c r="E225" s="3516"/>
      <c r="F225" s="3516"/>
      <c r="G225" s="3516"/>
      <c r="H225" s="3516"/>
      <c r="I225" s="3516"/>
      <c r="J225" s="3516"/>
      <c r="K225" s="3517"/>
      <c r="L225" s="3518"/>
      <c r="M225" s="3516"/>
      <c r="N225" s="3516"/>
      <c r="O225" s="3516"/>
      <c r="P225" s="3516"/>
      <c r="Q225" s="3516"/>
      <c r="R225" s="3516"/>
      <c r="S225" s="3516"/>
      <c r="T225" s="3516"/>
      <c r="U225" s="3516"/>
      <c r="V225" s="3516"/>
      <c r="W225" s="3516"/>
      <c r="X225" s="3516"/>
      <c r="Y225" s="3516"/>
      <c r="Z225" s="3516"/>
      <c r="AA225" s="3516"/>
      <c r="AB225" s="3516"/>
      <c r="AC225" s="3516"/>
    </row>
    <row r="226" spans="1:29">
      <c r="A226" s="3516"/>
      <c r="B226" s="3516"/>
      <c r="C226" s="3516"/>
      <c r="D226" s="3516"/>
      <c r="E226" s="3516"/>
      <c r="F226" s="3516"/>
      <c r="G226" s="3516"/>
      <c r="H226" s="3516"/>
      <c r="I226" s="3516"/>
      <c r="J226" s="3516"/>
      <c r="K226" s="3517"/>
      <c r="L226" s="3518"/>
      <c r="M226" s="3516"/>
      <c r="N226" s="3516"/>
      <c r="O226" s="3516"/>
      <c r="P226" s="3516"/>
      <c r="Q226" s="3516"/>
      <c r="R226" s="3516"/>
      <c r="S226" s="3516"/>
      <c r="T226" s="3516"/>
      <c r="U226" s="3516"/>
      <c r="V226" s="3516"/>
      <c r="W226" s="3516"/>
      <c r="X226" s="3516"/>
      <c r="Y226" s="3516"/>
      <c r="Z226" s="3516"/>
      <c r="AA226" s="3516"/>
      <c r="AB226" s="3516"/>
      <c r="AC226" s="3516"/>
    </row>
    <row r="227" spans="1:29">
      <c r="A227" s="3516"/>
      <c r="B227" s="3516"/>
      <c r="C227" s="3516"/>
      <c r="D227" s="3516"/>
      <c r="E227" s="3516"/>
      <c r="F227" s="3516"/>
      <c r="G227" s="3516"/>
      <c r="H227" s="3516"/>
      <c r="I227" s="3516"/>
      <c r="J227" s="3516"/>
      <c r="K227" s="3517"/>
      <c r="L227" s="3518"/>
      <c r="M227" s="3516"/>
      <c r="N227" s="3516"/>
      <c r="O227" s="3516"/>
      <c r="P227" s="3516"/>
      <c r="Q227" s="3516"/>
      <c r="R227" s="3516"/>
      <c r="S227" s="3516"/>
      <c r="T227" s="3516"/>
      <c r="U227" s="3516"/>
      <c r="V227" s="3516"/>
      <c r="W227" s="3516"/>
      <c r="X227" s="3516"/>
      <c r="Y227" s="3516"/>
      <c r="Z227" s="3516"/>
      <c r="AA227" s="3516"/>
      <c r="AB227" s="3516"/>
      <c r="AC227" s="3516"/>
    </row>
    <row r="228" spans="1:29">
      <c r="A228" s="3516"/>
      <c r="B228" s="3516"/>
      <c r="C228" s="3516"/>
      <c r="D228" s="3516"/>
      <c r="E228" s="3516"/>
      <c r="F228" s="3516"/>
      <c r="G228" s="3516"/>
      <c r="H228" s="3516"/>
      <c r="I228" s="3516"/>
      <c r="J228" s="3516"/>
      <c r="K228" s="3517"/>
      <c r="L228" s="3518"/>
      <c r="M228" s="3516"/>
      <c r="N228" s="3516"/>
      <c r="O228" s="3516"/>
      <c r="P228" s="3516"/>
      <c r="Q228" s="3516"/>
      <c r="R228" s="3516"/>
      <c r="S228" s="3516"/>
      <c r="T228" s="3516"/>
      <c r="U228" s="3516"/>
      <c r="V228" s="3516"/>
      <c r="W228" s="3516"/>
      <c r="X228" s="3516"/>
      <c r="Y228" s="3516"/>
      <c r="Z228" s="3516"/>
      <c r="AA228" s="3516"/>
      <c r="AB228" s="3516"/>
      <c r="AC228" s="3516"/>
    </row>
    <row r="229" spans="1:29">
      <c r="A229" s="3516"/>
      <c r="B229" s="3516"/>
      <c r="C229" s="3516"/>
      <c r="D229" s="3516"/>
      <c r="E229" s="3516"/>
      <c r="F229" s="3516"/>
      <c r="G229" s="3516"/>
      <c r="H229" s="3516"/>
      <c r="I229" s="3516"/>
      <c r="J229" s="3516"/>
      <c r="K229" s="3517"/>
      <c r="L229" s="3518"/>
      <c r="M229" s="3516"/>
      <c r="N229" s="3516"/>
      <c r="O229" s="3516"/>
      <c r="P229" s="3516"/>
      <c r="Q229" s="3516"/>
      <c r="R229" s="3516"/>
      <c r="S229" s="3516"/>
      <c r="T229" s="3516"/>
      <c r="U229" s="3516"/>
      <c r="V229" s="3516"/>
      <c r="W229" s="3516"/>
      <c r="X229" s="3516"/>
      <c r="Y229" s="3516"/>
      <c r="Z229" s="3516"/>
      <c r="AA229" s="3516"/>
      <c r="AB229" s="3516"/>
      <c r="AC229" s="3516"/>
    </row>
    <row r="230" spans="1:29">
      <c r="A230" s="3516"/>
      <c r="B230" s="3516"/>
      <c r="C230" s="3516"/>
      <c r="D230" s="3516"/>
      <c r="E230" s="3516"/>
      <c r="F230" s="3516"/>
      <c r="G230" s="3516"/>
      <c r="H230" s="3516"/>
      <c r="I230" s="3516"/>
      <c r="J230" s="3516"/>
      <c r="K230" s="3517"/>
      <c r="L230" s="3518"/>
      <c r="M230" s="3516"/>
      <c r="N230" s="3516"/>
      <c r="O230" s="3516"/>
      <c r="P230" s="3516"/>
      <c r="Q230" s="3516"/>
      <c r="R230" s="3516"/>
      <c r="S230" s="3516"/>
      <c r="T230" s="3516"/>
      <c r="U230" s="3516"/>
      <c r="V230" s="3516"/>
      <c r="W230" s="3516"/>
      <c r="X230" s="3516"/>
      <c r="Y230" s="3516"/>
      <c r="Z230" s="3516"/>
      <c r="AA230" s="3516"/>
      <c r="AB230" s="3516"/>
      <c r="AC230" s="3516"/>
    </row>
    <row r="231" spans="1:29">
      <c r="A231" s="3516"/>
      <c r="B231" s="3516"/>
      <c r="C231" s="3516"/>
      <c r="D231" s="3516"/>
      <c r="E231" s="3516"/>
      <c r="F231" s="3516"/>
      <c r="G231" s="3516"/>
      <c r="H231" s="3516"/>
      <c r="I231" s="3516"/>
      <c r="J231" s="3516"/>
      <c r="K231" s="3517"/>
      <c r="L231" s="3518"/>
      <c r="M231" s="3516"/>
      <c r="N231" s="3516"/>
      <c r="O231" s="3516"/>
      <c r="P231" s="3516"/>
      <c r="Q231" s="3516"/>
      <c r="R231" s="3516"/>
      <c r="S231" s="3516"/>
      <c r="T231" s="3516"/>
      <c r="U231" s="3516"/>
      <c r="V231" s="3516"/>
      <c r="W231" s="3516"/>
      <c r="X231" s="3516"/>
      <c r="Y231" s="3516"/>
      <c r="Z231" s="3516"/>
      <c r="AA231" s="3516"/>
      <c r="AB231" s="3516"/>
      <c r="AC231" s="3516"/>
    </row>
    <row r="232" spans="1:29">
      <c r="A232" s="3516"/>
      <c r="B232" s="3516"/>
      <c r="C232" s="3516"/>
      <c r="D232" s="3516"/>
      <c r="E232" s="3516"/>
      <c r="F232" s="3516"/>
      <c r="G232" s="3516"/>
      <c r="H232" s="3516"/>
      <c r="I232" s="3516"/>
      <c r="J232" s="3516"/>
      <c r="K232" s="3517"/>
      <c r="L232" s="3518"/>
      <c r="M232" s="3516"/>
      <c r="N232" s="3516"/>
      <c r="O232" s="3516"/>
      <c r="P232" s="3516"/>
      <c r="Q232" s="3516"/>
      <c r="R232" s="3516"/>
      <c r="S232" s="3516"/>
      <c r="T232" s="3516"/>
      <c r="U232" s="3516"/>
      <c r="V232" s="3516"/>
      <c r="W232" s="3516"/>
      <c r="X232" s="3516"/>
      <c r="Y232" s="3516"/>
      <c r="Z232" s="3516"/>
      <c r="AA232" s="3516"/>
      <c r="AB232" s="3516"/>
      <c r="AC232" s="3516"/>
    </row>
    <row r="233" spans="1:29">
      <c r="A233" s="3516"/>
      <c r="B233" s="3516"/>
      <c r="C233" s="3516"/>
      <c r="D233" s="3516"/>
      <c r="E233" s="3516"/>
      <c r="F233" s="3516"/>
      <c r="G233" s="3516"/>
      <c r="H233" s="3516"/>
      <c r="I233" s="3516"/>
      <c r="J233" s="3516"/>
      <c r="K233" s="3517"/>
      <c r="L233" s="3518"/>
      <c r="M233" s="3516"/>
      <c r="N233" s="3516"/>
      <c r="O233" s="3516"/>
      <c r="P233" s="3516"/>
      <c r="Q233" s="3516"/>
      <c r="R233" s="3516"/>
      <c r="S233" s="3516"/>
      <c r="T233" s="3516"/>
      <c r="U233" s="3516"/>
      <c r="V233" s="3516"/>
      <c r="W233" s="3516"/>
      <c r="X233" s="3516"/>
      <c r="Y233" s="3516"/>
      <c r="Z233" s="3516"/>
      <c r="AA233" s="3516"/>
      <c r="AB233" s="3516"/>
      <c r="AC233" s="3516"/>
    </row>
    <row r="234" spans="1:29">
      <c r="A234" s="3516"/>
      <c r="B234" s="3516"/>
      <c r="C234" s="3516"/>
      <c r="D234" s="3516"/>
      <c r="E234" s="3516"/>
      <c r="F234" s="3516"/>
      <c r="G234" s="3516"/>
      <c r="H234" s="3516"/>
      <c r="I234" s="3516"/>
      <c r="J234" s="3516"/>
      <c r="K234" s="3517"/>
      <c r="L234" s="3518"/>
      <c r="M234" s="3516"/>
      <c r="N234" s="3516"/>
      <c r="O234" s="3516"/>
      <c r="P234" s="3516"/>
      <c r="Q234" s="3516"/>
      <c r="R234" s="3516"/>
      <c r="S234" s="3516"/>
      <c r="T234" s="3516"/>
      <c r="U234" s="3516"/>
      <c r="V234" s="3516"/>
      <c r="W234" s="3516"/>
      <c r="X234" s="3516"/>
      <c r="Y234" s="3516"/>
      <c r="Z234" s="3516"/>
      <c r="AA234" s="3516"/>
      <c r="AB234" s="3516"/>
      <c r="AC234" s="3516"/>
    </row>
    <row r="235" spans="1:29">
      <c r="A235" s="3516"/>
      <c r="B235" s="3516"/>
      <c r="C235" s="3516"/>
      <c r="D235" s="3516"/>
      <c r="E235" s="3516"/>
      <c r="F235" s="3516"/>
      <c r="G235" s="3516"/>
      <c r="H235" s="3516"/>
      <c r="I235" s="3516"/>
      <c r="J235" s="3516"/>
      <c r="K235" s="3517"/>
      <c r="L235" s="3518"/>
      <c r="M235" s="3516"/>
      <c r="N235" s="3516"/>
      <c r="O235" s="3516"/>
      <c r="P235" s="3516"/>
      <c r="Q235" s="3516"/>
      <c r="R235" s="3516"/>
      <c r="S235" s="3516"/>
      <c r="T235" s="3516"/>
      <c r="U235" s="3516"/>
      <c r="V235" s="3516"/>
      <c r="W235" s="3516"/>
      <c r="X235" s="3516"/>
      <c r="Y235" s="3516"/>
      <c r="Z235" s="3516"/>
      <c r="AA235" s="3516"/>
      <c r="AB235" s="3516"/>
      <c r="AC235" s="3516"/>
    </row>
    <row r="236" spans="1:29">
      <c r="A236" s="3516"/>
      <c r="B236" s="3516"/>
      <c r="C236" s="3516"/>
      <c r="D236" s="3516"/>
      <c r="E236" s="3516"/>
      <c r="F236" s="3516"/>
      <c r="G236" s="3516"/>
      <c r="H236" s="3516"/>
      <c r="I236" s="3516"/>
      <c r="J236" s="3516"/>
      <c r="K236" s="3517"/>
      <c r="L236" s="3518"/>
      <c r="M236" s="3516"/>
      <c r="N236" s="3516"/>
      <c r="O236" s="3516"/>
      <c r="P236" s="3516"/>
      <c r="Q236" s="3516"/>
      <c r="R236" s="3516"/>
      <c r="S236" s="3516"/>
      <c r="T236" s="3516"/>
      <c r="U236" s="3516"/>
      <c r="V236" s="3516"/>
      <c r="W236" s="3516"/>
      <c r="X236" s="3516"/>
      <c r="Y236" s="3516"/>
      <c r="Z236" s="3516"/>
      <c r="AA236" s="3516"/>
      <c r="AB236" s="3516"/>
      <c r="AC236" s="3516"/>
    </row>
    <row r="237" spans="1:29">
      <c r="A237" s="3516"/>
      <c r="B237" s="3516"/>
      <c r="C237" s="3516"/>
      <c r="D237" s="3516"/>
      <c r="E237" s="3516"/>
      <c r="F237" s="3516"/>
      <c r="G237" s="3516"/>
      <c r="H237" s="3516"/>
      <c r="I237" s="3516"/>
      <c r="J237" s="3516"/>
      <c r="K237" s="3517"/>
      <c r="L237" s="3518"/>
      <c r="M237" s="3516"/>
      <c r="N237" s="3516"/>
      <c r="O237" s="3516"/>
      <c r="P237" s="3516"/>
      <c r="Q237" s="3516"/>
      <c r="R237" s="3516"/>
      <c r="S237" s="3516"/>
      <c r="T237" s="3516"/>
      <c r="U237" s="3516"/>
      <c r="V237" s="3516"/>
      <c r="W237" s="3516"/>
      <c r="X237" s="3516"/>
      <c r="Y237" s="3516"/>
      <c r="Z237" s="3516"/>
      <c r="AA237" s="3516"/>
      <c r="AB237" s="3516"/>
      <c r="AC237" s="3516"/>
    </row>
    <row r="238" spans="1:29">
      <c r="A238" s="3516"/>
      <c r="B238" s="3516"/>
      <c r="C238" s="3516"/>
      <c r="D238" s="3516"/>
      <c r="E238" s="3516"/>
      <c r="F238" s="3516"/>
      <c r="G238" s="3516"/>
      <c r="H238" s="3516"/>
      <c r="I238" s="3516"/>
      <c r="J238" s="3516"/>
      <c r="K238" s="3517"/>
      <c r="L238" s="3518"/>
      <c r="M238" s="3516"/>
      <c r="N238" s="3516"/>
      <c r="O238" s="3516"/>
      <c r="P238" s="3516"/>
      <c r="Q238" s="3516"/>
      <c r="R238" s="3516"/>
      <c r="S238" s="3516"/>
      <c r="T238" s="3516"/>
      <c r="U238" s="3516"/>
      <c r="V238" s="3516"/>
      <c r="W238" s="3516"/>
      <c r="X238" s="3516"/>
      <c r="Y238" s="3516"/>
      <c r="Z238" s="3516"/>
      <c r="AA238" s="3516"/>
      <c r="AB238" s="3516"/>
      <c r="AC238" s="3516"/>
    </row>
    <row r="239" spans="1:29">
      <c r="A239" s="3516"/>
      <c r="B239" s="3516"/>
      <c r="C239" s="3516"/>
      <c r="D239" s="3516"/>
      <c r="E239" s="3516"/>
      <c r="F239" s="3516"/>
      <c r="G239" s="3516"/>
      <c r="H239" s="3516"/>
      <c r="I239" s="3516"/>
      <c r="J239" s="3516"/>
      <c r="K239" s="3517"/>
      <c r="L239" s="3518"/>
      <c r="M239" s="3516"/>
      <c r="N239" s="3516"/>
      <c r="O239" s="3516"/>
      <c r="P239" s="3516"/>
      <c r="Q239" s="3516"/>
      <c r="R239" s="3516"/>
      <c r="S239" s="3516"/>
      <c r="T239" s="3516"/>
      <c r="U239" s="3516"/>
      <c r="V239" s="3516"/>
      <c r="W239" s="3516"/>
      <c r="X239" s="3516"/>
      <c r="Y239" s="3516"/>
      <c r="Z239" s="3516"/>
      <c r="AA239" s="3516"/>
      <c r="AB239" s="3516"/>
      <c r="AC239" s="3516"/>
    </row>
    <row r="240" spans="1:29">
      <c r="A240" s="3516"/>
      <c r="B240" s="3516"/>
      <c r="C240" s="3516"/>
      <c r="D240" s="3516"/>
      <c r="E240" s="3516"/>
      <c r="F240" s="3516"/>
      <c r="G240" s="3516"/>
      <c r="H240" s="3516"/>
      <c r="I240" s="3516"/>
      <c r="J240" s="3516"/>
      <c r="K240" s="3517"/>
      <c r="L240" s="3518"/>
      <c r="M240" s="3516"/>
      <c r="N240" s="3516"/>
      <c r="O240" s="3516"/>
      <c r="P240" s="3516"/>
      <c r="Q240" s="3516"/>
      <c r="R240" s="3516"/>
      <c r="S240" s="3516"/>
      <c r="T240" s="3516"/>
      <c r="U240" s="3516"/>
      <c r="V240" s="3516"/>
      <c r="W240" s="3516"/>
      <c r="X240" s="3516"/>
      <c r="Y240" s="3516"/>
      <c r="Z240" s="3516"/>
      <c r="AA240" s="3516"/>
      <c r="AB240" s="3516"/>
      <c r="AC240" s="3516"/>
    </row>
    <row r="241" spans="1:29">
      <c r="A241" s="3516"/>
      <c r="B241" s="3516"/>
      <c r="C241" s="3516"/>
      <c r="D241" s="3516"/>
      <c r="E241" s="3516"/>
      <c r="F241" s="3516"/>
      <c r="G241" s="3516"/>
      <c r="H241" s="3516"/>
      <c r="I241" s="3516"/>
      <c r="J241" s="3516"/>
      <c r="K241" s="3517"/>
      <c r="L241" s="3518"/>
      <c r="M241" s="3516"/>
      <c r="N241" s="3516"/>
      <c r="O241" s="3516"/>
      <c r="P241" s="3516"/>
      <c r="Q241" s="3516"/>
      <c r="R241" s="3516"/>
      <c r="S241" s="3516"/>
      <c r="T241" s="3516"/>
      <c r="U241" s="3516"/>
      <c r="V241" s="3516"/>
      <c r="W241" s="3516"/>
      <c r="X241" s="3516"/>
      <c r="Y241" s="3516"/>
      <c r="Z241" s="3516"/>
      <c r="AA241" s="3516"/>
      <c r="AB241" s="3516"/>
      <c r="AC241" s="3516"/>
    </row>
    <row r="242" spans="1:29">
      <c r="A242" s="3516"/>
      <c r="B242" s="3516"/>
      <c r="C242" s="3516"/>
      <c r="D242" s="3516"/>
      <c r="E242" s="3516"/>
      <c r="F242" s="3516"/>
      <c r="G242" s="3516"/>
      <c r="H242" s="3516"/>
      <c r="I242" s="3516"/>
      <c r="J242" s="3516"/>
      <c r="K242" s="3517"/>
      <c r="L242" s="3518"/>
      <c r="M242" s="3516"/>
      <c r="N242" s="3516"/>
      <c r="O242" s="3516"/>
      <c r="P242" s="3516"/>
      <c r="Q242" s="3516"/>
      <c r="R242" s="3516"/>
      <c r="S242" s="3516"/>
      <c r="T242" s="3516"/>
      <c r="U242" s="3516"/>
      <c r="V242" s="3516"/>
      <c r="W242" s="3516"/>
      <c r="X242" s="3516"/>
      <c r="Y242" s="3516"/>
      <c r="Z242" s="3516"/>
      <c r="AA242" s="3516"/>
      <c r="AB242" s="3516"/>
      <c r="AC242" s="3516"/>
    </row>
    <row r="243" spans="1:29">
      <c r="A243" s="3516"/>
      <c r="B243" s="3516"/>
      <c r="C243" s="3516"/>
      <c r="D243" s="3516"/>
      <c r="E243" s="3516"/>
      <c r="F243" s="3516"/>
      <c r="G243" s="3516"/>
      <c r="H243" s="3516"/>
      <c r="I243" s="3516"/>
      <c r="J243" s="3516"/>
      <c r="K243" s="3517"/>
      <c r="L243" s="3518"/>
      <c r="M243" s="3516"/>
      <c r="N243" s="3516"/>
      <c r="O243" s="3516"/>
      <c r="P243" s="3516"/>
      <c r="Q243" s="3516"/>
      <c r="R243" s="3516"/>
      <c r="S243" s="3516"/>
      <c r="T243" s="3516"/>
      <c r="U243" s="3516"/>
      <c r="V243" s="3516"/>
      <c r="W243" s="3516"/>
      <c r="X243" s="3516"/>
      <c r="Y243" s="3516"/>
      <c r="Z243" s="3516"/>
      <c r="AA243" s="3516"/>
      <c r="AB243" s="3516"/>
      <c r="AC243" s="3516"/>
    </row>
    <row r="244" spans="1:29">
      <c r="A244" s="3516"/>
      <c r="B244" s="3516"/>
      <c r="C244" s="3516"/>
      <c r="D244" s="3516"/>
      <c r="E244" s="3516"/>
      <c r="F244" s="3516"/>
      <c r="G244" s="3516"/>
      <c r="H244" s="3516"/>
      <c r="I244" s="3516"/>
      <c r="J244" s="3516"/>
      <c r="K244" s="3517"/>
      <c r="L244" s="3518"/>
      <c r="M244" s="3516"/>
      <c r="N244" s="3516"/>
      <c r="O244" s="3516"/>
      <c r="P244" s="3516"/>
      <c r="Q244" s="3516"/>
      <c r="R244" s="3516"/>
      <c r="S244" s="3516"/>
      <c r="T244" s="3516"/>
      <c r="U244" s="3516"/>
      <c r="V244" s="3516"/>
      <c r="W244" s="3516"/>
      <c r="X244" s="3516"/>
      <c r="Y244" s="3516"/>
      <c r="Z244" s="3516"/>
      <c r="AA244" s="3516"/>
      <c r="AB244" s="3516"/>
      <c r="AC244" s="3516"/>
    </row>
    <row r="245" spans="1:29">
      <c r="A245" s="3516"/>
      <c r="B245" s="3516"/>
      <c r="C245" s="3516"/>
      <c r="D245" s="3516"/>
      <c r="E245" s="3516"/>
      <c r="F245" s="3516"/>
      <c r="G245" s="3516"/>
      <c r="H245" s="3516"/>
      <c r="I245" s="3516"/>
      <c r="J245" s="3516"/>
      <c r="K245" s="3517"/>
      <c r="L245" s="3518"/>
      <c r="M245" s="3516"/>
      <c r="N245" s="3516"/>
      <c r="O245" s="3516"/>
      <c r="P245" s="3516"/>
      <c r="Q245" s="3516"/>
      <c r="R245" s="3516"/>
      <c r="S245" s="3516"/>
      <c r="T245" s="3516"/>
      <c r="U245" s="3516"/>
      <c r="V245" s="3516"/>
      <c r="W245" s="3516"/>
      <c r="X245" s="3516"/>
      <c r="Y245" s="3516"/>
      <c r="Z245" s="3516"/>
      <c r="AA245" s="3516"/>
      <c r="AB245" s="3516"/>
      <c r="AC245" s="3516"/>
    </row>
    <row r="246" spans="1:29">
      <c r="A246" s="3516"/>
      <c r="B246" s="3516"/>
      <c r="C246" s="3516"/>
      <c r="D246" s="3516"/>
      <c r="E246" s="3516"/>
      <c r="F246" s="3516"/>
      <c r="G246" s="3516"/>
      <c r="H246" s="3516"/>
      <c r="I246" s="3516"/>
      <c r="J246" s="3516"/>
      <c r="K246" s="3517"/>
      <c r="L246" s="3518"/>
      <c r="M246" s="3516"/>
      <c r="N246" s="3516"/>
      <c r="O246" s="3516"/>
      <c r="P246" s="3516"/>
      <c r="Q246" s="3516"/>
      <c r="R246" s="3516"/>
      <c r="S246" s="3516"/>
      <c r="T246" s="3516"/>
      <c r="U246" s="3516"/>
      <c r="V246" s="3516"/>
      <c r="W246" s="3516"/>
      <c r="X246" s="3516"/>
      <c r="Y246" s="3516"/>
      <c r="Z246" s="3516"/>
      <c r="AA246" s="3516"/>
      <c r="AB246" s="3516"/>
      <c r="AC246" s="3516"/>
    </row>
    <row r="247" spans="1:29">
      <c r="A247" s="3516"/>
      <c r="B247" s="3516"/>
      <c r="C247" s="3516"/>
      <c r="D247" s="3516"/>
      <c r="E247" s="3516"/>
      <c r="F247" s="3516"/>
      <c r="G247" s="3516"/>
      <c r="H247" s="3516"/>
      <c r="I247" s="3516"/>
      <c r="J247" s="3516"/>
      <c r="K247" s="3517"/>
      <c r="L247" s="3518"/>
      <c r="M247" s="3516"/>
      <c r="N247" s="3516"/>
      <c r="O247" s="3516"/>
      <c r="P247" s="3516"/>
      <c r="Q247" s="3516"/>
      <c r="R247" s="3516"/>
      <c r="S247" s="3516"/>
      <c r="T247" s="3516"/>
      <c r="U247" s="3516"/>
      <c r="V247" s="3516"/>
      <c r="W247" s="3516"/>
      <c r="X247" s="3516"/>
      <c r="Y247" s="3516"/>
      <c r="Z247" s="3516"/>
      <c r="AA247" s="3516"/>
      <c r="AB247" s="3516"/>
      <c r="AC247" s="3516"/>
    </row>
    <row r="248" spans="1:29">
      <c r="A248" s="3516"/>
      <c r="B248" s="3516"/>
      <c r="C248" s="3516"/>
      <c r="D248" s="3516"/>
      <c r="E248" s="3516"/>
      <c r="F248" s="3516"/>
      <c r="G248" s="3516"/>
      <c r="H248" s="3516"/>
      <c r="I248" s="3516"/>
      <c r="J248" s="3516"/>
      <c r="K248" s="3517"/>
      <c r="L248" s="3518"/>
      <c r="M248" s="3516"/>
      <c r="N248" s="3516"/>
      <c r="O248" s="3516"/>
      <c r="P248" s="3516"/>
      <c r="Q248" s="3516"/>
      <c r="R248" s="3516"/>
      <c r="S248" s="3516"/>
      <c r="T248" s="3516"/>
      <c r="U248" s="3516"/>
      <c r="V248" s="3516"/>
      <c r="W248" s="3516"/>
      <c r="X248" s="3516"/>
      <c r="Y248" s="3516"/>
      <c r="Z248" s="3516"/>
      <c r="AA248" s="3516"/>
      <c r="AB248" s="3516"/>
      <c r="AC248" s="3516"/>
    </row>
    <row r="249" spans="1:29">
      <c r="A249" s="3516"/>
      <c r="B249" s="3516"/>
      <c r="C249" s="3516"/>
      <c r="D249" s="3516"/>
      <c r="E249" s="3516"/>
      <c r="F249" s="3516"/>
      <c r="G249" s="3516"/>
      <c r="H249" s="3516"/>
      <c r="I249" s="3516"/>
      <c r="J249" s="3516"/>
      <c r="K249" s="3517"/>
      <c r="L249" s="3518"/>
      <c r="M249" s="3516"/>
      <c r="N249" s="3516"/>
      <c r="O249" s="3516"/>
      <c r="P249" s="3516"/>
      <c r="Q249" s="3516"/>
      <c r="R249" s="3516"/>
      <c r="S249" s="3516"/>
      <c r="T249" s="3516"/>
      <c r="U249" s="3516"/>
      <c r="V249" s="3516"/>
      <c r="W249" s="3516"/>
      <c r="X249" s="3516"/>
      <c r="Y249" s="3516"/>
      <c r="Z249" s="3516"/>
      <c r="AA249" s="3516"/>
      <c r="AB249" s="3516"/>
      <c r="AC249" s="3516"/>
    </row>
    <row r="250" spans="1:29">
      <c r="A250" s="3516"/>
      <c r="B250" s="3516"/>
      <c r="C250" s="3516"/>
      <c r="D250" s="3516"/>
      <c r="E250" s="3516"/>
      <c r="F250" s="3516"/>
      <c r="G250" s="3516"/>
      <c r="H250" s="3516"/>
      <c r="I250" s="3516"/>
      <c r="J250" s="3516"/>
      <c r="K250" s="3517"/>
      <c r="L250" s="3518"/>
      <c r="M250" s="3516"/>
      <c r="N250" s="3516"/>
      <c r="O250" s="3516"/>
      <c r="P250" s="3516"/>
      <c r="Q250" s="3516"/>
      <c r="R250" s="3516"/>
      <c r="S250" s="3516"/>
      <c r="T250" s="3516"/>
      <c r="U250" s="3516"/>
      <c r="V250" s="3516"/>
      <c r="W250" s="3516"/>
      <c r="X250" s="3516"/>
      <c r="Y250" s="3516"/>
      <c r="Z250" s="3516"/>
      <c r="AA250" s="3516"/>
      <c r="AB250" s="3516"/>
      <c r="AC250" s="3516"/>
    </row>
    <row r="251" spans="1:29">
      <c r="A251" s="3516"/>
      <c r="B251" s="3516"/>
      <c r="C251" s="3516"/>
      <c r="D251" s="3516"/>
      <c r="E251" s="3516"/>
      <c r="F251" s="3516"/>
      <c r="G251" s="3516"/>
      <c r="H251" s="3516"/>
      <c r="I251" s="3516"/>
      <c r="J251" s="3516"/>
      <c r="K251" s="3517"/>
      <c r="L251" s="3518"/>
      <c r="M251" s="3516"/>
      <c r="N251" s="3516"/>
      <c r="O251" s="3516"/>
      <c r="P251" s="3516"/>
      <c r="Q251" s="3516"/>
      <c r="R251" s="3516"/>
      <c r="S251" s="3516"/>
      <c r="T251" s="3516"/>
      <c r="U251" s="3516"/>
      <c r="V251" s="3516"/>
      <c r="W251" s="3516"/>
      <c r="X251" s="3516"/>
      <c r="Y251" s="3516"/>
      <c r="Z251" s="3516"/>
      <c r="AA251" s="3516"/>
      <c r="AB251" s="3516"/>
      <c r="AC251" s="3516"/>
    </row>
    <row r="252" spans="1:29">
      <c r="A252" s="3516"/>
      <c r="B252" s="3516"/>
      <c r="C252" s="3516"/>
      <c r="D252" s="3516"/>
      <c r="E252" s="3516"/>
      <c r="F252" s="3516"/>
      <c r="G252" s="3516"/>
      <c r="H252" s="3516"/>
      <c r="I252" s="3516"/>
      <c r="J252" s="3516"/>
      <c r="K252" s="3517"/>
      <c r="L252" s="3518"/>
      <c r="M252" s="3516"/>
      <c r="N252" s="3516"/>
      <c r="O252" s="3516"/>
      <c r="P252" s="3516"/>
      <c r="Q252" s="3516"/>
      <c r="R252" s="3516"/>
      <c r="S252" s="3516"/>
      <c r="T252" s="3516"/>
      <c r="U252" s="3516"/>
      <c r="V252" s="3516"/>
      <c r="W252" s="3516"/>
      <c r="X252" s="3516"/>
      <c r="Y252" s="3516"/>
      <c r="Z252" s="3516"/>
      <c r="AA252" s="3516"/>
      <c r="AB252" s="3516"/>
      <c r="AC252" s="3516"/>
    </row>
    <row r="253" spans="1:29">
      <c r="A253" s="3516"/>
      <c r="B253" s="3516"/>
      <c r="C253" s="3516"/>
      <c r="D253" s="3516"/>
      <c r="E253" s="3516"/>
      <c r="F253" s="3516"/>
      <c r="G253" s="3516"/>
      <c r="H253" s="3516"/>
      <c r="I253" s="3516"/>
      <c r="J253" s="3516"/>
      <c r="K253" s="3517"/>
      <c r="L253" s="3518"/>
      <c r="M253" s="3516"/>
      <c r="N253" s="3516"/>
      <c r="O253" s="3516"/>
      <c r="P253" s="3516"/>
      <c r="Q253" s="3516"/>
      <c r="R253" s="3516"/>
      <c r="S253" s="3516"/>
      <c r="T253" s="3516"/>
      <c r="U253" s="3516"/>
      <c r="V253" s="3516"/>
      <c r="W253" s="3516"/>
      <c r="X253" s="3516"/>
      <c r="Y253" s="3516"/>
      <c r="Z253" s="3516"/>
      <c r="AA253" s="3516"/>
      <c r="AB253" s="3516"/>
      <c r="AC253" s="3516"/>
    </row>
    <row r="254" spans="1:29">
      <c r="A254" s="3516"/>
      <c r="B254" s="3516"/>
      <c r="C254" s="3516"/>
      <c r="D254" s="3516"/>
      <c r="E254" s="3516"/>
      <c r="F254" s="3516"/>
      <c r="G254" s="3516"/>
      <c r="H254" s="3516"/>
      <c r="I254" s="3516"/>
      <c r="J254" s="3516"/>
      <c r="K254" s="3517"/>
      <c r="L254" s="3518"/>
      <c r="M254" s="3516"/>
      <c r="N254" s="3516"/>
      <c r="O254" s="3516"/>
      <c r="P254" s="3516"/>
      <c r="Q254" s="3516"/>
      <c r="R254" s="3516"/>
      <c r="S254" s="3516"/>
      <c r="T254" s="3516"/>
      <c r="U254" s="3516"/>
      <c r="V254" s="3516"/>
      <c r="W254" s="3516"/>
      <c r="X254" s="3516"/>
      <c r="Y254" s="3516"/>
      <c r="Z254" s="3516"/>
      <c r="AA254" s="3516"/>
      <c r="AB254" s="3516"/>
      <c r="AC254" s="3516"/>
    </row>
    <row r="255" spans="1:29">
      <c r="A255" s="3516"/>
      <c r="B255" s="3516"/>
      <c r="C255" s="3516"/>
      <c r="D255" s="3516"/>
      <c r="E255" s="3516"/>
      <c r="F255" s="3516"/>
      <c r="G255" s="3516"/>
      <c r="H255" s="3516"/>
      <c r="I255" s="3516"/>
      <c r="J255" s="3516"/>
      <c r="K255" s="3517"/>
      <c r="L255" s="3518"/>
      <c r="M255" s="3516"/>
      <c r="N255" s="3516"/>
      <c r="O255" s="3516"/>
      <c r="P255" s="3516"/>
      <c r="Q255" s="3516"/>
      <c r="R255" s="3516"/>
      <c r="S255" s="3516"/>
      <c r="T255" s="3516"/>
      <c r="U255" s="3516"/>
      <c r="V255" s="3516"/>
      <c r="W255" s="3516"/>
      <c r="X255" s="3516"/>
      <c r="Y255" s="3516"/>
      <c r="Z255" s="3516"/>
      <c r="AA255" s="3516"/>
      <c r="AB255" s="3516"/>
      <c r="AC255" s="3516"/>
    </row>
    <row r="256" spans="1:29">
      <c r="A256" s="3516"/>
      <c r="B256" s="3516"/>
      <c r="C256" s="3516"/>
      <c r="D256" s="3516"/>
      <c r="E256" s="3516"/>
      <c r="F256" s="3516"/>
      <c r="G256" s="3516"/>
      <c r="H256" s="3516"/>
      <c r="I256" s="3516"/>
      <c r="J256" s="3516"/>
      <c r="K256" s="3517"/>
      <c r="L256" s="3518"/>
      <c r="M256" s="3516"/>
      <c r="N256" s="3516"/>
      <c r="O256" s="3516"/>
      <c r="P256" s="3516"/>
      <c r="Q256" s="3516"/>
      <c r="R256" s="3516"/>
      <c r="S256" s="3516"/>
      <c r="T256" s="3516"/>
      <c r="U256" s="3516"/>
      <c r="V256" s="3516"/>
      <c r="W256" s="3516"/>
      <c r="X256" s="3516"/>
      <c r="Y256" s="3516"/>
      <c r="Z256" s="3516"/>
      <c r="AA256" s="3516"/>
      <c r="AB256" s="3516"/>
      <c r="AC256" s="3516"/>
    </row>
    <row r="257" spans="1:29">
      <c r="A257" s="3516"/>
      <c r="B257" s="3516"/>
      <c r="C257" s="3516"/>
      <c r="D257" s="3516"/>
      <c r="E257" s="3516"/>
      <c r="F257" s="3516"/>
      <c r="G257" s="3516"/>
      <c r="H257" s="3516"/>
      <c r="I257" s="3516"/>
      <c r="J257" s="3516"/>
      <c r="K257" s="3517"/>
      <c r="L257" s="3518"/>
      <c r="M257" s="3516"/>
      <c r="N257" s="3516"/>
      <c r="O257" s="3516"/>
      <c r="P257" s="3516"/>
      <c r="Q257" s="3516"/>
      <c r="R257" s="3516"/>
      <c r="S257" s="3516"/>
      <c r="T257" s="3516"/>
      <c r="U257" s="3516"/>
      <c r="V257" s="3516"/>
      <c r="W257" s="3516"/>
      <c r="X257" s="3516"/>
      <c r="Y257" s="3516"/>
      <c r="Z257" s="3516"/>
      <c r="AA257" s="3516"/>
      <c r="AB257" s="3516"/>
      <c r="AC257" s="3516"/>
    </row>
    <row r="258" spans="1:29">
      <c r="A258" s="3516"/>
      <c r="B258" s="3516"/>
      <c r="C258" s="3516"/>
      <c r="D258" s="3516"/>
      <c r="E258" s="3516"/>
      <c r="F258" s="3516"/>
      <c r="G258" s="3516"/>
      <c r="H258" s="3516"/>
      <c r="I258" s="3516"/>
      <c r="J258" s="3516"/>
      <c r="K258" s="3517"/>
      <c r="L258" s="3518"/>
      <c r="M258" s="3516"/>
      <c r="N258" s="3516"/>
      <c r="O258" s="3516"/>
      <c r="P258" s="3516"/>
      <c r="Q258" s="3516"/>
      <c r="R258" s="3516"/>
      <c r="S258" s="3516"/>
      <c r="T258" s="3516"/>
      <c r="U258" s="3516"/>
      <c r="V258" s="3516"/>
      <c r="W258" s="3516"/>
      <c r="X258" s="3516"/>
      <c r="Y258" s="3516"/>
      <c r="Z258" s="3516"/>
      <c r="AA258" s="3516"/>
      <c r="AB258" s="3516"/>
      <c r="AC258" s="3516"/>
    </row>
    <row r="259" spans="1:29">
      <c r="A259" s="3516"/>
      <c r="B259" s="3516"/>
      <c r="C259" s="3516"/>
      <c r="D259" s="3516"/>
      <c r="E259" s="3516"/>
      <c r="F259" s="3516"/>
      <c r="G259" s="3516"/>
      <c r="H259" s="3516"/>
      <c r="I259" s="3516"/>
      <c r="J259" s="3516"/>
      <c r="K259" s="3517"/>
      <c r="L259" s="3518"/>
      <c r="M259" s="3516"/>
      <c r="N259" s="3516"/>
      <c r="O259" s="3516"/>
      <c r="P259" s="3516"/>
      <c r="Q259" s="3516"/>
      <c r="R259" s="3516"/>
      <c r="S259" s="3516"/>
      <c r="T259" s="3516"/>
      <c r="U259" s="3516"/>
      <c r="V259" s="3516"/>
      <c r="W259" s="3516"/>
      <c r="X259" s="3516"/>
      <c r="Y259" s="3516"/>
      <c r="Z259" s="3516"/>
      <c r="AA259" s="3516"/>
      <c r="AB259" s="3516"/>
      <c r="AC259" s="3516"/>
    </row>
    <row r="260" spans="1:29">
      <c r="A260" s="3516"/>
      <c r="B260" s="3516"/>
      <c r="C260" s="3516"/>
      <c r="D260" s="3516"/>
      <c r="E260" s="3516"/>
      <c r="F260" s="3516"/>
      <c r="G260" s="3516"/>
      <c r="H260" s="3516"/>
      <c r="I260" s="3516"/>
      <c r="J260" s="3516"/>
      <c r="K260" s="3517"/>
      <c r="L260" s="3518"/>
      <c r="M260" s="3516"/>
      <c r="N260" s="3516"/>
      <c r="O260" s="3516"/>
      <c r="P260" s="3516"/>
      <c r="Q260" s="3516"/>
      <c r="R260" s="3516"/>
      <c r="S260" s="3516"/>
      <c r="T260" s="3516"/>
      <c r="U260" s="3516"/>
      <c r="V260" s="3516"/>
      <c r="W260" s="3516"/>
      <c r="X260" s="3516"/>
      <c r="Y260" s="3516"/>
      <c r="Z260" s="3516"/>
      <c r="AA260" s="3516"/>
      <c r="AB260" s="3516"/>
      <c r="AC260" s="3516"/>
    </row>
    <row r="261" spans="1:29">
      <c r="A261" s="3516"/>
      <c r="B261" s="3516"/>
      <c r="C261" s="3516"/>
      <c r="D261" s="3516"/>
      <c r="E261" s="3516"/>
      <c r="F261" s="3516"/>
      <c r="G261" s="3516"/>
      <c r="H261" s="3516"/>
      <c r="I261" s="3516"/>
      <c r="J261" s="3516"/>
      <c r="K261" s="3517"/>
      <c r="L261" s="3518"/>
      <c r="M261" s="3516"/>
      <c r="N261" s="3516"/>
      <c r="O261" s="3516"/>
      <c r="P261" s="3516"/>
      <c r="Q261" s="3516"/>
      <c r="R261" s="3516"/>
      <c r="S261" s="3516"/>
      <c r="T261" s="3516"/>
      <c r="U261" s="3516"/>
      <c r="V261" s="3516"/>
      <c r="W261" s="3516"/>
      <c r="X261" s="3516"/>
      <c r="Y261" s="3516"/>
      <c r="Z261" s="3516"/>
      <c r="AA261" s="3516"/>
      <c r="AB261" s="3516"/>
      <c r="AC261" s="3516"/>
    </row>
    <row r="262" spans="1:29">
      <c r="A262" s="3516"/>
      <c r="B262" s="3516"/>
      <c r="C262" s="3516"/>
      <c r="D262" s="3516"/>
      <c r="E262" s="3516"/>
      <c r="F262" s="3516"/>
      <c r="G262" s="3516"/>
      <c r="H262" s="3516"/>
      <c r="I262" s="3516"/>
      <c r="J262" s="3516"/>
      <c r="K262" s="3517"/>
      <c r="L262" s="3518"/>
      <c r="M262" s="3516"/>
      <c r="N262" s="3516"/>
      <c r="O262" s="3516"/>
      <c r="P262" s="3516"/>
      <c r="Q262" s="3516"/>
      <c r="R262" s="3516"/>
      <c r="S262" s="3516"/>
      <c r="T262" s="3516"/>
      <c r="U262" s="3516"/>
      <c r="V262" s="3516"/>
      <c r="W262" s="3516"/>
      <c r="X262" s="3516"/>
      <c r="Y262" s="3516"/>
      <c r="Z262" s="3516"/>
      <c r="AA262" s="3516"/>
      <c r="AB262" s="3516"/>
      <c r="AC262" s="3516"/>
    </row>
    <row r="263" spans="1:29">
      <c r="A263" s="3516"/>
      <c r="B263" s="3516"/>
      <c r="C263" s="3516"/>
      <c r="D263" s="3516"/>
      <c r="E263" s="3516"/>
      <c r="F263" s="3516"/>
      <c r="G263" s="3516"/>
      <c r="H263" s="3516"/>
      <c r="I263" s="3516"/>
      <c r="J263" s="3516"/>
      <c r="K263" s="3517"/>
      <c r="L263" s="3518"/>
      <c r="M263" s="3516"/>
      <c r="N263" s="3516"/>
      <c r="O263" s="3516"/>
      <c r="P263" s="3516"/>
      <c r="Q263" s="3516"/>
      <c r="R263" s="3516"/>
      <c r="S263" s="3516"/>
      <c r="T263" s="3516"/>
      <c r="U263" s="3516"/>
      <c r="V263" s="3516"/>
      <c r="W263" s="3516"/>
      <c r="X263" s="3516"/>
      <c r="Y263" s="3516"/>
      <c r="Z263" s="3516"/>
      <c r="AA263" s="3516"/>
      <c r="AB263" s="3516"/>
      <c r="AC263" s="3516"/>
    </row>
    <row r="264" spans="1:29">
      <c r="A264" s="3516"/>
      <c r="B264" s="3516"/>
      <c r="C264" s="3516"/>
      <c r="D264" s="3516"/>
      <c r="E264" s="3516"/>
      <c r="F264" s="3516"/>
      <c r="G264" s="3516"/>
      <c r="H264" s="3516"/>
      <c r="I264" s="3516"/>
      <c r="J264" s="3516"/>
      <c r="K264" s="3517"/>
      <c r="L264" s="3518"/>
      <c r="M264" s="3516"/>
      <c r="N264" s="3516"/>
      <c r="O264" s="3516"/>
      <c r="P264" s="3516"/>
      <c r="Q264" s="3516"/>
      <c r="R264" s="3516"/>
      <c r="S264" s="3516"/>
      <c r="T264" s="3516"/>
      <c r="U264" s="3516"/>
      <c r="V264" s="3516"/>
      <c r="W264" s="3516"/>
      <c r="X264" s="3516"/>
      <c r="Y264" s="3516"/>
      <c r="Z264" s="3516"/>
      <c r="AA264" s="3516"/>
      <c r="AB264" s="3516"/>
      <c r="AC264" s="3516"/>
    </row>
    <row r="265" spans="1:29">
      <c r="A265" s="3516"/>
      <c r="B265" s="3516"/>
      <c r="C265" s="3516"/>
      <c r="D265" s="3516"/>
      <c r="E265" s="3516"/>
      <c r="F265" s="3516"/>
      <c r="G265" s="3516"/>
      <c r="H265" s="3516"/>
      <c r="I265" s="3516"/>
      <c r="J265" s="3516"/>
      <c r="K265" s="3517"/>
      <c r="L265" s="3518"/>
      <c r="M265" s="3516"/>
      <c r="N265" s="3516"/>
      <c r="O265" s="3516"/>
      <c r="P265" s="3516"/>
      <c r="Q265" s="3516"/>
      <c r="R265" s="3516"/>
      <c r="S265" s="3516"/>
      <c r="T265" s="3516"/>
      <c r="U265" s="3516"/>
      <c r="V265" s="3516"/>
      <c r="W265" s="3516"/>
      <c r="X265" s="3516"/>
      <c r="Y265" s="3516"/>
      <c r="Z265" s="3516"/>
      <c r="AA265" s="3516"/>
      <c r="AB265" s="3516"/>
      <c r="AC265" s="3516"/>
    </row>
    <row r="266" spans="1:29">
      <c r="A266" s="3516"/>
      <c r="B266" s="3516"/>
      <c r="C266" s="3516"/>
      <c r="D266" s="3516"/>
      <c r="E266" s="3516"/>
      <c r="F266" s="3516"/>
      <c r="G266" s="3516"/>
      <c r="H266" s="3516"/>
      <c r="I266" s="3516"/>
      <c r="J266" s="3516"/>
      <c r="K266" s="3517"/>
      <c r="L266" s="3518"/>
      <c r="M266" s="3516"/>
      <c r="N266" s="3516"/>
      <c r="O266" s="3516"/>
      <c r="P266" s="3516"/>
      <c r="Q266" s="3516"/>
      <c r="R266" s="3516"/>
      <c r="S266" s="3516"/>
      <c r="T266" s="3516"/>
      <c r="U266" s="3516"/>
      <c r="V266" s="3516"/>
      <c r="W266" s="3516"/>
      <c r="X266" s="3516"/>
      <c r="Y266" s="3516"/>
      <c r="Z266" s="3516"/>
      <c r="AA266" s="3516"/>
      <c r="AB266" s="3516"/>
      <c r="AC266" s="3516"/>
    </row>
    <row r="267" spans="1:29">
      <c r="A267" s="3516"/>
      <c r="B267" s="3516"/>
      <c r="C267" s="3516"/>
      <c r="D267" s="3516"/>
      <c r="E267" s="3516"/>
      <c r="F267" s="3516"/>
      <c r="G267" s="3516"/>
      <c r="H267" s="3516"/>
      <c r="I267" s="3516"/>
      <c r="J267" s="3516"/>
      <c r="K267" s="3517"/>
      <c r="L267" s="3518"/>
      <c r="M267" s="3516"/>
      <c r="N267" s="3516"/>
      <c r="O267" s="3516"/>
      <c r="P267" s="3516"/>
      <c r="Q267" s="3516"/>
      <c r="R267" s="3516"/>
      <c r="S267" s="3516"/>
      <c r="T267" s="3516"/>
      <c r="U267" s="3516"/>
      <c r="V267" s="3516"/>
      <c r="W267" s="3516"/>
      <c r="X267" s="3516"/>
      <c r="Y267" s="3516"/>
      <c r="Z267" s="3516"/>
      <c r="AA267" s="3516"/>
      <c r="AB267" s="3516"/>
      <c r="AC267" s="3516"/>
    </row>
    <row r="268" spans="1:29">
      <c r="A268" s="3516"/>
      <c r="B268" s="3516"/>
      <c r="C268" s="3516"/>
      <c r="D268" s="3516"/>
      <c r="E268" s="3516"/>
      <c r="F268" s="3516"/>
      <c r="G268" s="3516"/>
      <c r="H268" s="3516"/>
      <c r="I268" s="3516"/>
      <c r="J268" s="3516"/>
      <c r="K268" s="3517"/>
      <c r="L268" s="3518"/>
      <c r="M268" s="3516"/>
      <c r="N268" s="3516"/>
      <c r="O268" s="3516"/>
      <c r="P268" s="3516"/>
      <c r="Q268" s="3516"/>
      <c r="R268" s="3516"/>
      <c r="S268" s="3516"/>
      <c r="T268" s="3516"/>
      <c r="U268" s="3516"/>
      <c r="V268" s="3516"/>
      <c r="W268" s="3516"/>
      <c r="X268" s="3516"/>
      <c r="Y268" s="3516"/>
      <c r="Z268" s="3516"/>
      <c r="AA268" s="3516"/>
      <c r="AB268" s="3516"/>
      <c r="AC268" s="3516"/>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C24 C16">
      <formula1>交通便捷度</formula1>
    </dataValidation>
    <dataValidation type="list" allowBlank="1" showInputMessage="1" showErrorMessage="1" sqref="E16 G16 I16">
      <formula1>居住社区成熟度</formula1>
    </dataValidation>
    <dataValidation type="list" allowBlank="1" showInputMessage="1" showErrorMessage="1" sqref="E24 G24 I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65690.73</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58" t="s">
        <v>522</v>
      </c>
      <c r="D4" s="3759"/>
      <c r="E4" s="3792" t="s">
        <v>523</v>
      </c>
      <c r="F4" s="3793"/>
      <c r="G4" s="3758" t="s">
        <v>524</v>
      </c>
      <c r="H4" s="3759"/>
      <c r="I4" s="3758" t="s">
        <v>525</v>
      </c>
      <c r="J4" s="3759"/>
      <c r="K4" s="853" t="s">
        <v>526</v>
      </c>
      <c r="L4" s="2133"/>
      <c r="M4" s="2134"/>
      <c r="N4" s="2134"/>
      <c r="O4" s="2134"/>
      <c r="P4" s="3760" t="s">
        <v>527</v>
      </c>
      <c r="Q4" s="3761"/>
      <c r="R4" s="3766" t="s">
        <v>523</v>
      </c>
      <c r="S4" s="3767"/>
      <c r="T4" s="3766" t="s">
        <v>524</v>
      </c>
      <c r="U4" s="3767"/>
      <c r="V4" s="3753" t="s">
        <v>525</v>
      </c>
      <c r="W4" s="3753"/>
      <c r="X4" s="1568"/>
      <c r="Y4" s="3766" t="s">
        <v>527</v>
      </c>
      <c r="Z4" s="3767"/>
      <c r="AA4" s="3755" t="s">
        <v>523</v>
      </c>
      <c r="AB4" s="3755" t="s">
        <v>524</v>
      </c>
      <c r="AC4" s="3755" t="s">
        <v>525</v>
      </c>
    </row>
    <row r="5" spans="1:29" ht="15">
      <c r="A5" s="515"/>
      <c r="B5" s="516"/>
      <c r="C5" s="3774" t="s">
        <v>2929</v>
      </c>
      <c r="D5" s="3775"/>
      <c r="E5" s="3912" t="s">
        <v>3015</v>
      </c>
      <c r="F5" s="3795"/>
      <c r="G5" s="3911" t="s">
        <v>3016</v>
      </c>
      <c r="H5" s="3775"/>
      <c r="I5" s="3911" t="s">
        <v>3017</v>
      </c>
      <c r="J5" s="3775"/>
      <c r="K5" s="854"/>
      <c r="L5" s="2133"/>
      <c r="M5" s="2134"/>
      <c r="N5" s="2134"/>
      <c r="O5" s="2134"/>
      <c r="P5" s="3762"/>
      <c r="Q5" s="3763"/>
      <c r="R5" s="3768"/>
      <c r="S5" s="3769"/>
      <c r="T5" s="3768"/>
      <c r="U5" s="3769"/>
      <c r="V5" s="3753"/>
      <c r="W5" s="3753"/>
      <c r="X5" s="1568"/>
      <c r="Y5" s="3768"/>
      <c r="Z5" s="3769"/>
      <c r="AA5" s="3756"/>
      <c r="AB5" s="3756"/>
      <c r="AC5" s="3756"/>
    </row>
    <row r="6" spans="1:29" ht="15.75" thickBot="1">
      <c r="A6" s="517"/>
      <c r="B6" s="518"/>
      <c r="C6" s="3772" t="s">
        <v>2933</v>
      </c>
      <c r="D6" s="3773"/>
      <c r="E6" s="3790" t="s">
        <v>2933</v>
      </c>
      <c r="F6" s="3791"/>
      <c r="G6" s="3772" t="s">
        <v>2933</v>
      </c>
      <c r="H6" s="3773"/>
      <c r="I6" s="3772" t="s">
        <v>2933</v>
      </c>
      <c r="J6" s="3773"/>
      <c r="K6" s="854" t="s">
        <v>528</v>
      </c>
      <c r="L6" s="2133"/>
      <c r="M6" s="2134"/>
      <c r="N6" s="2134"/>
      <c r="O6" s="2134"/>
      <c r="P6" s="3764"/>
      <c r="Q6" s="3765"/>
      <c r="R6" s="3768"/>
      <c r="S6" s="3769"/>
      <c r="T6" s="3770"/>
      <c r="U6" s="3771"/>
      <c r="V6" s="3753"/>
      <c r="W6" s="3753"/>
      <c r="X6" s="1568"/>
      <c r="Y6" s="3770"/>
      <c r="Z6" s="3771"/>
      <c r="AA6" s="3757"/>
      <c r="AB6" s="3757"/>
      <c r="AC6" s="3757"/>
    </row>
    <row r="7" spans="1:29" s="1220" customFormat="1" ht="15.75" thickBot="1">
      <c r="A7" s="2890"/>
      <c r="B7" s="2897" t="s">
        <v>529</v>
      </c>
      <c r="C7" s="519">
        <f>'数据-取费表'!B2</f>
        <v>43648</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83" t="s">
        <v>530</v>
      </c>
      <c r="Q7" s="3785"/>
      <c r="R7" s="1569" t="s">
        <v>13</v>
      </c>
      <c r="S7" s="1570">
        <f t="shared" ref="S7:S15" si="0">F7</f>
        <v>0</v>
      </c>
      <c r="T7" s="1569" t="s">
        <v>13</v>
      </c>
      <c r="U7" s="1570">
        <f t="shared" ref="U7:U15" si="1">H7</f>
        <v>0</v>
      </c>
      <c r="V7" s="1569" t="s">
        <v>13</v>
      </c>
      <c r="W7" s="1570">
        <f t="shared" ref="W7:W15" si="2">J7</f>
        <v>0</v>
      </c>
      <c r="X7" s="1571"/>
      <c r="Y7" s="3783" t="s">
        <v>530</v>
      </c>
      <c r="Z7" s="3784"/>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83" t="s">
        <v>533</v>
      </c>
      <c r="Q8" s="3784"/>
      <c r="R8" s="1569" t="s">
        <v>13</v>
      </c>
      <c r="S8" s="1570">
        <f t="shared" si="0"/>
        <v>100</v>
      </c>
      <c r="T8" s="1569" t="s">
        <v>13</v>
      </c>
      <c r="U8" s="1570">
        <f t="shared" si="1"/>
        <v>100</v>
      </c>
      <c r="V8" s="1569" t="s">
        <v>13</v>
      </c>
      <c r="W8" s="1570">
        <f t="shared" si="2"/>
        <v>100</v>
      </c>
      <c r="X8" s="1571"/>
      <c r="Y8" s="3783" t="s">
        <v>533</v>
      </c>
      <c r="Z8" s="3784"/>
      <c r="AA8" s="1572">
        <f t="shared" ref="AA8:AA46" si="3">D8/F8</f>
        <v>1</v>
      </c>
      <c r="AB8" s="1572">
        <f t="shared" ref="AB8:AB46" si="4">D8/H8</f>
        <v>1</v>
      </c>
      <c r="AC8" s="1572">
        <f t="shared" ref="AC8:AC46" si="5">D8/J8</f>
        <v>1</v>
      </c>
    </row>
    <row r="9" spans="1:29" s="1220" customFormat="1" ht="15">
      <c r="A9" s="2892"/>
      <c r="B9" s="2899" t="s">
        <v>2757</v>
      </c>
      <c r="C9" s="3178" t="s">
        <v>3022</v>
      </c>
      <c r="D9" s="254">
        <v>100</v>
      </c>
      <c r="E9" s="3178" t="s">
        <v>3022</v>
      </c>
      <c r="F9" s="859">
        <f>SUMIF(63:63,E9,64:64)-SUMIF(63:63,C9,64:64)+100</f>
        <v>100</v>
      </c>
      <c r="G9" s="3178" t="s">
        <v>3022</v>
      </c>
      <c r="H9" s="254">
        <f>SUMIF(63:63,G9,64:64)-SUMIF(63:63,C9,64:64)+100</f>
        <v>100</v>
      </c>
      <c r="I9" s="3178" t="s">
        <v>3022</v>
      </c>
      <c r="J9" s="254">
        <f>SUMIF(63:63,I9,64:64)-SUMIF(63:63,C9,64:64)+100</f>
        <v>100</v>
      </c>
      <c r="K9" s="855"/>
      <c r="L9" s="2135"/>
      <c r="M9" s="2136"/>
      <c r="N9" s="2136"/>
      <c r="O9" s="2137"/>
      <c r="P9" s="3752" t="s">
        <v>535</v>
      </c>
      <c r="Q9" s="1151" t="str">
        <f t="shared" ref="Q9:Q15" si="6">B9</f>
        <v>用途</v>
      </c>
      <c r="R9" s="1569" t="s">
        <v>8</v>
      </c>
      <c r="S9" s="1570">
        <f t="shared" si="0"/>
        <v>100</v>
      </c>
      <c r="T9" s="1569" t="s">
        <v>8</v>
      </c>
      <c r="U9" s="1570">
        <f t="shared" si="1"/>
        <v>100</v>
      </c>
      <c r="V9" s="1569" t="s">
        <v>8</v>
      </c>
      <c r="W9" s="1570">
        <f t="shared" si="2"/>
        <v>100</v>
      </c>
      <c r="X9" s="1571"/>
      <c r="Y9" s="3698" t="s">
        <v>536</v>
      </c>
      <c r="Z9" s="1150" t="str">
        <f t="shared" ref="Z9:Z15" si="7">Q9</f>
        <v>用途</v>
      </c>
      <c r="AA9" s="1572">
        <f t="shared" si="3"/>
        <v>1</v>
      </c>
      <c r="AB9" s="1572">
        <f t="shared" si="4"/>
        <v>1</v>
      </c>
      <c r="AC9" s="1572">
        <f t="shared" si="5"/>
        <v>1</v>
      </c>
    </row>
    <row r="10" spans="1:29" s="1338"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698"/>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52"/>
      <c r="Q11" s="1151" t="str">
        <f t="shared" si="6"/>
        <v>容积率</v>
      </c>
      <c r="R11" s="1569" t="s">
        <v>11</v>
      </c>
      <c r="S11" s="1570">
        <f t="shared" si="0"/>
        <v>104</v>
      </c>
      <c r="T11" s="1569" t="s">
        <v>11</v>
      </c>
      <c r="U11" s="1570">
        <f t="shared" si="1"/>
        <v>104</v>
      </c>
      <c r="V11" s="1569" t="s">
        <v>11</v>
      </c>
      <c r="W11" s="1570">
        <f t="shared" si="2"/>
        <v>102</v>
      </c>
      <c r="X11" s="1571"/>
      <c r="Y11" s="3698"/>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52"/>
      <c r="Q12" s="1151">
        <f t="shared" si="6"/>
        <v>111</v>
      </c>
      <c r="R12" s="1569" t="s">
        <v>11</v>
      </c>
      <c r="S12" s="1570">
        <f t="shared" si="0"/>
        <v>100</v>
      </c>
      <c r="T12" s="1569" t="s">
        <v>11</v>
      </c>
      <c r="U12" s="1570">
        <f t="shared" si="1"/>
        <v>100</v>
      </c>
      <c r="V12" s="1569" t="s">
        <v>11</v>
      </c>
      <c r="W12" s="1570">
        <f t="shared" si="2"/>
        <v>100</v>
      </c>
      <c r="X12" s="1571"/>
      <c r="Y12" s="3698"/>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52"/>
      <c r="Q13" s="1151">
        <f t="shared" si="6"/>
        <v>111</v>
      </c>
      <c r="R13" s="1569" t="s">
        <v>11</v>
      </c>
      <c r="S13" s="1570">
        <f t="shared" si="0"/>
        <v>100</v>
      </c>
      <c r="T13" s="1569" t="s">
        <v>11</v>
      </c>
      <c r="U13" s="1570">
        <f t="shared" si="1"/>
        <v>100</v>
      </c>
      <c r="V13" s="1569" t="s">
        <v>11</v>
      </c>
      <c r="W13" s="1570">
        <f t="shared" si="2"/>
        <v>100</v>
      </c>
      <c r="X13" s="1571"/>
      <c r="Y13" s="3698"/>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52"/>
      <c r="Q14" s="1151">
        <f t="shared" si="6"/>
        <v>111</v>
      </c>
      <c r="R14" s="1569" t="s">
        <v>11</v>
      </c>
      <c r="S14" s="1570">
        <f t="shared" si="0"/>
        <v>100</v>
      </c>
      <c r="T14" s="1569" t="s">
        <v>11</v>
      </c>
      <c r="U14" s="1570">
        <f t="shared" si="1"/>
        <v>100</v>
      </c>
      <c r="V14" s="1569" t="s">
        <v>11</v>
      </c>
      <c r="W14" s="1570">
        <f t="shared" si="2"/>
        <v>100</v>
      </c>
      <c r="X14" s="1571"/>
      <c r="Y14" s="3698"/>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86" t="s">
        <v>540</v>
      </c>
      <c r="Q15" s="1573" t="str">
        <f t="shared" si="6"/>
        <v>居住社区成熟度</v>
      </c>
      <c r="R15" s="1574" t="s">
        <v>11</v>
      </c>
      <c r="S15" s="1575">
        <f t="shared" si="0"/>
        <v>100</v>
      </c>
      <c r="T15" s="1574" t="s">
        <v>11</v>
      </c>
      <c r="U15" s="1575">
        <f t="shared" si="1"/>
        <v>100</v>
      </c>
      <c r="V15" s="1574" t="s">
        <v>11</v>
      </c>
      <c r="W15" s="1575">
        <f t="shared" si="2"/>
        <v>100</v>
      </c>
      <c r="X15" s="1568"/>
      <c r="Y15" s="378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87"/>
      <c r="Q16" s="1573"/>
      <c r="R16" s="1574"/>
      <c r="S16" s="1575"/>
      <c r="T16" s="1574"/>
      <c r="U16" s="1575"/>
      <c r="V16" s="1574"/>
      <c r="W16" s="1575"/>
      <c r="X16" s="1568"/>
      <c r="Y16" s="37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87"/>
      <c r="Q17" s="1573" t="str">
        <f>B17</f>
        <v>交通便捷度</v>
      </c>
      <c r="R17" s="1574" t="s">
        <v>11</v>
      </c>
      <c r="S17" s="1575">
        <f>F17</f>
        <v>100</v>
      </c>
      <c r="T17" s="1574" t="s">
        <v>11</v>
      </c>
      <c r="U17" s="1575">
        <f>H17</f>
        <v>100</v>
      </c>
      <c r="V17" s="1574" t="s">
        <v>11</v>
      </c>
      <c r="W17" s="1575">
        <f>J17</f>
        <v>100</v>
      </c>
      <c r="X17" s="1568"/>
      <c r="Y17" s="37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87"/>
      <c r="Q18" s="1573"/>
      <c r="R18" s="1574"/>
      <c r="S18" s="1575"/>
      <c r="T18" s="1574"/>
      <c r="U18" s="1575"/>
      <c r="V18" s="1574"/>
      <c r="W18" s="1575"/>
      <c r="X18" s="1568"/>
      <c r="Y18" s="3787"/>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87"/>
      <c r="Q19" s="1573" t="str">
        <f>B19</f>
        <v>公共配套设施</v>
      </c>
      <c r="R19" s="1574" t="s">
        <v>11</v>
      </c>
      <c r="S19" s="1575">
        <f>F19</f>
        <v>100</v>
      </c>
      <c r="T19" s="1574" t="s">
        <v>11</v>
      </c>
      <c r="U19" s="1575">
        <f>H19</f>
        <v>100</v>
      </c>
      <c r="V19" s="1574" t="s">
        <v>11</v>
      </c>
      <c r="W19" s="1575">
        <f>J19</f>
        <v>100</v>
      </c>
      <c r="X19" s="1568"/>
      <c r="Y19" s="37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87"/>
      <c r="Q20" s="1573"/>
      <c r="R20" s="1574"/>
      <c r="S20" s="1575"/>
      <c r="T20" s="1574"/>
      <c r="U20" s="1575"/>
      <c r="V20" s="1574"/>
      <c r="W20" s="1575"/>
      <c r="X20" s="1568"/>
      <c r="Y20" s="3787"/>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87"/>
      <c r="Q21" s="2558" t="str">
        <f>B21</f>
        <v>基础设施水平</v>
      </c>
      <c r="R21" s="1574" t="s">
        <v>11</v>
      </c>
      <c r="S21" s="1575">
        <f>F21</f>
        <v>100</v>
      </c>
      <c r="T21" s="1574" t="s">
        <v>11</v>
      </c>
      <c r="U21" s="1575">
        <f>H21</f>
        <v>100</v>
      </c>
      <c r="V21" s="1574" t="s">
        <v>11</v>
      </c>
      <c r="W21" s="1575">
        <f>J21</f>
        <v>100</v>
      </c>
      <c r="X21" s="2560"/>
      <c r="Y21" s="3787"/>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87"/>
      <c r="Q22" s="2558"/>
      <c r="R22" s="1574"/>
      <c r="S22" s="1575"/>
      <c r="T22" s="1574"/>
      <c r="U22" s="1575"/>
      <c r="V22" s="1574"/>
      <c r="W22" s="1575"/>
      <c r="X22" s="2560"/>
      <c r="Y22" s="3787"/>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87"/>
      <c r="Q23" s="1573" t="str">
        <f>B23</f>
        <v>自然及人文环境</v>
      </c>
      <c r="R23" s="1574" t="s">
        <v>11</v>
      </c>
      <c r="S23" s="1575">
        <f>F23</f>
        <v>100</v>
      </c>
      <c r="T23" s="1574" t="s">
        <v>11</v>
      </c>
      <c r="U23" s="1575">
        <f>H23</f>
        <v>100</v>
      </c>
      <c r="V23" s="1574" t="s">
        <v>11</v>
      </c>
      <c r="W23" s="1575">
        <f>J23</f>
        <v>100</v>
      </c>
      <c r="X23" s="1568"/>
      <c r="Y23" s="37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87"/>
      <c r="Q24" s="1573"/>
      <c r="R24" s="1574"/>
      <c r="S24" s="1575"/>
      <c r="T24" s="1574"/>
      <c r="U24" s="1575"/>
      <c r="V24" s="1574"/>
      <c r="W24" s="1575"/>
      <c r="X24" s="1568"/>
      <c r="Y24" s="3787"/>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87"/>
      <c r="Q25" s="1573" t="str">
        <f t="shared" ref="Q25:Q46" si="11">B25</f>
        <v>楼层-1</v>
      </c>
      <c r="R25" s="1574" t="s">
        <v>11</v>
      </c>
      <c r="S25" s="1575">
        <f>F25</f>
        <v>100</v>
      </c>
      <c r="T25" s="1574" t="s">
        <v>11</v>
      </c>
      <c r="U25" s="1575">
        <f>H25</f>
        <v>100</v>
      </c>
      <c r="V25" s="1574" t="s">
        <v>11</v>
      </c>
      <c r="W25" s="1575">
        <f>J25</f>
        <v>100</v>
      </c>
      <c r="X25" s="1568"/>
      <c r="Y25" s="378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87"/>
      <c r="Q26" s="1573" t="str">
        <f t="shared" si="11"/>
        <v>朝向</v>
      </c>
      <c r="R26" s="1574" t="s">
        <v>11</v>
      </c>
      <c r="S26" s="1575">
        <f>F26</f>
        <v>100</v>
      </c>
      <c r="T26" s="1574" t="s">
        <v>11</v>
      </c>
      <c r="U26" s="1575">
        <f>H26</f>
        <v>100</v>
      </c>
      <c r="V26" s="1574" t="s">
        <v>11</v>
      </c>
      <c r="W26" s="1575">
        <f>J26</f>
        <v>100</v>
      </c>
      <c r="X26" s="1568"/>
      <c r="Y26" s="378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87"/>
      <c r="Q27" s="1151" t="str">
        <f t="shared" si="11"/>
        <v>道路级别</v>
      </c>
      <c r="R27" s="1569" t="s">
        <v>11</v>
      </c>
      <c r="S27" s="1570">
        <f>F27</f>
        <v>100</v>
      </c>
      <c r="T27" s="1569" t="s">
        <v>11</v>
      </c>
      <c r="U27" s="1570">
        <f>H27</f>
        <v>100</v>
      </c>
      <c r="V27" s="1569" t="s">
        <v>11</v>
      </c>
      <c r="W27" s="1570">
        <f>J27</f>
        <v>100</v>
      </c>
      <c r="X27" s="1571"/>
      <c r="Y27" s="378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87"/>
      <c r="Q28" s="1573">
        <f t="shared" si="11"/>
        <v>111</v>
      </c>
      <c r="R28" s="1574" t="s">
        <v>11</v>
      </c>
      <c r="S28" s="1575">
        <f t="shared" ref="S28:S46" si="12">F28</f>
        <v>100</v>
      </c>
      <c r="T28" s="1574" t="s">
        <v>11</v>
      </c>
      <c r="U28" s="1575">
        <f t="shared" ref="U28:U46" si="13">H28</f>
        <v>100</v>
      </c>
      <c r="V28" s="1574" t="s">
        <v>11</v>
      </c>
      <c r="W28" s="1575">
        <f t="shared" ref="W28:W46" si="14">J28</f>
        <v>100</v>
      </c>
      <c r="X28" s="1568"/>
      <c r="Y28" s="378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87"/>
      <c r="Q29" s="1573">
        <f t="shared" si="11"/>
        <v>111</v>
      </c>
      <c r="R29" s="1574" t="s">
        <v>11</v>
      </c>
      <c r="S29" s="1575">
        <f t="shared" si="12"/>
        <v>100</v>
      </c>
      <c r="T29" s="1574" t="s">
        <v>11</v>
      </c>
      <c r="U29" s="1575">
        <f t="shared" si="13"/>
        <v>100</v>
      </c>
      <c r="V29" s="1574" t="s">
        <v>11</v>
      </c>
      <c r="W29" s="1575">
        <f t="shared" si="14"/>
        <v>100</v>
      </c>
      <c r="X29" s="1568"/>
      <c r="Y29" s="37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87"/>
      <c r="Q30" s="1573">
        <f t="shared" si="11"/>
        <v>111</v>
      </c>
      <c r="R30" s="1574" t="s">
        <v>11</v>
      </c>
      <c r="S30" s="1575">
        <f t="shared" si="12"/>
        <v>100</v>
      </c>
      <c r="T30" s="1574" t="s">
        <v>11</v>
      </c>
      <c r="U30" s="1575">
        <f t="shared" si="13"/>
        <v>100</v>
      </c>
      <c r="V30" s="1574" t="s">
        <v>11</v>
      </c>
      <c r="W30" s="1575">
        <f t="shared" si="14"/>
        <v>100</v>
      </c>
      <c r="X30" s="1568"/>
      <c r="Y30" s="378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87"/>
      <c r="Q31" s="1573">
        <f t="shared" si="11"/>
        <v>111</v>
      </c>
      <c r="R31" s="1574" t="s">
        <v>11</v>
      </c>
      <c r="S31" s="1575">
        <f t="shared" si="12"/>
        <v>100</v>
      </c>
      <c r="T31" s="1574" t="s">
        <v>11</v>
      </c>
      <c r="U31" s="1575">
        <f t="shared" si="13"/>
        <v>100</v>
      </c>
      <c r="V31" s="1574" t="s">
        <v>11</v>
      </c>
      <c r="W31" s="1575">
        <f t="shared" si="14"/>
        <v>100</v>
      </c>
      <c r="X31" s="1568"/>
      <c r="Y31" s="3787"/>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88" t="s">
        <v>550</v>
      </c>
      <c r="Q32" s="1573" t="str">
        <f t="shared" si="11"/>
        <v>建筑类型</v>
      </c>
      <c r="R32" s="1574" t="s">
        <v>11</v>
      </c>
      <c r="S32" s="1575">
        <f t="shared" si="12"/>
        <v>100</v>
      </c>
      <c r="T32" s="1574" t="s">
        <v>11</v>
      </c>
      <c r="U32" s="1575">
        <f t="shared" si="13"/>
        <v>100</v>
      </c>
      <c r="V32" s="1574" t="s">
        <v>11</v>
      </c>
      <c r="W32" s="1575">
        <f t="shared" si="14"/>
        <v>100</v>
      </c>
      <c r="X32" s="1568"/>
      <c r="Y32" s="3789" t="s">
        <v>550</v>
      </c>
      <c r="Z32" s="1576" t="str">
        <f t="shared" si="15"/>
        <v>建筑类型</v>
      </c>
      <c r="AA32" s="1577">
        <f t="shared" si="3"/>
        <v>1</v>
      </c>
      <c r="AB32" s="1577">
        <f t="shared" si="4"/>
        <v>1</v>
      </c>
      <c r="AC32" s="1577">
        <f t="shared" si="5"/>
        <v>1</v>
      </c>
    </row>
    <row r="33" spans="1:29" s="1339" customFormat="1" ht="15">
      <c r="A33" s="603"/>
      <c r="B33" s="527" t="s">
        <v>726</v>
      </c>
      <c r="C33" s="880">
        <f>'数据-基础表'!I13</f>
        <v>65690.73</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89"/>
      <c r="Q33" s="1606" t="str">
        <f t="shared" si="11"/>
        <v>项目建筑规模</v>
      </c>
      <c r="R33" s="1578" t="s">
        <v>11</v>
      </c>
      <c r="S33" s="1579">
        <f t="shared" si="12"/>
        <v>94</v>
      </c>
      <c r="T33" s="1578" t="s">
        <v>11</v>
      </c>
      <c r="U33" s="1579">
        <f t="shared" si="13"/>
        <v>96</v>
      </c>
      <c r="V33" s="1578" t="s">
        <v>11</v>
      </c>
      <c r="W33" s="1579">
        <f t="shared" si="14"/>
        <v>96</v>
      </c>
      <c r="X33" s="1580"/>
      <c r="Y33" s="3789"/>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89"/>
      <c r="Q34" s="1573" t="str">
        <f t="shared" si="11"/>
        <v>建筑结构</v>
      </c>
      <c r="R34" s="1574" t="s">
        <v>11</v>
      </c>
      <c r="S34" s="1575">
        <f t="shared" si="12"/>
        <v>100</v>
      </c>
      <c r="T34" s="1574" t="s">
        <v>11</v>
      </c>
      <c r="U34" s="1575">
        <f t="shared" si="13"/>
        <v>100</v>
      </c>
      <c r="V34" s="1574" t="s">
        <v>11</v>
      </c>
      <c r="W34" s="1575">
        <f t="shared" si="14"/>
        <v>100</v>
      </c>
      <c r="X34" s="1568"/>
      <c r="Y34" s="378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89"/>
      <c r="Q35" s="1573" t="str">
        <f t="shared" si="11"/>
        <v>建筑品质</v>
      </c>
      <c r="R35" s="1574" t="s">
        <v>11</v>
      </c>
      <c r="S35" s="1575">
        <f t="shared" si="12"/>
        <v>100</v>
      </c>
      <c r="T35" s="1574" t="s">
        <v>11</v>
      </c>
      <c r="U35" s="1575">
        <f t="shared" si="13"/>
        <v>100</v>
      </c>
      <c r="V35" s="1574" t="s">
        <v>11</v>
      </c>
      <c r="W35" s="1575">
        <f t="shared" si="14"/>
        <v>100</v>
      </c>
      <c r="X35" s="1568"/>
      <c r="Y35" s="378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89"/>
      <c r="Q36" s="1573" t="str">
        <f t="shared" si="11"/>
        <v>公共部分装修</v>
      </c>
      <c r="R36" s="1574" t="s">
        <v>11</v>
      </c>
      <c r="S36" s="1575">
        <f t="shared" si="12"/>
        <v>100</v>
      </c>
      <c r="T36" s="1574" t="s">
        <v>11</v>
      </c>
      <c r="U36" s="1575">
        <f t="shared" si="13"/>
        <v>100</v>
      </c>
      <c r="V36" s="1574" t="s">
        <v>11</v>
      </c>
      <c r="W36" s="1575">
        <f t="shared" si="14"/>
        <v>100</v>
      </c>
      <c r="X36" s="1568"/>
      <c r="Y36" s="3789"/>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89"/>
      <c r="Q37" s="1151" t="str">
        <f t="shared" si="11"/>
        <v>成新度</v>
      </c>
      <c r="R37" s="1569" t="s">
        <v>11</v>
      </c>
      <c r="S37" s="1570">
        <f t="shared" si="12"/>
        <v>100</v>
      </c>
      <c r="T37" s="1569" t="s">
        <v>11</v>
      </c>
      <c r="U37" s="1570">
        <f t="shared" si="13"/>
        <v>100</v>
      </c>
      <c r="V37" s="1569" t="s">
        <v>11</v>
      </c>
      <c r="W37" s="1570">
        <f t="shared" si="14"/>
        <v>100</v>
      </c>
      <c r="X37" s="1571"/>
      <c r="Y37" s="3789"/>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89" t="s">
        <v>550</v>
      </c>
      <c r="Q38" s="1573" t="str">
        <f t="shared" si="11"/>
        <v>物业管理</v>
      </c>
      <c r="R38" s="1574" t="s">
        <v>11</v>
      </c>
      <c r="S38" s="1575">
        <f t="shared" si="12"/>
        <v>100</v>
      </c>
      <c r="T38" s="1574" t="s">
        <v>11</v>
      </c>
      <c r="U38" s="1575">
        <f t="shared" si="13"/>
        <v>100</v>
      </c>
      <c r="V38" s="1574" t="s">
        <v>11</v>
      </c>
      <c r="W38" s="1575">
        <f t="shared" si="14"/>
        <v>100</v>
      </c>
      <c r="X38" s="1568"/>
      <c r="Y38" s="3789"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89"/>
      <c r="Q39" s="1573" t="str">
        <f t="shared" si="11"/>
        <v>市政基础设施</v>
      </c>
      <c r="R39" s="1574" t="s">
        <v>11</v>
      </c>
      <c r="S39" s="1575">
        <f t="shared" si="12"/>
        <v>100</v>
      </c>
      <c r="T39" s="1574" t="s">
        <v>11</v>
      </c>
      <c r="U39" s="1575">
        <f t="shared" si="13"/>
        <v>100</v>
      </c>
      <c r="V39" s="1574" t="s">
        <v>11</v>
      </c>
      <c r="W39" s="1575">
        <f t="shared" si="14"/>
        <v>100</v>
      </c>
      <c r="X39" s="1568"/>
      <c r="Y39" s="378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89"/>
      <c r="Q40" s="1573" t="str">
        <f t="shared" si="11"/>
        <v>房型</v>
      </c>
      <c r="R40" s="1574" t="s">
        <v>11</v>
      </c>
      <c r="S40" s="1575">
        <f t="shared" si="12"/>
        <v>100</v>
      </c>
      <c r="T40" s="1574" t="s">
        <v>11</v>
      </c>
      <c r="U40" s="1575">
        <f t="shared" si="13"/>
        <v>100</v>
      </c>
      <c r="V40" s="1574" t="s">
        <v>11</v>
      </c>
      <c r="W40" s="1575">
        <f t="shared" si="14"/>
        <v>100</v>
      </c>
      <c r="X40" s="1568"/>
      <c r="Y40" s="378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89"/>
      <c r="Q41" s="1606" t="str">
        <f t="shared" si="11"/>
        <v>单套/主力户型建筑面积</v>
      </c>
      <c r="R41" s="1578" t="s">
        <v>11</v>
      </c>
      <c r="S41" s="1579">
        <f t="shared" si="12"/>
        <v>100</v>
      </c>
      <c r="T41" s="1578" t="s">
        <v>11</v>
      </c>
      <c r="U41" s="1579">
        <f t="shared" si="13"/>
        <v>100</v>
      </c>
      <c r="V41" s="1578" t="s">
        <v>11</v>
      </c>
      <c r="W41" s="1579">
        <f t="shared" si="14"/>
        <v>100</v>
      </c>
      <c r="X41" s="1580"/>
      <c r="Y41" s="378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89"/>
      <c r="Q42" s="1573" t="str">
        <f t="shared" si="11"/>
        <v>内部装修</v>
      </c>
      <c r="R42" s="1574" t="s">
        <v>11</v>
      </c>
      <c r="S42" s="1575">
        <f t="shared" si="12"/>
        <v>100</v>
      </c>
      <c r="T42" s="1574" t="s">
        <v>11</v>
      </c>
      <c r="U42" s="1575">
        <f t="shared" si="13"/>
        <v>100</v>
      </c>
      <c r="V42" s="1574" t="s">
        <v>11</v>
      </c>
      <c r="W42" s="1575">
        <f t="shared" si="14"/>
        <v>100</v>
      </c>
      <c r="X42" s="1568"/>
      <c r="Y42" s="378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89"/>
      <c r="Q43" s="1573" t="str">
        <f t="shared" si="11"/>
        <v>内部装修维护情况</v>
      </c>
      <c r="R43" s="1574" t="s">
        <v>11</v>
      </c>
      <c r="S43" s="1575">
        <f t="shared" si="12"/>
        <v>100</v>
      </c>
      <c r="T43" s="1574" t="s">
        <v>11</v>
      </c>
      <c r="U43" s="1575">
        <f t="shared" si="13"/>
        <v>100</v>
      </c>
      <c r="V43" s="1574" t="s">
        <v>11</v>
      </c>
      <c r="W43" s="1575">
        <f t="shared" si="14"/>
        <v>100</v>
      </c>
      <c r="X43" s="1568"/>
      <c r="Y43" s="37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89"/>
      <c r="Q44" s="1151">
        <f t="shared" si="11"/>
        <v>111</v>
      </c>
      <c r="R44" s="1569" t="s">
        <v>11</v>
      </c>
      <c r="S44" s="1570">
        <f t="shared" si="12"/>
        <v>100</v>
      </c>
      <c r="T44" s="1569" t="s">
        <v>11</v>
      </c>
      <c r="U44" s="1570">
        <f t="shared" si="13"/>
        <v>100</v>
      </c>
      <c r="V44" s="1569" t="s">
        <v>11</v>
      </c>
      <c r="W44" s="1570">
        <f t="shared" si="14"/>
        <v>100</v>
      </c>
      <c r="X44" s="1571"/>
      <c r="Y44" s="37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89"/>
      <c r="Q45" s="1573">
        <f t="shared" si="11"/>
        <v>111</v>
      </c>
      <c r="R45" s="1574" t="s">
        <v>11</v>
      </c>
      <c r="S45" s="1575">
        <f t="shared" si="12"/>
        <v>100</v>
      </c>
      <c r="T45" s="1574" t="s">
        <v>11</v>
      </c>
      <c r="U45" s="1575">
        <f t="shared" si="13"/>
        <v>100</v>
      </c>
      <c r="V45" s="1574" t="s">
        <v>11</v>
      </c>
      <c r="W45" s="1575">
        <f t="shared" si="14"/>
        <v>100</v>
      </c>
      <c r="X45" s="1568"/>
      <c r="Y45" s="378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10"/>
      <c r="Q46" s="1573">
        <f t="shared" si="11"/>
        <v>111</v>
      </c>
      <c r="R46" s="1574" t="s">
        <v>10</v>
      </c>
      <c r="S46" s="1575">
        <f t="shared" si="12"/>
        <v>100</v>
      </c>
      <c r="T46" s="1574" t="s">
        <v>10</v>
      </c>
      <c r="U46" s="1575">
        <f t="shared" si="13"/>
        <v>100</v>
      </c>
      <c r="V46" s="1574" t="s">
        <v>10</v>
      </c>
      <c r="W46" s="1575">
        <f t="shared" si="14"/>
        <v>100</v>
      </c>
      <c r="X46" s="1568"/>
      <c r="Y46" s="3910"/>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52" t="str">
        <f>A47</f>
        <v>成交单价（元/平方米）</v>
      </c>
      <c r="Q47" s="3752"/>
      <c r="R47" s="3909">
        <f>E47</f>
        <v>16000</v>
      </c>
      <c r="S47" s="3909"/>
      <c r="T47" s="3909">
        <f>G47</f>
        <v>17000</v>
      </c>
      <c r="U47" s="3909"/>
      <c r="V47" s="3909">
        <f>I47</f>
        <v>16000</v>
      </c>
      <c r="W47" s="3909"/>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52" t="str">
        <f>A48</f>
        <v>比较价格（元/平方米）</v>
      </c>
      <c r="Q48" s="3752"/>
      <c r="R48" s="3909" t="e">
        <f>IF(F1="售价",ROUND(PRODUCT(R47,AA7:AA46),0),ROUND(PRODUCT(R47,AA7:AA46),1))</f>
        <v>#DIV/0!</v>
      </c>
      <c r="S48" s="3909"/>
      <c r="T48" s="3909" t="e">
        <f>IF(F1="售价",ROUND(PRODUCT(T47,AB7:AB46),0),ROUND(PRODUCT(T47,AB7:AB46),1))</f>
        <v>#DIV/0!</v>
      </c>
      <c r="U48" s="3909"/>
      <c r="V48" s="3909" t="e">
        <f>IF(F1="售价",ROUND(PRODUCT(V47,AC7:AC46),0),ROUND(PRODUCT(V47,AC7:AC46),1))</f>
        <v>#DIV/0!</v>
      </c>
      <c r="W48" s="3909"/>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749" t="str">
        <f>A49</f>
        <v>估价对象XX用房的比较价格（楼面单价，元/平方米）</v>
      </c>
      <c r="Q49" s="3750"/>
      <c r="R49" s="3908" t="e">
        <f>IF(F1="售价",ROUND(AVERAGE(R48:V48),0),ROUND(AVERAGE(R48:V48),1))</f>
        <v>#DIV/0!</v>
      </c>
      <c r="S49" s="3908"/>
      <c r="T49" s="3908"/>
      <c r="U49" s="3908"/>
      <c r="V49" s="3908"/>
      <c r="W49" s="390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7298.9700000000012</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58" t="s">
        <v>522</v>
      </c>
      <c r="D4" s="3759"/>
      <c r="E4" s="3792" t="s">
        <v>523</v>
      </c>
      <c r="F4" s="3793"/>
      <c r="G4" s="3758" t="s">
        <v>524</v>
      </c>
      <c r="H4" s="3759"/>
      <c r="I4" s="3758" t="s">
        <v>525</v>
      </c>
      <c r="J4" s="3759"/>
      <c r="K4" s="514" t="s">
        <v>526</v>
      </c>
      <c r="L4" s="2133"/>
      <c r="M4" s="2134"/>
      <c r="N4" s="2134"/>
      <c r="O4" s="2134"/>
      <c r="P4" s="3760" t="s">
        <v>527</v>
      </c>
      <c r="Q4" s="3761"/>
      <c r="R4" s="3766" t="s">
        <v>523</v>
      </c>
      <c r="S4" s="3767"/>
      <c r="T4" s="3766" t="s">
        <v>524</v>
      </c>
      <c r="U4" s="3767"/>
      <c r="V4" s="3753" t="s">
        <v>525</v>
      </c>
      <c r="W4" s="3753"/>
      <c r="X4" s="1568"/>
      <c r="Y4" s="3766" t="s">
        <v>527</v>
      </c>
      <c r="Z4" s="3767"/>
      <c r="AA4" s="3755" t="s">
        <v>523</v>
      </c>
      <c r="AB4" s="3753" t="s">
        <v>524</v>
      </c>
      <c r="AC4" s="3755" t="s">
        <v>525</v>
      </c>
    </row>
    <row r="5" spans="1:29" ht="15">
      <c r="A5" s="515"/>
      <c r="B5" s="516"/>
      <c r="C5" s="3774" t="s">
        <v>2929</v>
      </c>
      <c r="D5" s="3775"/>
      <c r="E5" s="3912" t="s">
        <v>3024</v>
      </c>
      <c r="F5" s="3795"/>
      <c r="G5" s="3774" t="s">
        <v>2931</v>
      </c>
      <c r="H5" s="3775"/>
      <c r="I5" s="3774" t="s">
        <v>2932</v>
      </c>
      <c r="J5" s="3775"/>
      <c r="K5" s="514"/>
      <c r="L5" s="2133"/>
      <c r="M5" s="2134"/>
      <c r="N5" s="2134"/>
      <c r="O5" s="2134"/>
      <c r="P5" s="3762"/>
      <c r="Q5" s="3763"/>
      <c r="R5" s="3768"/>
      <c r="S5" s="3769"/>
      <c r="T5" s="3768"/>
      <c r="U5" s="3769"/>
      <c r="V5" s="3753"/>
      <c r="W5" s="3753"/>
      <c r="X5" s="1568"/>
      <c r="Y5" s="3768"/>
      <c r="Z5" s="3769"/>
      <c r="AA5" s="3756"/>
      <c r="AB5" s="3753"/>
      <c r="AC5" s="3756"/>
    </row>
    <row r="6" spans="1:29" ht="15.75" thickBot="1">
      <c r="A6" s="517"/>
      <c r="B6" s="518"/>
      <c r="C6" s="3772" t="s">
        <v>2933</v>
      </c>
      <c r="D6" s="3773"/>
      <c r="E6" s="3790" t="s">
        <v>2933</v>
      </c>
      <c r="F6" s="3791"/>
      <c r="G6" s="3772" t="s">
        <v>2933</v>
      </c>
      <c r="H6" s="3773"/>
      <c r="I6" s="3772" t="s">
        <v>2933</v>
      </c>
      <c r="J6" s="3773"/>
      <c r="K6" s="514" t="s">
        <v>528</v>
      </c>
      <c r="L6" s="2133"/>
      <c r="M6" s="2134"/>
      <c r="N6" s="2134"/>
      <c r="O6" s="2134"/>
      <c r="P6" s="3764"/>
      <c r="Q6" s="3765"/>
      <c r="R6" s="3768"/>
      <c r="S6" s="3769"/>
      <c r="T6" s="3770"/>
      <c r="U6" s="3771"/>
      <c r="V6" s="3753"/>
      <c r="W6" s="3753"/>
      <c r="X6" s="1568"/>
      <c r="Y6" s="3770"/>
      <c r="Z6" s="3771"/>
      <c r="AA6" s="3757"/>
      <c r="AB6" s="3753"/>
      <c r="AC6" s="3757"/>
    </row>
    <row r="7" spans="1:29" s="1220" customFormat="1" ht="15.75" thickBot="1">
      <c r="A7" s="2890"/>
      <c r="B7" s="2897" t="s">
        <v>529</v>
      </c>
      <c r="C7" s="519">
        <f>'数据-取费表'!B2</f>
        <v>43648</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83" t="s">
        <v>530</v>
      </c>
      <c r="Q7" s="3785"/>
      <c r="R7" s="1569" t="s">
        <v>8</v>
      </c>
      <c r="S7" s="1570">
        <f t="shared" ref="S7:S15" si="0">F7</f>
        <v>0</v>
      </c>
      <c r="T7" s="1569" t="s">
        <v>8</v>
      </c>
      <c r="U7" s="1570">
        <f t="shared" ref="U7:U15" si="1">H7</f>
        <v>0</v>
      </c>
      <c r="V7" s="1569" t="s">
        <v>8</v>
      </c>
      <c r="W7" s="1570">
        <f t="shared" ref="W7:W15" si="2">J7</f>
        <v>0</v>
      </c>
      <c r="X7" s="1571"/>
      <c r="Y7" s="3783" t="s">
        <v>530</v>
      </c>
      <c r="Z7" s="3784"/>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83" t="s">
        <v>533</v>
      </c>
      <c r="Q8" s="3784"/>
      <c r="R8" s="1569" t="s">
        <v>8</v>
      </c>
      <c r="S8" s="1570">
        <f t="shared" si="0"/>
        <v>100</v>
      </c>
      <c r="T8" s="1569" t="s">
        <v>8</v>
      </c>
      <c r="U8" s="1570">
        <f t="shared" si="1"/>
        <v>100</v>
      </c>
      <c r="V8" s="1569" t="s">
        <v>8</v>
      </c>
      <c r="W8" s="1570">
        <f t="shared" si="2"/>
        <v>100</v>
      </c>
      <c r="X8" s="1571"/>
      <c r="Y8" s="3783" t="s">
        <v>533</v>
      </c>
      <c r="Z8" s="3784"/>
      <c r="AA8" s="1572">
        <f t="shared" ref="AA8:AA46" si="3">D8/F8</f>
        <v>1</v>
      </c>
      <c r="AB8" s="1572">
        <f t="shared" ref="AB8:AB46" si="4">D8/H8</f>
        <v>1</v>
      </c>
      <c r="AC8" s="1572">
        <f t="shared" ref="AC8:AC46" si="5">D8/J8</f>
        <v>1</v>
      </c>
    </row>
    <row r="9" spans="1:29" s="1220" customFormat="1" ht="15">
      <c r="A9" s="2892"/>
      <c r="B9" s="2899" t="s">
        <v>2757</v>
      </c>
      <c r="C9" s="3178" t="s">
        <v>3025</v>
      </c>
      <c r="D9" s="254">
        <v>100</v>
      </c>
      <c r="E9" s="3178" t="s">
        <v>3025</v>
      </c>
      <c r="F9" s="254">
        <f>SUMIF(63:63,E9,64:64)-SUMIF(63:63,C9,64:64)+100</f>
        <v>100</v>
      </c>
      <c r="G9" s="3178" t="s">
        <v>3025</v>
      </c>
      <c r="H9" s="254">
        <f>SUMIF(63:63,G9,64:64)-SUMIF(63:63,C9,64:64)+100</f>
        <v>100</v>
      </c>
      <c r="I9" s="3178" t="s">
        <v>3025</v>
      </c>
      <c r="J9" s="254">
        <f>SUMIF(63:63,I9,64:64)-SUMIF(63:63,C9,64:64)+100</f>
        <v>100</v>
      </c>
      <c r="K9" s="524"/>
      <c r="L9" s="2135"/>
      <c r="M9" s="2136"/>
      <c r="N9" s="2136"/>
      <c r="O9" s="2137"/>
      <c r="P9" s="3752" t="s">
        <v>535</v>
      </c>
      <c r="Q9" s="1151" t="str">
        <f t="shared" ref="Q9:Q15" si="6">B9</f>
        <v>用途</v>
      </c>
      <c r="R9" s="1569" t="s">
        <v>8</v>
      </c>
      <c r="S9" s="1570">
        <f t="shared" si="0"/>
        <v>100</v>
      </c>
      <c r="T9" s="1569" t="s">
        <v>8</v>
      </c>
      <c r="U9" s="1570">
        <f t="shared" si="1"/>
        <v>100</v>
      </c>
      <c r="V9" s="1569" t="s">
        <v>8</v>
      </c>
      <c r="W9" s="1570">
        <f t="shared" si="2"/>
        <v>100</v>
      </c>
      <c r="X9" s="1571"/>
      <c r="Y9" s="3698" t="s">
        <v>536</v>
      </c>
      <c r="Z9" s="1150" t="str">
        <f t="shared" ref="Z9:Z15" si="7">Q9</f>
        <v>用途</v>
      </c>
      <c r="AA9" s="1572">
        <f t="shared" si="3"/>
        <v>1</v>
      </c>
      <c r="AB9" s="1572">
        <f t="shared" si="4"/>
        <v>1</v>
      </c>
      <c r="AC9" s="1572">
        <f t="shared" si="5"/>
        <v>1</v>
      </c>
    </row>
    <row r="10" spans="1:29" s="1338" customFormat="1" ht="27">
      <c r="A10" s="2893"/>
      <c r="B10" s="2898" t="s">
        <v>2758</v>
      </c>
      <c r="C10" s="861" t="s">
        <v>3026</v>
      </c>
      <c r="D10" s="255">
        <v>100</v>
      </c>
      <c r="E10" s="861" t="s">
        <v>3026</v>
      </c>
      <c r="F10" s="255">
        <f>SUMIF(65:65,E10,66:66)-SUMIF(65:65,C10,66:66)+100</f>
        <v>100</v>
      </c>
      <c r="G10" s="861" t="s">
        <v>3026</v>
      </c>
      <c r="H10" s="255">
        <f>SUMIF(65:65,G10,66:66)-SUMIF(65:65,C10,66:66)+100</f>
        <v>100</v>
      </c>
      <c r="I10" s="861" t="s">
        <v>3026</v>
      </c>
      <c r="J10" s="255">
        <f>SUMIF(65:65,I10,66:66)-SUMIF(65:65,C10,66:66)+100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698"/>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52"/>
      <c r="Q11" s="1151" t="str">
        <f t="shared" si="6"/>
        <v>容积率</v>
      </c>
      <c r="R11" s="1569" t="s">
        <v>8</v>
      </c>
      <c r="S11" s="1570">
        <f t="shared" si="0"/>
        <v>104</v>
      </c>
      <c r="T11" s="1569" t="s">
        <v>8</v>
      </c>
      <c r="U11" s="1570">
        <f t="shared" si="1"/>
        <v>104</v>
      </c>
      <c r="V11" s="1569" t="s">
        <v>8</v>
      </c>
      <c r="W11" s="1570">
        <f t="shared" si="2"/>
        <v>102</v>
      </c>
      <c r="X11" s="1571"/>
      <c r="Y11" s="3698"/>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698"/>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698"/>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52"/>
      <c r="Q14" s="1151">
        <f t="shared" si="6"/>
        <v>111</v>
      </c>
      <c r="R14" s="1569" t="s">
        <v>8</v>
      </c>
      <c r="S14" s="1570">
        <f t="shared" si="0"/>
        <v>100</v>
      </c>
      <c r="T14" s="1569" t="s">
        <v>8</v>
      </c>
      <c r="U14" s="1570">
        <f t="shared" si="1"/>
        <v>100</v>
      </c>
      <c r="V14" s="1569" t="s">
        <v>8</v>
      </c>
      <c r="W14" s="1570">
        <f t="shared" si="2"/>
        <v>100</v>
      </c>
      <c r="X14" s="1571"/>
      <c r="Y14" s="3698"/>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86" t="s">
        <v>540</v>
      </c>
      <c r="Q15" s="1573" t="str">
        <f t="shared" si="6"/>
        <v>商业繁华度</v>
      </c>
      <c r="R15" s="1574" t="s">
        <v>8</v>
      </c>
      <c r="S15" s="1575">
        <f t="shared" si="0"/>
        <v>100</v>
      </c>
      <c r="T15" s="1574" t="s">
        <v>8</v>
      </c>
      <c r="U15" s="1575">
        <f t="shared" si="1"/>
        <v>100</v>
      </c>
      <c r="V15" s="1574" t="s">
        <v>8</v>
      </c>
      <c r="W15" s="1575">
        <f t="shared" si="2"/>
        <v>100</v>
      </c>
      <c r="X15" s="1568"/>
      <c r="Y15" s="378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87"/>
      <c r="Q16" s="1573"/>
      <c r="R16" s="1574"/>
      <c r="S16" s="1575"/>
      <c r="T16" s="1574"/>
      <c r="U16" s="1575"/>
      <c r="V16" s="1574"/>
      <c r="W16" s="1575"/>
      <c r="X16" s="1568"/>
      <c r="Y16" s="378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87"/>
      <c r="Q17" s="1573" t="str">
        <f>B17</f>
        <v>交通便捷度</v>
      </c>
      <c r="R17" s="1574" t="s">
        <v>8</v>
      </c>
      <c r="S17" s="1575">
        <f>F17</f>
        <v>100</v>
      </c>
      <c r="T17" s="1574" t="s">
        <v>8</v>
      </c>
      <c r="U17" s="1575">
        <f>H17</f>
        <v>100</v>
      </c>
      <c r="V17" s="1574" t="s">
        <v>8</v>
      </c>
      <c r="W17" s="1575">
        <f>J17</f>
        <v>100</v>
      </c>
      <c r="X17" s="1568"/>
      <c r="Y17" s="37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87"/>
      <c r="Q18" s="1573"/>
      <c r="R18" s="1574"/>
      <c r="S18" s="1575"/>
      <c r="T18" s="1574"/>
      <c r="U18" s="1575"/>
      <c r="V18" s="1574"/>
      <c r="W18" s="1575"/>
      <c r="X18" s="1568"/>
      <c r="Y18" s="3787"/>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87"/>
      <c r="Q19" s="1573" t="str">
        <f>B19</f>
        <v>公共配套设施</v>
      </c>
      <c r="R19" s="1574" t="s">
        <v>8</v>
      </c>
      <c r="S19" s="1575">
        <f>F19</f>
        <v>100</v>
      </c>
      <c r="T19" s="1574" t="s">
        <v>8</v>
      </c>
      <c r="U19" s="1575">
        <f>H19</f>
        <v>100</v>
      </c>
      <c r="V19" s="1574" t="s">
        <v>8</v>
      </c>
      <c r="W19" s="1575">
        <f>J19</f>
        <v>100</v>
      </c>
      <c r="X19" s="1568"/>
      <c r="Y19" s="378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87"/>
      <c r="Q20" s="1573"/>
      <c r="R20" s="1574"/>
      <c r="S20" s="1575"/>
      <c r="T20" s="1574"/>
      <c r="U20" s="1575"/>
      <c r="V20" s="1574"/>
      <c r="W20" s="1575"/>
      <c r="X20" s="1568"/>
      <c r="Y20" s="3787"/>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87"/>
      <c r="Q21" s="2558" t="str">
        <f>B21</f>
        <v>基础设施水平</v>
      </c>
      <c r="R21" s="1574" t="s">
        <v>8</v>
      </c>
      <c r="S21" s="1575">
        <f>F21</f>
        <v>100</v>
      </c>
      <c r="T21" s="1574" t="s">
        <v>8</v>
      </c>
      <c r="U21" s="1575">
        <f>H21</f>
        <v>100</v>
      </c>
      <c r="V21" s="1574" t="s">
        <v>8</v>
      </c>
      <c r="W21" s="1575">
        <f>J21</f>
        <v>100</v>
      </c>
      <c r="X21" s="2560"/>
      <c r="Y21" s="3787"/>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87"/>
      <c r="Q22" s="2558"/>
      <c r="R22" s="1574"/>
      <c r="S22" s="1575"/>
      <c r="T22" s="1574"/>
      <c r="U22" s="1575"/>
      <c r="V22" s="1574"/>
      <c r="W22" s="1575"/>
      <c r="X22" s="2560"/>
      <c r="Y22" s="3787"/>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87"/>
      <c r="Q23" s="1573" t="str">
        <f>B23</f>
        <v>自然及人文环境</v>
      </c>
      <c r="R23" s="1574" t="s">
        <v>8</v>
      </c>
      <c r="S23" s="1575">
        <f>F23</f>
        <v>100</v>
      </c>
      <c r="T23" s="1574" t="s">
        <v>8</v>
      </c>
      <c r="U23" s="1575">
        <f>H23</f>
        <v>100</v>
      </c>
      <c r="V23" s="1574" t="s">
        <v>8</v>
      </c>
      <c r="W23" s="1575">
        <f>J23</f>
        <v>100</v>
      </c>
      <c r="X23" s="1568"/>
      <c r="Y23" s="378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87"/>
      <c r="Q24" s="1573"/>
      <c r="R24" s="1574"/>
      <c r="S24" s="1575"/>
      <c r="T24" s="1574"/>
      <c r="U24" s="1575"/>
      <c r="V24" s="1574"/>
      <c r="W24" s="1575"/>
      <c r="X24" s="1568"/>
      <c r="Y24" s="378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87"/>
      <c r="Q25" s="1573" t="str">
        <f t="shared" ref="Q25:Q46" si="11">B25</f>
        <v>临街状况</v>
      </c>
      <c r="R25" s="1574" t="s">
        <v>8</v>
      </c>
      <c r="S25" s="1575">
        <f>F25</f>
        <v>100</v>
      </c>
      <c r="T25" s="1574" t="s">
        <v>8</v>
      </c>
      <c r="U25" s="1575">
        <f>H25</f>
        <v>100</v>
      </c>
      <c r="V25" s="1574" t="s">
        <v>8</v>
      </c>
      <c r="W25" s="1575">
        <f>J25</f>
        <v>100</v>
      </c>
      <c r="X25" s="1568"/>
      <c r="Y25" s="378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87"/>
      <c r="Q26" s="1573" t="str">
        <f t="shared" si="11"/>
        <v>平面位置/可视性</v>
      </c>
      <c r="R26" s="1574" t="s">
        <v>8</v>
      </c>
      <c r="S26" s="1575">
        <f>F26</f>
        <v>100</v>
      </c>
      <c r="T26" s="1574" t="s">
        <v>8</v>
      </c>
      <c r="U26" s="1575">
        <f>H26</f>
        <v>100</v>
      </c>
      <c r="V26" s="1574" t="s">
        <v>8</v>
      </c>
      <c r="W26" s="1575">
        <f>J26</f>
        <v>100</v>
      </c>
      <c r="X26" s="1568"/>
      <c r="Y26" s="378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87"/>
      <c r="Q27" s="1151" t="str">
        <f t="shared" si="11"/>
        <v>人流量</v>
      </c>
      <c r="R27" s="1569" t="s">
        <v>8</v>
      </c>
      <c r="S27" s="1570">
        <f>F27</f>
        <v>100</v>
      </c>
      <c r="T27" s="1569" t="s">
        <v>8</v>
      </c>
      <c r="U27" s="1570">
        <f>H27</f>
        <v>100</v>
      </c>
      <c r="V27" s="1569" t="s">
        <v>8</v>
      </c>
      <c r="W27" s="1570">
        <f>J27</f>
        <v>100</v>
      </c>
      <c r="X27" s="1571"/>
      <c r="Y27" s="378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8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8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87"/>
      <c r="Q29" s="1573">
        <f t="shared" si="11"/>
        <v>111</v>
      </c>
      <c r="R29" s="1574" t="s">
        <v>8</v>
      </c>
      <c r="S29" s="1575">
        <f t="shared" si="12"/>
        <v>100</v>
      </c>
      <c r="T29" s="1574" t="s">
        <v>8</v>
      </c>
      <c r="U29" s="1575">
        <f t="shared" si="13"/>
        <v>100</v>
      </c>
      <c r="V29" s="1574" t="s">
        <v>8</v>
      </c>
      <c r="W29" s="1575">
        <f t="shared" si="14"/>
        <v>100</v>
      </c>
      <c r="X29" s="1568"/>
      <c r="Y29" s="378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87"/>
      <c r="Q30" s="1573">
        <f t="shared" si="11"/>
        <v>111</v>
      </c>
      <c r="R30" s="1574" t="s">
        <v>8</v>
      </c>
      <c r="S30" s="1575">
        <f t="shared" si="12"/>
        <v>100</v>
      </c>
      <c r="T30" s="1574" t="s">
        <v>8</v>
      </c>
      <c r="U30" s="1575">
        <f t="shared" si="13"/>
        <v>100</v>
      </c>
      <c r="V30" s="1574" t="s">
        <v>8</v>
      </c>
      <c r="W30" s="1575">
        <f t="shared" si="14"/>
        <v>100</v>
      </c>
      <c r="X30" s="1568"/>
      <c r="Y30" s="378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87"/>
      <c r="Q31" s="1573">
        <f t="shared" si="11"/>
        <v>111</v>
      </c>
      <c r="R31" s="1574" t="s">
        <v>8</v>
      </c>
      <c r="S31" s="1575">
        <f t="shared" si="12"/>
        <v>100</v>
      </c>
      <c r="T31" s="1574" t="s">
        <v>8</v>
      </c>
      <c r="U31" s="1575">
        <f t="shared" si="13"/>
        <v>100</v>
      </c>
      <c r="V31" s="1574" t="s">
        <v>8</v>
      </c>
      <c r="W31" s="1575">
        <f t="shared" si="14"/>
        <v>100</v>
      </c>
      <c r="X31" s="1568"/>
      <c r="Y31" s="3787"/>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88" t="s">
        <v>550</v>
      </c>
      <c r="Q32" s="1573" t="str">
        <f t="shared" si="11"/>
        <v>商业类型</v>
      </c>
      <c r="R32" s="1574" t="s">
        <v>8</v>
      </c>
      <c r="S32" s="1575">
        <f t="shared" si="12"/>
        <v>100</v>
      </c>
      <c r="T32" s="1574" t="s">
        <v>8</v>
      </c>
      <c r="U32" s="1575">
        <f t="shared" si="13"/>
        <v>100</v>
      </c>
      <c r="V32" s="1574" t="s">
        <v>8</v>
      </c>
      <c r="W32" s="1575">
        <f t="shared" si="14"/>
        <v>100</v>
      </c>
      <c r="X32" s="1568"/>
      <c r="Y32" s="3789" t="s">
        <v>550</v>
      </c>
      <c r="Z32" s="1576" t="str">
        <f t="shared" si="15"/>
        <v>商业类型</v>
      </c>
      <c r="AA32" s="1577">
        <f t="shared" si="3"/>
        <v>1</v>
      </c>
      <c r="AB32" s="1577">
        <f t="shared" si="4"/>
        <v>1</v>
      </c>
      <c r="AC32" s="1577">
        <f t="shared" si="5"/>
        <v>1</v>
      </c>
    </row>
    <row r="33" spans="1:29" s="1339" customFormat="1" ht="15">
      <c r="A33" s="603"/>
      <c r="B33" s="527" t="s">
        <v>726</v>
      </c>
      <c r="C33" s="880">
        <f>'数据-基础表'!A16</f>
        <v>72989.7</v>
      </c>
      <c r="D33" s="255">
        <v>100</v>
      </c>
      <c r="E33" s="534">
        <v>66820</v>
      </c>
      <c r="F33" s="863">
        <f>LOOKUP(E33,103:103,104:104)-LOOKUP(C33,103:103,104:104)+100</f>
        <v>100</v>
      </c>
      <c r="G33" s="533">
        <v>362797</v>
      </c>
      <c r="H33" s="255">
        <f>LOOKUP(G33,103:103,104:104)-LOOKUP(C33,103:103,104:104)+100</f>
        <v>94</v>
      </c>
      <c r="I33" s="533">
        <v>407514</v>
      </c>
      <c r="J33" s="255">
        <f>LOOKUP(I33,103:103,104:104)-LOOKUP(C33,103:103,104:104)+100</f>
        <v>94</v>
      </c>
      <c r="K33" s="581"/>
      <c r="L33" s="2140"/>
      <c r="M33" s="2171"/>
      <c r="N33" s="2171"/>
      <c r="O33" s="2143"/>
      <c r="P33" s="3789"/>
      <c r="Q33" s="1606" t="str">
        <f t="shared" si="11"/>
        <v>项目建筑规模</v>
      </c>
      <c r="R33" s="1578" t="s">
        <v>8</v>
      </c>
      <c r="S33" s="1579">
        <f t="shared" si="12"/>
        <v>100</v>
      </c>
      <c r="T33" s="1578" t="s">
        <v>8</v>
      </c>
      <c r="U33" s="1579">
        <f t="shared" si="13"/>
        <v>94</v>
      </c>
      <c r="V33" s="1578" t="s">
        <v>8</v>
      </c>
      <c r="W33" s="1579">
        <f t="shared" si="14"/>
        <v>94</v>
      </c>
      <c r="X33" s="1580"/>
      <c r="Y33" s="3789"/>
      <c r="Z33" s="1581" t="str">
        <f t="shared" si="15"/>
        <v>项目建筑规模</v>
      </c>
      <c r="AA33" s="1577">
        <f t="shared" si="3"/>
        <v>1</v>
      </c>
      <c r="AB33" s="1577">
        <f t="shared" si="4"/>
        <v>1.0638297872340425</v>
      </c>
      <c r="AC33" s="1577">
        <f t="shared" si="5"/>
        <v>1.0638297872340425</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89"/>
      <c r="Q34" s="1573" t="str">
        <f t="shared" si="11"/>
        <v>建筑结构</v>
      </c>
      <c r="R34" s="1574" t="s">
        <v>8</v>
      </c>
      <c r="S34" s="1575">
        <f t="shared" si="12"/>
        <v>100</v>
      </c>
      <c r="T34" s="1574" t="s">
        <v>8</v>
      </c>
      <c r="U34" s="1575">
        <f t="shared" si="13"/>
        <v>100</v>
      </c>
      <c r="V34" s="1574" t="s">
        <v>8</v>
      </c>
      <c r="W34" s="1575">
        <f t="shared" si="14"/>
        <v>100</v>
      </c>
      <c r="X34" s="1568"/>
      <c r="Y34" s="378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89"/>
      <c r="Q35" s="1573" t="str">
        <f t="shared" si="11"/>
        <v>公共部分装修</v>
      </c>
      <c r="R35" s="1574" t="s">
        <v>8</v>
      </c>
      <c r="S35" s="1575">
        <f t="shared" si="12"/>
        <v>100</v>
      </c>
      <c r="T35" s="1574" t="s">
        <v>8</v>
      </c>
      <c r="U35" s="1575">
        <f t="shared" si="13"/>
        <v>100</v>
      </c>
      <c r="V35" s="1574" t="s">
        <v>8</v>
      </c>
      <c r="W35" s="1575">
        <f t="shared" si="14"/>
        <v>100</v>
      </c>
      <c r="X35" s="1568"/>
      <c r="Y35" s="3789"/>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89"/>
      <c r="Q36" s="1573" t="str">
        <f t="shared" si="11"/>
        <v>成新度</v>
      </c>
      <c r="R36" s="1574" t="s">
        <v>8</v>
      </c>
      <c r="S36" s="1575">
        <f t="shared" si="12"/>
        <v>100</v>
      </c>
      <c r="T36" s="1574" t="s">
        <v>8</v>
      </c>
      <c r="U36" s="1575">
        <f t="shared" si="13"/>
        <v>100</v>
      </c>
      <c r="V36" s="1574" t="s">
        <v>8</v>
      </c>
      <c r="W36" s="1575">
        <f t="shared" si="14"/>
        <v>100</v>
      </c>
      <c r="X36" s="1568"/>
      <c r="Y36" s="3789"/>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89"/>
      <c r="Q37" s="1151" t="str">
        <f t="shared" si="11"/>
        <v>市政基础设施</v>
      </c>
      <c r="R37" s="1569" t="s">
        <v>8</v>
      </c>
      <c r="S37" s="1570">
        <f t="shared" si="12"/>
        <v>100</v>
      </c>
      <c r="T37" s="1569" t="s">
        <v>8</v>
      </c>
      <c r="U37" s="1570">
        <f t="shared" si="13"/>
        <v>100</v>
      </c>
      <c r="V37" s="1569" t="s">
        <v>8</v>
      </c>
      <c r="W37" s="1570">
        <f t="shared" si="14"/>
        <v>100</v>
      </c>
      <c r="X37" s="1571"/>
      <c r="Y37" s="378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89" t="s">
        <v>766</v>
      </c>
      <c r="Q38" s="1573" t="str">
        <f t="shared" si="11"/>
        <v>业态</v>
      </c>
      <c r="R38" s="1574" t="s">
        <v>8</v>
      </c>
      <c r="S38" s="1575">
        <f t="shared" si="12"/>
        <v>100</v>
      </c>
      <c r="T38" s="1574" t="s">
        <v>8</v>
      </c>
      <c r="U38" s="1575">
        <f t="shared" si="13"/>
        <v>100</v>
      </c>
      <c r="V38" s="1574" t="s">
        <v>8</v>
      </c>
      <c r="W38" s="1575">
        <f t="shared" si="14"/>
        <v>100</v>
      </c>
      <c r="X38" s="1568"/>
      <c r="Y38" s="378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89"/>
      <c r="Q39" s="1573" t="str">
        <f t="shared" si="11"/>
        <v>层高</v>
      </c>
      <c r="R39" s="1574" t="s">
        <v>8</v>
      </c>
      <c r="S39" s="1575">
        <f t="shared" si="12"/>
        <v>100</v>
      </c>
      <c r="T39" s="1574" t="s">
        <v>8</v>
      </c>
      <c r="U39" s="1575">
        <f t="shared" si="13"/>
        <v>100</v>
      </c>
      <c r="V39" s="1574" t="s">
        <v>8</v>
      </c>
      <c r="W39" s="1575">
        <f t="shared" si="14"/>
        <v>100</v>
      </c>
      <c r="X39" s="1568"/>
      <c r="Y39" s="378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89"/>
      <c r="Q40" s="1573" t="str">
        <f t="shared" si="11"/>
        <v>单套建筑面积</v>
      </c>
      <c r="R40" s="1574" t="s">
        <v>8</v>
      </c>
      <c r="S40" s="1575">
        <f t="shared" si="12"/>
        <v>100</v>
      </c>
      <c r="T40" s="1574" t="s">
        <v>8</v>
      </c>
      <c r="U40" s="1575">
        <f t="shared" si="13"/>
        <v>100</v>
      </c>
      <c r="V40" s="1574" t="s">
        <v>8</v>
      </c>
      <c r="W40" s="1575">
        <f t="shared" si="14"/>
        <v>100</v>
      </c>
      <c r="X40" s="1568"/>
      <c r="Y40" s="378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89"/>
      <c r="Q41" s="1606" t="str">
        <f t="shared" si="11"/>
        <v>进深比</v>
      </c>
      <c r="R41" s="1578" t="s">
        <v>8</v>
      </c>
      <c r="S41" s="1579">
        <f t="shared" si="12"/>
        <v>100</v>
      </c>
      <c r="T41" s="1578" t="s">
        <v>8</v>
      </c>
      <c r="U41" s="1579">
        <f t="shared" si="13"/>
        <v>100</v>
      </c>
      <c r="V41" s="1578" t="s">
        <v>8</v>
      </c>
      <c r="W41" s="1579">
        <f t="shared" si="14"/>
        <v>100</v>
      </c>
      <c r="X41" s="1580"/>
      <c r="Y41" s="378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89"/>
      <c r="Q42" s="1573" t="str">
        <f t="shared" si="11"/>
        <v>内部装修</v>
      </c>
      <c r="R42" s="1574" t="s">
        <v>8</v>
      </c>
      <c r="S42" s="1575">
        <f t="shared" si="12"/>
        <v>100</v>
      </c>
      <c r="T42" s="1574" t="s">
        <v>8</v>
      </c>
      <c r="U42" s="1575">
        <f t="shared" si="13"/>
        <v>100</v>
      </c>
      <c r="V42" s="1574" t="s">
        <v>8</v>
      </c>
      <c r="W42" s="1575">
        <f t="shared" si="14"/>
        <v>100</v>
      </c>
      <c r="X42" s="1568"/>
      <c r="Y42" s="378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89"/>
      <c r="Q43" s="1573" t="str">
        <f t="shared" si="11"/>
        <v>内部装修维护情况</v>
      </c>
      <c r="R43" s="1574" t="s">
        <v>8</v>
      </c>
      <c r="S43" s="1575">
        <f t="shared" si="12"/>
        <v>100</v>
      </c>
      <c r="T43" s="1574" t="s">
        <v>8</v>
      </c>
      <c r="U43" s="1575">
        <f t="shared" si="13"/>
        <v>100</v>
      </c>
      <c r="V43" s="1574" t="s">
        <v>8</v>
      </c>
      <c r="W43" s="1575">
        <f t="shared" si="14"/>
        <v>100</v>
      </c>
      <c r="X43" s="1568"/>
      <c r="Y43" s="378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89"/>
      <c r="Q44" s="1151">
        <f t="shared" si="11"/>
        <v>111</v>
      </c>
      <c r="R44" s="1569" t="s">
        <v>8</v>
      </c>
      <c r="S44" s="1570">
        <f t="shared" si="12"/>
        <v>100</v>
      </c>
      <c r="T44" s="1569" t="s">
        <v>8</v>
      </c>
      <c r="U44" s="1570">
        <f t="shared" si="13"/>
        <v>100</v>
      </c>
      <c r="V44" s="1569" t="s">
        <v>8</v>
      </c>
      <c r="W44" s="1570">
        <f t="shared" si="14"/>
        <v>100</v>
      </c>
      <c r="X44" s="1571"/>
      <c r="Y44" s="378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89"/>
      <c r="Q45" s="1573">
        <f t="shared" si="11"/>
        <v>111</v>
      </c>
      <c r="R45" s="1574" t="s">
        <v>8</v>
      </c>
      <c r="S45" s="1575">
        <f t="shared" si="12"/>
        <v>100</v>
      </c>
      <c r="T45" s="1574" t="s">
        <v>8</v>
      </c>
      <c r="U45" s="1575">
        <f t="shared" si="13"/>
        <v>100</v>
      </c>
      <c r="V45" s="1574" t="s">
        <v>8</v>
      </c>
      <c r="W45" s="1575">
        <f t="shared" si="14"/>
        <v>100</v>
      </c>
      <c r="X45" s="1568"/>
      <c r="Y45" s="378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10"/>
      <c r="Q46" s="1573">
        <f t="shared" si="11"/>
        <v>111</v>
      </c>
      <c r="R46" s="1574" t="s">
        <v>8</v>
      </c>
      <c r="S46" s="1575">
        <f t="shared" si="12"/>
        <v>100</v>
      </c>
      <c r="T46" s="1574" t="s">
        <v>8</v>
      </c>
      <c r="U46" s="1575">
        <f t="shared" si="13"/>
        <v>100</v>
      </c>
      <c r="V46" s="1574" t="s">
        <v>8</v>
      </c>
      <c r="W46" s="1575">
        <f t="shared" si="14"/>
        <v>100</v>
      </c>
      <c r="X46" s="1568"/>
      <c r="Y46" s="3910"/>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52" t="str">
        <f>A47</f>
        <v>成交单价（元/平方米）</v>
      </c>
      <c r="Q47" s="3752"/>
      <c r="R47" s="3909">
        <f>E47</f>
        <v>35111</v>
      </c>
      <c r="S47" s="3909"/>
      <c r="T47" s="3909">
        <f>G47</f>
        <v>33950</v>
      </c>
      <c r="U47" s="3909"/>
      <c r="V47" s="3909">
        <f>I47</f>
        <v>33250</v>
      </c>
      <c r="W47" s="3909"/>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52" t="str">
        <f>A48</f>
        <v>比较价格（元/平方米）</v>
      </c>
      <c r="Q48" s="3752"/>
      <c r="R48" s="3909" t="e">
        <f>IF(F1="售价",ROUND(PRODUCT(R47,AA7:AA46),0),ROUND(PRODUCT(R47,AA7:AA46),1))</f>
        <v>#DIV/0!</v>
      </c>
      <c r="S48" s="3909"/>
      <c r="T48" s="3909" t="e">
        <f>IF(F1="售价",ROUND(PRODUCT(T47,AB7:AB46),0),ROUND(PRODUCT(T47,AB7:AB46),1))</f>
        <v>#DIV/0!</v>
      </c>
      <c r="U48" s="3909"/>
      <c r="V48" s="3909" t="e">
        <f>IF(F1="售价",ROUND(PRODUCT(V47,AC7:AC46),0),ROUND(PRODUCT(V47,AC7:AC46),1))</f>
        <v>#DIV/0!</v>
      </c>
      <c r="W48" s="3909"/>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749" t="str">
        <f>A49</f>
        <v>估价对象XX用房的比较价格（楼面单价，元/平方米）</v>
      </c>
      <c r="Q49" s="3750"/>
      <c r="R49" s="3908" t="e">
        <f>IF(F1="售价",ROUND(AVERAGE(R48:V48),0),ROUND(AVERAGE(R48:V48),1))</f>
        <v>#DIV/0!</v>
      </c>
      <c r="S49" s="3908"/>
      <c r="T49" s="3908"/>
      <c r="U49" s="3908"/>
      <c r="V49" s="3908"/>
      <c r="W49" s="390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58" t="s">
        <v>522</v>
      </c>
      <c r="D4" s="3759"/>
      <c r="E4" s="3792" t="s">
        <v>523</v>
      </c>
      <c r="F4" s="3793"/>
      <c r="G4" s="3758" t="s">
        <v>524</v>
      </c>
      <c r="H4" s="3759"/>
      <c r="I4" s="3758" t="s">
        <v>525</v>
      </c>
      <c r="J4" s="3759"/>
      <c r="K4" s="514" t="s">
        <v>526</v>
      </c>
      <c r="L4" s="2133"/>
      <c r="M4" s="2134"/>
      <c r="N4" s="2134"/>
      <c r="O4" s="2134"/>
      <c r="P4" s="3914" t="s">
        <v>527</v>
      </c>
      <c r="Q4" s="3761"/>
      <c r="R4" s="3766" t="s">
        <v>523</v>
      </c>
      <c r="S4" s="3767"/>
      <c r="T4" s="3766" t="s">
        <v>524</v>
      </c>
      <c r="U4" s="3767"/>
      <c r="V4" s="3753" t="s">
        <v>525</v>
      </c>
      <c r="W4" s="3753"/>
      <c r="X4" s="1568"/>
      <c r="Y4" s="3766" t="s">
        <v>527</v>
      </c>
      <c r="Z4" s="3767"/>
      <c r="AA4" s="3755" t="s">
        <v>523</v>
      </c>
      <c r="AB4" s="3755" t="s">
        <v>524</v>
      </c>
      <c r="AC4" s="3755" t="s">
        <v>525</v>
      </c>
    </row>
    <row r="5" spans="1:29" ht="15">
      <c r="A5" s="515"/>
      <c r="B5" s="516"/>
      <c r="C5" s="3774" t="s">
        <v>2929</v>
      </c>
      <c r="D5" s="3775"/>
      <c r="E5" s="3794" t="s">
        <v>2930</v>
      </c>
      <c r="F5" s="3795"/>
      <c r="G5" s="3774" t="s">
        <v>2931</v>
      </c>
      <c r="H5" s="3775"/>
      <c r="I5" s="3774" t="s">
        <v>2932</v>
      </c>
      <c r="J5" s="3775"/>
      <c r="K5" s="514"/>
      <c r="L5" s="2133"/>
      <c r="M5" s="2134"/>
      <c r="N5" s="2134"/>
      <c r="O5" s="2134"/>
      <c r="P5" s="3915"/>
      <c r="Q5" s="3763"/>
      <c r="R5" s="3768"/>
      <c r="S5" s="3769"/>
      <c r="T5" s="3768"/>
      <c r="U5" s="3769"/>
      <c r="V5" s="3753"/>
      <c r="W5" s="3753"/>
      <c r="X5" s="1568"/>
      <c r="Y5" s="3768"/>
      <c r="Z5" s="3769"/>
      <c r="AA5" s="3756"/>
      <c r="AB5" s="3756"/>
      <c r="AC5" s="3756"/>
    </row>
    <row r="6" spans="1:29" ht="15.75" thickBot="1">
      <c r="A6" s="517"/>
      <c r="B6" s="518"/>
      <c r="C6" s="3772" t="s">
        <v>2933</v>
      </c>
      <c r="D6" s="3773"/>
      <c r="E6" s="3790" t="s">
        <v>2933</v>
      </c>
      <c r="F6" s="3791"/>
      <c r="G6" s="3772" t="s">
        <v>2933</v>
      </c>
      <c r="H6" s="3773"/>
      <c r="I6" s="3772" t="s">
        <v>2933</v>
      </c>
      <c r="J6" s="3773"/>
      <c r="K6" s="514" t="s">
        <v>528</v>
      </c>
      <c r="L6" s="2133"/>
      <c r="M6" s="2134"/>
      <c r="N6" s="2134"/>
      <c r="O6" s="2134"/>
      <c r="P6" s="3916"/>
      <c r="Q6" s="3765"/>
      <c r="R6" s="3768"/>
      <c r="S6" s="3769"/>
      <c r="T6" s="3770"/>
      <c r="U6" s="3771"/>
      <c r="V6" s="3753"/>
      <c r="W6" s="3753"/>
      <c r="X6" s="1568"/>
      <c r="Y6" s="3770"/>
      <c r="Z6" s="3771"/>
      <c r="AA6" s="3757"/>
      <c r="AB6" s="3757"/>
      <c r="AC6" s="3757"/>
    </row>
    <row r="7" spans="1:29" s="1220" customFormat="1" ht="15.75" thickBot="1">
      <c r="A7" s="2890"/>
      <c r="B7" s="2897" t="s">
        <v>529</v>
      </c>
      <c r="C7" s="519">
        <f>'数据-取费表'!B2</f>
        <v>43648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85" t="s">
        <v>530</v>
      </c>
      <c r="Q7" s="3785"/>
      <c r="R7" s="1569" t="s">
        <v>8</v>
      </c>
      <c r="S7" s="1570">
        <f t="shared" ref="S7:S15" si="0">F7</f>
        <v>0</v>
      </c>
      <c r="T7" s="1569" t="s">
        <v>8</v>
      </c>
      <c r="U7" s="1570">
        <f t="shared" ref="U7:U15" si="1">H7</f>
        <v>0</v>
      </c>
      <c r="V7" s="1569" t="s">
        <v>8</v>
      </c>
      <c r="W7" s="1570">
        <f t="shared" ref="W7:W15" si="2">J7</f>
        <v>0</v>
      </c>
      <c r="X7" s="1571"/>
      <c r="Y7" s="3783" t="s">
        <v>530</v>
      </c>
      <c r="Z7" s="3784"/>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85" t="s">
        <v>533</v>
      </c>
      <c r="Q8" s="3784"/>
      <c r="R8" s="1569" t="s">
        <v>8</v>
      </c>
      <c r="S8" s="1570">
        <f t="shared" si="0"/>
        <v>0</v>
      </c>
      <c r="T8" s="1569" t="s">
        <v>8</v>
      </c>
      <c r="U8" s="1570">
        <f t="shared" si="1"/>
        <v>0</v>
      </c>
      <c r="V8" s="1569" t="s">
        <v>8</v>
      </c>
      <c r="W8" s="1570">
        <f t="shared" si="2"/>
        <v>0</v>
      </c>
      <c r="X8" s="1571"/>
      <c r="Y8" s="3783" t="s">
        <v>533</v>
      </c>
      <c r="Z8" s="3784"/>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52" t="s">
        <v>535</v>
      </c>
      <c r="Q9" s="1151" t="str">
        <f t="shared" ref="Q9:Q15" si="6">B9</f>
        <v>用途</v>
      </c>
      <c r="R9" s="1569" t="s">
        <v>8</v>
      </c>
      <c r="S9" s="1570">
        <f t="shared" si="0"/>
        <v>100</v>
      </c>
      <c r="T9" s="1569" t="s">
        <v>8</v>
      </c>
      <c r="U9" s="1570">
        <f t="shared" si="1"/>
        <v>100</v>
      </c>
      <c r="V9" s="1569" t="s">
        <v>8</v>
      </c>
      <c r="W9" s="1570">
        <f t="shared" si="2"/>
        <v>100</v>
      </c>
      <c r="X9" s="1571"/>
      <c r="Y9" s="3698"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52"/>
      <c r="Q10" s="1151" t="str">
        <f t="shared" si="6"/>
        <v>土地使用年限（年）</v>
      </c>
      <c r="R10" s="1569" t="s">
        <v>8</v>
      </c>
      <c r="S10" s="1570">
        <f t="shared" si="0"/>
        <v>100</v>
      </c>
      <c r="T10" s="1569" t="s">
        <v>8</v>
      </c>
      <c r="U10" s="1570">
        <f t="shared" si="1"/>
        <v>100</v>
      </c>
      <c r="V10" s="1569" t="s">
        <v>8</v>
      </c>
      <c r="W10" s="1570">
        <f t="shared" si="2"/>
        <v>100</v>
      </c>
      <c r="X10" s="1571"/>
      <c r="Y10" s="3698"/>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52"/>
      <c r="Q11" s="1151" t="str">
        <f t="shared" si="6"/>
        <v>容积率</v>
      </c>
      <c r="R11" s="1569" t="s">
        <v>8</v>
      </c>
      <c r="S11" s="1570" t="e">
        <f t="shared" si="0"/>
        <v>#N/A</v>
      </c>
      <c r="T11" s="1569" t="s">
        <v>8</v>
      </c>
      <c r="U11" s="1570" t="e">
        <f t="shared" si="1"/>
        <v>#N/A</v>
      </c>
      <c r="V11" s="1569" t="s">
        <v>8</v>
      </c>
      <c r="W11" s="1570" t="e">
        <f t="shared" si="2"/>
        <v>#N/A</v>
      </c>
      <c r="X11" s="1571"/>
      <c r="Y11" s="3698"/>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52"/>
      <c r="Q12" s="1151">
        <f t="shared" si="6"/>
        <v>111</v>
      </c>
      <c r="R12" s="1569" t="s">
        <v>8</v>
      </c>
      <c r="S12" s="1570">
        <f t="shared" si="0"/>
        <v>100</v>
      </c>
      <c r="T12" s="1569" t="s">
        <v>8</v>
      </c>
      <c r="U12" s="1570">
        <f t="shared" si="1"/>
        <v>100</v>
      </c>
      <c r="V12" s="1569" t="s">
        <v>8</v>
      </c>
      <c r="W12" s="1570">
        <f t="shared" si="2"/>
        <v>100</v>
      </c>
      <c r="X12" s="1571"/>
      <c r="Y12" s="3698"/>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52"/>
      <c r="Q13" s="1151">
        <f t="shared" si="6"/>
        <v>111</v>
      </c>
      <c r="R13" s="1569" t="s">
        <v>8</v>
      </c>
      <c r="S13" s="1570">
        <f t="shared" si="0"/>
        <v>100</v>
      </c>
      <c r="T13" s="1569" t="s">
        <v>8</v>
      </c>
      <c r="U13" s="1570">
        <f t="shared" si="1"/>
        <v>100</v>
      </c>
      <c r="V13" s="1569" t="s">
        <v>8</v>
      </c>
      <c r="W13" s="1570">
        <f t="shared" si="2"/>
        <v>100</v>
      </c>
      <c r="X13" s="1571"/>
      <c r="Y13" s="3698"/>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52"/>
      <c r="Q14" s="1151">
        <f t="shared" si="6"/>
        <v>111</v>
      </c>
      <c r="R14" s="1569" t="s">
        <v>8</v>
      </c>
      <c r="S14" s="1570">
        <f t="shared" si="0"/>
        <v>100</v>
      </c>
      <c r="T14" s="1569" t="s">
        <v>8</v>
      </c>
      <c r="U14" s="1570">
        <f t="shared" si="1"/>
        <v>100</v>
      </c>
      <c r="V14" s="1569" t="s">
        <v>8</v>
      </c>
      <c r="W14" s="1570">
        <f t="shared" si="2"/>
        <v>100</v>
      </c>
      <c r="X14" s="1571"/>
      <c r="Y14" s="3698"/>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86" t="s">
        <v>540</v>
      </c>
      <c r="Q15" s="1573" t="str">
        <f t="shared" si="6"/>
        <v>办公集聚程度</v>
      </c>
      <c r="R15" s="1574" t="s">
        <v>8</v>
      </c>
      <c r="S15" s="1575">
        <f t="shared" si="0"/>
        <v>100</v>
      </c>
      <c r="T15" s="1574" t="s">
        <v>8</v>
      </c>
      <c r="U15" s="1575">
        <f t="shared" si="1"/>
        <v>100</v>
      </c>
      <c r="V15" s="1574" t="s">
        <v>8</v>
      </c>
      <c r="W15" s="1575">
        <f t="shared" si="2"/>
        <v>100</v>
      </c>
      <c r="X15" s="1568"/>
      <c r="Y15" s="378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87"/>
      <c r="Q16" s="1573"/>
      <c r="R16" s="1574"/>
      <c r="S16" s="1575"/>
      <c r="T16" s="1574"/>
      <c r="U16" s="1575"/>
      <c r="V16" s="1574"/>
      <c r="W16" s="1575"/>
      <c r="X16" s="1568"/>
      <c r="Y16" s="378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87"/>
      <c r="Q17" s="1573" t="str">
        <f>B17</f>
        <v>交通便捷度</v>
      </c>
      <c r="R17" s="1574" t="s">
        <v>8</v>
      </c>
      <c r="S17" s="1575">
        <f>F17</f>
        <v>100</v>
      </c>
      <c r="T17" s="1574" t="s">
        <v>8</v>
      </c>
      <c r="U17" s="1575">
        <f>H17</f>
        <v>100</v>
      </c>
      <c r="V17" s="1574" t="s">
        <v>8</v>
      </c>
      <c r="W17" s="1575">
        <f>J17</f>
        <v>100</v>
      </c>
      <c r="X17" s="1568"/>
      <c r="Y17" s="378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87"/>
      <c r="Q18" s="1573"/>
      <c r="R18" s="1574"/>
      <c r="S18" s="1575"/>
      <c r="T18" s="1574"/>
      <c r="U18" s="1575"/>
      <c r="V18" s="1574"/>
      <c r="W18" s="1575"/>
      <c r="X18" s="1568"/>
      <c r="Y18" s="3787"/>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87"/>
      <c r="Q19" s="1573" t="str">
        <f>B19</f>
        <v>公共配套设施</v>
      </c>
      <c r="R19" s="1574" t="s">
        <v>8</v>
      </c>
      <c r="S19" s="1575">
        <f>F19</f>
        <v>100</v>
      </c>
      <c r="T19" s="1574" t="s">
        <v>8</v>
      </c>
      <c r="U19" s="1575">
        <f>H19</f>
        <v>100</v>
      </c>
      <c r="V19" s="1574" t="s">
        <v>8</v>
      </c>
      <c r="W19" s="1575">
        <f>J19</f>
        <v>100</v>
      </c>
      <c r="X19" s="1568"/>
      <c r="Y19" s="378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87"/>
      <c r="Q20" s="1573"/>
      <c r="R20" s="1574"/>
      <c r="S20" s="1575"/>
      <c r="T20" s="1574"/>
      <c r="U20" s="1575"/>
      <c r="V20" s="1574"/>
      <c r="W20" s="1575"/>
      <c r="X20" s="1568"/>
      <c r="Y20" s="3787"/>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87"/>
      <c r="Q21" s="2558" t="str">
        <f>B21</f>
        <v>基础设施水平</v>
      </c>
      <c r="R21" s="1574" t="s">
        <v>8</v>
      </c>
      <c r="S21" s="1575">
        <f>F21</f>
        <v>100</v>
      </c>
      <c r="T21" s="1574" t="s">
        <v>8</v>
      </c>
      <c r="U21" s="1575">
        <f>H21</f>
        <v>100</v>
      </c>
      <c r="V21" s="1574" t="s">
        <v>8</v>
      </c>
      <c r="W21" s="1575">
        <f>J21</f>
        <v>100</v>
      </c>
      <c r="X21" s="2560"/>
      <c r="Y21" s="3787"/>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87"/>
      <c r="Q22" s="2558"/>
      <c r="R22" s="1574"/>
      <c r="S22" s="1575"/>
      <c r="T22" s="1574"/>
      <c r="U22" s="1575"/>
      <c r="V22" s="1574"/>
      <c r="W22" s="1575"/>
      <c r="X22" s="2560"/>
      <c r="Y22" s="3787"/>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87"/>
      <c r="Q23" s="1573" t="str">
        <f>B23</f>
        <v>环境质量</v>
      </c>
      <c r="R23" s="1574" t="s">
        <v>8</v>
      </c>
      <c r="S23" s="1575">
        <f>F23</f>
        <v>100</v>
      </c>
      <c r="T23" s="1574" t="s">
        <v>8</v>
      </c>
      <c r="U23" s="1575">
        <f>H23</f>
        <v>100</v>
      </c>
      <c r="V23" s="1574" t="s">
        <v>8</v>
      </c>
      <c r="W23" s="1575">
        <f>J23</f>
        <v>100</v>
      </c>
      <c r="X23" s="1568"/>
      <c r="Y23" s="378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87"/>
      <c r="Q24" s="1573"/>
      <c r="R24" s="1574"/>
      <c r="S24" s="1575"/>
      <c r="T24" s="1574"/>
      <c r="U24" s="1575"/>
      <c r="V24" s="1574"/>
      <c r="W24" s="1575"/>
      <c r="X24" s="1568"/>
      <c r="Y24" s="378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87"/>
      <c r="Q25" s="1573" t="str">
        <f>B25</f>
        <v>毗邻道路的类型与等级</v>
      </c>
      <c r="R25" s="1574" t="s">
        <v>8</v>
      </c>
      <c r="S25" s="1575">
        <f>F25</f>
        <v>100</v>
      </c>
      <c r="T25" s="1574" t="s">
        <v>8</v>
      </c>
      <c r="U25" s="1575">
        <f>H25</f>
        <v>100</v>
      </c>
      <c r="V25" s="1574" t="s">
        <v>8</v>
      </c>
      <c r="W25" s="1575">
        <f>J25</f>
        <v>100</v>
      </c>
      <c r="X25" s="1568"/>
      <c r="Y25" s="378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87"/>
      <c r="Q26" s="1573"/>
      <c r="R26" s="1574"/>
      <c r="S26" s="1575"/>
      <c r="T26" s="1574"/>
      <c r="U26" s="1575"/>
      <c r="V26" s="1574"/>
      <c r="W26" s="1575"/>
      <c r="X26" s="1568"/>
      <c r="Y26" s="378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87"/>
      <c r="Q27" s="1573" t="str">
        <f t="shared" ref="Q27:Q47" si="11">B27</f>
        <v>楼层</v>
      </c>
      <c r="R27" s="1574" t="s">
        <v>8</v>
      </c>
      <c r="S27" s="1575">
        <f>F27</f>
        <v>100</v>
      </c>
      <c r="T27" s="1574" t="s">
        <v>8</v>
      </c>
      <c r="U27" s="1575">
        <f>H27</f>
        <v>100</v>
      </c>
      <c r="V27" s="1574" t="s">
        <v>8</v>
      </c>
      <c r="W27" s="1575">
        <f>J27</f>
        <v>100</v>
      </c>
      <c r="X27" s="1568"/>
      <c r="Y27" s="378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87"/>
      <c r="Q28" s="1151" t="str">
        <f t="shared" si="11"/>
        <v>朝向</v>
      </c>
      <c r="R28" s="1569" t="s">
        <v>8</v>
      </c>
      <c r="S28" s="1570">
        <f>F28</f>
        <v>100</v>
      </c>
      <c r="T28" s="1569" t="s">
        <v>8</v>
      </c>
      <c r="U28" s="1570">
        <f>H28</f>
        <v>100</v>
      </c>
      <c r="V28" s="1569" t="s">
        <v>8</v>
      </c>
      <c r="W28" s="1570">
        <f>J28</f>
        <v>100</v>
      </c>
      <c r="X28" s="1571"/>
      <c r="Y28" s="378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87"/>
      <c r="Q29" s="1573">
        <f t="shared" si="11"/>
        <v>111</v>
      </c>
      <c r="R29" s="1574" t="s">
        <v>8</v>
      </c>
      <c r="S29" s="1575">
        <f t="shared" ref="S29:S47" si="12">F29</f>
        <v>100</v>
      </c>
      <c r="T29" s="1574" t="s">
        <v>8</v>
      </c>
      <c r="U29" s="1575">
        <f t="shared" ref="U29:U47" si="13">H29</f>
        <v>100</v>
      </c>
      <c r="V29" s="1574" t="s">
        <v>8</v>
      </c>
      <c r="W29" s="1575">
        <f t="shared" ref="W29:W47" si="14">J29</f>
        <v>100</v>
      </c>
      <c r="X29" s="1568"/>
      <c r="Y29" s="378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87"/>
      <c r="Q30" s="1573">
        <f t="shared" si="11"/>
        <v>111</v>
      </c>
      <c r="R30" s="1574" t="s">
        <v>8</v>
      </c>
      <c r="S30" s="1575">
        <f t="shared" si="12"/>
        <v>100</v>
      </c>
      <c r="T30" s="1574" t="s">
        <v>8</v>
      </c>
      <c r="U30" s="1575">
        <f t="shared" si="13"/>
        <v>100</v>
      </c>
      <c r="V30" s="1574" t="s">
        <v>8</v>
      </c>
      <c r="W30" s="1575">
        <f t="shared" si="14"/>
        <v>100</v>
      </c>
      <c r="X30" s="1568"/>
      <c r="Y30" s="378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87"/>
      <c r="Q31" s="1573">
        <f t="shared" si="11"/>
        <v>111</v>
      </c>
      <c r="R31" s="1574" t="s">
        <v>8</v>
      </c>
      <c r="S31" s="1575">
        <f t="shared" si="12"/>
        <v>100</v>
      </c>
      <c r="T31" s="1574" t="s">
        <v>8</v>
      </c>
      <c r="U31" s="1575">
        <f t="shared" si="13"/>
        <v>100</v>
      </c>
      <c r="V31" s="1574" t="s">
        <v>8</v>
      </c>
      <c r="W31" s="1575">
        <f t="shared" si="14"/>
        <v>100</v>
      </c>
      <c r="X31" s="1568"/>
      <c r="Y31" s="378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87"/>
      <c r="Q32" s="1573">
        <f t="shared" si="11"/>
        <v>111</v>
      </c>
      <c r="R32" s="1574" t="s">
        <v>8</v>
      </c>
      <c r="S32" s="1575">
        <f t="shared" si="12"/>
        <v>100</v>
      </c>
      <c r="T32" s="1574" t="s">
        <v>8</v>
      </c>
      <c r="U32" s="1575">
        <f t="shared" si="13"/>
        <v>100</v>
      </c>
      <c r="V32" s="1574" t="s">
        <v>8</v>
      </c>
      <c r="W32" s="1575">
        <f t="shared" si="14"/>
        <v>100</v>
      </c>
      <c r="X32" s="1568"/>
      <c r="Y32" s="3787"/>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88" t="s">
        <v>550</v>
      </c>
      <c r="Q33" s="1573" t="str">
        <f t="shared" si="11"/>
        <v>建筑类型</v>
      </c>
      <c r="R33" s="1574" t="s">
        <v>8</v>
      </c>
      <c r="S33" s="1575">
        <f t="shared" si="12"/>
        <v>100</v>
      </c>
      <c r="T33" s="1574" t="s">
        <v>8</v>
      </c>
      <c r="U33" s="1575">
        <f t="shared" si="13"/>
        <v>100</v>
      </c>
      <c r="V33" s="1574" t="s">
        <v>8</v>
      </c>
      <c r="W33" s="1575">
        <f t="shared" si="14"/>
        <v>100</v>
      </c>
      <c r="X33" s="1568"/>
      <c r="Y33" s="378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89"/>
      <c r="Q34" s="1606" t="str">
        <f t="shared" si="11"/>
        <v>项目建筑规模</v>
      </c>
      <c r="R34" s="1578" t="s">
        <v>8</v>
      </c>
      <c r="S34" s="1579" t="e">
        <f t="shared" si="12"/>
        <v>#N/A</v>
      </c>
      <c r="T34" s="1578" t="s">
        <v>8</v>
      </c>
      <c r="U34" s="1579" t="e">
        <f t="shared" si="13"/>
        <v>#N/A</v>
      </c>
      <c r="V34" s="1578" t="s">
        <v>8</v>
      </c>
      <c r="W34" s="1579" t="e">
        <f t="shared" si="14"/>
        <v>#N/A</v>
      </c>
      <c r="X34" s="1580"/>
      <c r="Y34" s="378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89"/>
      <c r="Q35" s="1573" t="str">
        <f t="shared" si="11"/>
        <v>建筑结构</v>
      </c>
      <c r="R35" s="1574" t="s">
        <v>8</v>
      </c>
      <c r="S35" s="1575">
        <f t="shared" si="12"/>
        <v>100</v>
      </c>
      <c r="T35" s="1574" t="s">
        <v>8</v>
      </c>
      <c r="U35" s="1575">
        <f t="shared" si="13"/>
        <v>100</v>
      </c>
      <c r="V35" s="1574" t="s">
        <v>8</v>
      </c>
      <c r="W35" s="1575">
        <f t="shared" si="14"/>
        <v>100</v>
      </c>
      <c r="X35" s="1568"/>
      <c r="Y35" s="378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89"/>
      <c r="Q36" s="1573" t="str">
        <f t="shared" si="11"/>
        <v>公共部分装修</v>
      </c>
      <c r="R36" s="1574" t="s">
        <v>8</v>
      </c>
      <c r="S36" s="1575">
        <f t="shared" si="12"/>
        <v>100</v>
      </c>
      <c r="T36" s="1574" t="s">
        <v>8</v>
      </c>
      <c r="U36" s="1575">
        <f t="shared" si="13"/>
        <v>100</v>
      </c>
      <c r="V36" s="1574" t="s">
        <v>8</v>
      </c>
      <c r="W36" s="1575">
        <f t="shared" si="14"/>
        <v>100</v>
      </c>
      <c r="X36" s="1568"/>
      <c r="Y36" s="378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89"/>
      <c r="Q37" s="1573" t="str">
        <f t="shared" si="11"/>
        <v>成新度</v>
      </c>
      <c r="R37" s="1574" t="s">
        <v>8</v>
      </c>
      <c r="S37" s="1575" t="e">
        <f t="shared" si="12"/>
        <v>#N/A</v>
      </c>
      <c r="T37" s="1574" t="s">
        <v>8</v>
      </c>
      <c r="U37" s="1575" t="e">
        <f t="shared" si="13"/>
        <v>#N/A</v>
      </c>
      <c r="V37" s="1574" t="s">
        <v>8</v>
      </c>
      <c r="W37" s="1575" t="e">
        <f t="shared" si="14"/>
        <v>#N/A</v>
      </c>
      <c r="X37" s="1568"/>
      <c r="Y37" s="378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89"/>
      <c r="Q38" s="1151" t="str">
        <f t="shared" si="11"/>
        <v>写字楼等级</v>
      </c>
      <c r="R38" s="1569" t="s">
        <v>8</v>
      </c>
      <c r="S38" s="1570">
        <f t="shared" si="12"/>
        <v>100</v>
      </c>
      <c r="T38" s="1569" t="s">
        <v>8</v>
      </c>
      <c r="U38" s="1570">
        <f t="shared" si="13"/>
        <v>100</v>
      </c>
      <c r="V38" s="1569" t="s">
        <v>8</v>
      </c>
      <c r="W38" s="1570">
        <f t="shared" si="14"/>
        <v>100</v>
      </c>
      <c r="X38" s="1571"/>
      <c r="Y38" s="378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89" t="s">
        <v>550</v>
      </c>
      <c r="Q39" s="1573" t="str">
        <f t="shared" si="11"/>
        <v>物业管理</v>
      </c>
      <c r="R39" s="1574" t="s">
        <v>8</v>
      </c>
      <c r="S39" s="1575">
        <f t="shared" si="12"/>
        <v>100</v>
      </c>
      <c r="T39" s="1574" t="s">
        <v>8</v>
      </c>
      <c r="U39" s="1575">
        <f t="shared" si="13"/>
        <v>100</v>
      </c>
      <c r="V39" s="1574" t="s">
        <v>8</v>
      </c>
      <c r="W39" s="1575">
        <f t="shared" si="14"/>
        <v>100</v>
      </c>
      <c r="X39" s="1568"/>
      <c r="Y39" s="3789"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89"/>
      <c r="Q40" s="1573" t="str">
        <f t="shared" si="11"/>
        <v>市政基础设施</v>
      </c>
      <c r="R40" s="1574" t="s">
        <v>8</v>
      </c>
      <c r="S40" s="1575">
        <f t="shared" si="12"/>
        <v>100</v>
      </c>
      <c r="T40" s="1574" t="s">
        <v>8</v>
      </c>
      <c r="U40" s="1575">
        <f t="shared" si="13"/>
        <v>100</v>
      </c>
      <c r="V40" s="1574" t="s">
        <v>8</v>
      </c>
      <c r="W40" s="1575">
        <f t="shared" si="14"/>
        <v>100</v>
      </c>
      <c r="X40" s="1568"/>
      <c r="Y40" s="378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89"/>
      <c r="Q41" s="1573" t="str">
        <f t="shared" si="11"/>
        <v>层高</v>
      </c>
      <c r="R41" s="1574" t="s">
        <v>8</v>
      </c>
      <c r="S41" s="1575">
        <f t="shared" si="12"/>
        <v>100</v>
      </c>
      <c r="T41" s="1574" t="s">
        <v>8</v>
      </c>
      <c r="U41" s="1575">
        <f t="shared" si="13"/>
        <v>100</v>
      </c>
      <c r="V41" s="1574" t="s">
        <v>8</v>
      </c>
      <c r="W41" s="1575">
        <f t="shared" si="14"/>
        <v>100</v>
      </c>
      <c r="X41" s="1568"/>
      <c r="Y41" s="378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89"/>
      <c r="Q42" s="1606" t="str">
        <f t="shared" si="11"/>
        <v>单套建筑面积</v>
      </c>
      <c r="R42" s="1578" t="s">
        <v>8</v>
      </c>
      <c r="S42" s="1579">
        <f t="shared" si="12"/>
        <v>100</v>
      </c>
      <c r="T42" s="1578" t="s">
        <v>8</v>
      </c>
      <c r="U42" s="1579">
        <f t="shared" si="13"/>
        <v>100</v>
      </c>
      <c r="V42" s="1578" t="s">
        <v>8</v>
      </c>
      <c r="W42" s="1579">
        <f t="shared" si="14"/>
        <v>100</v>
      </c>
      <c r="X42" s="1580"/>
      <c r="Y42" s="378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89"/>
      <c r="Q43" s="1573" t="str">
        <f t="shared" si="11"/>
        <v>内部装修</v>
      </c>
      <c r="R43" s="1574" t="s">
        <v>8</v>
      </c>
      <c r="S43" s="1575">
        <f t="shared" si="12"/>
        <v>100</v>
      </c>
      <c r="T43" s="1574" t="s">
        <v>8</v>
      </c>
      <c r="U43" s="1575">
        <f t="shared" si="13"/>
        <v>100</v>
      </c>
      <c r="V43" s="1574" t="s">
        <v>8</v>
      </c>
      <c r="W43" s="1575">
        <f t="shared" si="14"/>
        <v>100</v>
      </c>
      <c r="X43" s="1568"/>
      <c r="Y43" s="378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89"/>
      <c r="Q44" s="1573" t="str">
        <f t="shared" si="11"/>
        <v>内部装修维护情况</v>
      </c>
      <c r="R44" s="1574" t="s">
        <v>8</v>
      </c>
      <c r="S44" s="1575">
        <f t="shared" si="12"/>
        <v>100</v>
      </c>
      <c r="T44" s="1574" t="s">
        <v>8</v>
      </c>
      <c r="U44" s="1575">
        <f t="shared" si="13"/>
        <v>100</v>
      </c>
      <c r="V44" s="1574" t="s">
        <v>8</v>
      </c>
      <c r="W44" s="1575">
        <f t="shared" si="14"/>
        <v>100</v>
      </c>
      <c r="X44" s="1568"/>
      <c r="Y44" s="378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89"/>
      <c r="Q45" s="1151">
        <f t="shared" si="11"/>
        <v>111</v>
      </c>
      <c r="R45" s="1569" t="s">
        <v>8</v>
      </c>
      <c r="S45" s="1570">
        <f t="shared" si="12"/>
        <v>100</v>
      </c>
      <c r="T45" s="1569" t="s">
        <v>8</v>
      </c>
      <c r="U45" s="1570">
        <f t="shared" si="13"/>
        <v>100</v>
      </c>
      <c r="V45" s="1569" t="s">
        <v>8</v>
      </c>
      <c r="W45" s="1570">
        <f t="shared" si="14"/>
        <v>100</v>
      </c>
      <c r="X45" s="1571"/>
      <c r="Y45" s="378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89"/>
      <c r="Q46" s="1573">
        <f t="shared" si="11"/>
        <v>111</v>
      </c>
      <c r="R46" s="1574" t="s">
        <v>8</v>
      </c>
      <c r="S46" s="1575">
        <f t="shared" si="12"/>
        <v>100</v>
      </c>
      <c r="T46" s="1574" t="s">
        <v>8</v>
      </c>
      <c r="U46" s="1575">
        <f t="shared" si="13"/>
        <v>100</v>
      </c>
      <c r="V46" s="1574" t="s">
        <v>8</v>
      </c>
      <c r="W46" s="1575">
        <f t="shared" si="14"/>
        <v>100</v>
      </c>
      <c r="X46" s="1568"/>
      <c r="Y46" s="378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10"/>
      <c r="Q47" s="1573">
        <f t="shared" si="11"/>
        <v>111</v>
      </c>
      <c r="R47" s="1574" t="s">
        <v>8</v>
      </c>
      <c r="S47" s="1575">
        <f t="shared" si="12"/>
        <v>100</v>
      </c>
      <c r="T47" s="1574" t="s">
        <v>8</v>
      </c>
      <c r="U47" s="1575">
        <f t="shared" si="13"/>
        <v>100</v>
      </c>
      <c r="V47" s="1574" t="s">
        <v>8</v>
      </c>
      <c r="W47" s="1575">
        <f t="shared" si="14"/>
        <v>100</v>
      </c>
      <c r="X47" s="1568"/>
      <c r="Y47" s="3910"/>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750" t="str">
        <f>A48</f>
        <v>成交单价（元/平方米）</v>
      </c>
      <c r="Q48" s="3752"/>
      <c r="R48" s="3909">
        <f>E48</f>
        <v>0</v>
      </c>
      <c r="S48" s="3909"/>
      <c r="T48" s="3909">
        <f>G48</f>
        <v>0</v>
      </c>
      <c r="U48" s="3909"/>
      <c r="V48" s="3909">
        <f>I48</f>
        <v>0</v>
      </c>
      <c r="W48" s="3909"/>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750" t="str">
        <f>A49</f>
        <v>比较价格（元/平方米）</v>
      </c>
      <c r="Q49" s="3752"/>
      <c r="R49" s="3909" t="e">
        <f>IF(F1="售价",ROUND(PRODUCT(R48,AA7:AA47),0),ROUND(PRODUCT(R48,AA7:AA47),1))</f>
        <v>#DIV/0!</v>
      </c>
      <c r="S49" s="3909"/>
      <c r="T49" s="3909" t="e">
        <f>IF(F1="售价",ROUND(PRODUCT(T48,AB7:AB47),0),ROUND(PRODUCT(T48,AB7:AB47),1))</f>
        <v>#DIV/0!</v>
      </c>
      <c r="U49" s="3909"/>
      <c r="V49" s="3909" t="e">
        <f>IF(F1="售价",ROUND(PRODUCT(V48,AC7:AC47),0),ROUND(PRODUCT(V48,AC7:AC47),1))</f>
        <v>#DIV/0!</v>
      </c>
      <c r="W49" s="3909"/>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13" t="str">
        <f>A50</f>
        <v>估价对象XX用房的比较价格（楼面单价，元/平方米）</v>
      </c>
      <c r="Q50" s="3750"/>
      <c r="R50" s="3908" t="e">
        <f>IF(F1="售价",ROUND(AVERAGE(R49:V49),0),ROUND(AVERAGE(R49:V49),1))</f>
        <v>#DIV/0!</v>
      </c>
      <c r="S50" s="3908"/>
      <c r="T50" s="3908"/>
      <c r="U50" s="3908"/>
      <c r="V50" s="3908"/>
      <c r="W50" s="3908"/>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58" t="s">
        <v>522</v>
      </c>
      <c r="D4" s="3759"/>
      <c r="E4" s="3792" t="s">
        <v>523</v>
      </c>
      <c r="F4" s="3793"/>
      <c r="G4" s="3758" t="s">
        <v>524</v>
      </c>
      <c r="H4" s="3759"/>
      <c r="I4" s="3758" t="s">
        <v>525</v>
      </c>
      <c r="J4" s="3759"/>
      <c r="K4" s="514" t="s">
        <v>526</v>
      </c>
      <c r="L4" s="2133"/>
      <c r="M4" s="2134"/>
      <c r="N4" s="2134"/>
      <c r="O4" s="2134"/>
      <c r="P4" s="3760" t="s">
        <v>527</v>
      </c>
      <c r="Q4" s="3761"/>
      <c r="R4" s="3766" t="s">
        <v>523</v>
      </c>
      <c r="S4" s="3767"/>
      <c r="T4" s="3766" t="s">
        <v>524</v>
      </c>
      <c r="U4" s="3767"/>
      <c r="V4" s="3753" t="s">
        <v>525</v>
      </c>
      <c r="W4" s="3753"/>
      <c r="X4" s="1568"/>
      <c r="Y4" s="3766" t="s">
        <v>527</v>
      </c>
      <c r="Z4" s="3767"/>
      <c r="AA4" s="3755" t="s">
        <v>523</v>
      </c>
      <c r="AB4" s="3756" t="s">
        <v>524</v>
      </c>
      <c r="AC4" s="3755" t="s">
        <v>525</v>
      </c>
    </row>
    <row r="5" spans="1:29" ht="15">
      <c r="A5" s="515"/>
      <c r="B5" s="516"/>
      <c r="C5" s="3774" t="s">
        <v>2929</v>
      </c>
      <c r="D5" s="3775"/>
      <c r="E5" s="3794" t="s">
        <v>2930</v>
      </c>
      <c r="F5" s="3795"/>
      <c r="G5" s="3774" t="s">
        <v>2931</v>
      </c>
      <c r="H5" s="3775"/>
      <c r="I5" s="3774" t="s">
        <v>2932</v>
      </c>
      <c r="J5" s="3775"/>
      <c r="K5" s="514"/>
      <c r="L5" s="2133"/>
      <c r="M5" s="2134"/>
      <c r="N5" s="2134"/>
      <c r="O5" s="2134"/>
      <c r="P5" s="3762"/>
      <c r="Q5" s="3763"/>
      <c r="R5" s="3768"/>
      <c r="S5" s="3769"/>
      <c r="T5" s="3768"/>
      <c r="U5" s="3769"/>
      <c r="V5" s="3753"/>
      <c r="W5" s="3753"/>
      <c r="X5" s="1568"/>
      <c r="Y5" s="3768"/>
      <c r="Z5" s="3769"/>
      <c r="AA5" s="3756"/>
      <c r="AB5" s="3756"/>
      <c r="AC5" s="3756"/>
    </row>
    <row r="6" spans="1:29" ht="15.75" thickBot="1">
      <c r="A6" s="517"/>
      <c r="B6" s="518"/>
      <c r="C6" s="3772" t="s">
        <v>2933</v>
      </c>
      <c r="D6" s="3773"/>
      <c r="E6" s="3790" t="s">
        <v>2933</v>
      </c>
      <c r="F6" s="3791"/>
      <c r="G6" s="3772" t="s">
        <v>2933</v>
      </c>
      <c r="H6" s="3773"/>
      <c r="I6" s="3772" t="s">
        <v>2933</v>
      </c>
      <c r="J6" s="3773"/>
      <c r="K6" s="514" t="s">
        <v>528</v>
      </c>
      <c r="L6" s="2133"/>
      <c r="M6" s="2134"/>
      <c r="N6" s="2134"/>
      <c r="O6" s="2134"/>
      <c r="P6" s="3764"/>
      <c r="Q6" s="3765"/>
      <c r="R6" s="3768"/>
      <c r="S6" s="3769"/>
      <c r="T6" s="3770"/>
      <c r="U6" s="3771"/>
      <c r="V6" s="3753"/>
      <c r="W6" s="3753"/>
      <c r="X6" s="1568"/>
      <c r="Y6" s="3770"/>
      <c r="Z6" s="3771"/>
      <c r="AA6" s="3757"/>
      <c r="AB6" s="3757"/>
      <c r="AC6" s="3757"/>
    </row>
    <row r="7" spans="1:29" s="1220" customFormat="1" ht="15.75" thickBot="1">
      <c r="A7" s="2890"/>
      <c r="B7" s="2897" t="s">
        <v>529</v>
      </c>
      <c r="C7" s="519">
        <f>'数据-取费表'!B2</f>
        <v>43648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83" t="s">
        <v>530</v>
      </c>
      <c r="Q7" s="3785"/>
      <c r="R7" s="1569" t="s">
        <v>8</v>
      </c>
      <c r="S7" s="1570">
        <f t="shared" ref="S7:S15" si="0">F7</f>
        <v>0</v>
      </c>
      <c r="T7" s="1569" t="s">
        <v>8</v>
      </c>
      <c r="U7" s="1570">
        <f t="shared" ref="U7:U15" si="1">H7</f>
        <v>0</v>
      </c>
      <c r="V7" s="1569" t="s">
        <v>8</v>
      </c>
      <c r="W7" s="1570">
        <f t="shared" ref="W7:W15" si="2">J7</f>
        <v>0</v>
      </c>
      <c r="X7" s="1571"/>
      <c r="Y7" s="3783" t="s">
        <v>530</v>
      </c>
      <c r="Z7" s="3784"/>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83" t="s">
        <v>533</v>
      </c>
      <c r="Q8" s="3784"/>
      <c r="R8" s="1569" t="s">
        <v>8</v>
      </c>
      <c r="S8" s="1570">
        <f t="shared" si="0"/>
        <v>0</v>
      </c>
      <c r="T8" s="1569" t="s">
        <v>8</v>
      </c>
      <c r="U8" s="1570">
        <f t="shared" si="1"/>
        <v>0</v>
      </c>
      <c r="V8" s="1569" t="s">
        <v>8</v>
      </c>
      <c r="W8" s="1570">
        <f t="shared" si="2"/>
        <v>0</v>
      </c>
      <c r="X8" s="1571"/>
      <c r="Y8" s="3783" t="s">
        <v>533</v>
      </c>
      <c r="Z8" s="3784"/>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52" t="s">
        <v>535</v>
      </c>
      <c r="Q9" s="1151" t="str">
        <f t="shared" ref="Q9:Q15" si="6">B9</f>
        <v>用途</v>
      </c>
      <c r="R9" s="1569" t="s">
        <v>8</v>
      </c>
      <c r="S9" s="1570">
        <f t="shared" si="0"/>
        <v>100</v>
      </c>
      <c r="T9" s="1569" t="s">
        <v>8</v>
      </c>
      <c r="U9" s="1570">
        <f t="shared" si="1"/>
        <v>100</v>
      </c>
      <c r="V9" s="1569" t="s">
        <v>8</v>
      </c>
      <c r="W9" s="1570">
        <f t="shared" si="2"/>
        <v>100</v>
      </c>
      <c r="X9" s="1571"/>
      <c r="Y9" s="3698"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698"/>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52"/>
      <c r="Q11" s="1151" t="str">
        <f t="shared" si="6"/>
        <v>容积率</v>
      </c>
      <c r="R11" s="1569" t="s">
        <v>8</v>
      </c>
      <c r="S11" s="1570" t="e">
        <f t="shared" si="0"/>
        <v>#N/A</v>
      </c>
      <c r="T11" s="1569" t="s">
        <v>8</v>
      </c>
      <c r="U11" s="1570" t="e">
        <f t="shared" si="1"/>
        <v>#N/A</v>
      </c>
      <c r="V11" s="1569" t="s">
        <v>8</v>
      </c>
      <c r="W11" s="1570" t="e">
        <f t="shared" si="2"/>
        <v>#N/A</v>
      </c>
      <c r="X11" s="1571"/>
      <c r="Y11" s="3698"/>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698"/>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698"/>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52"/>
      <c r="Q14" s="1151">
        <f t="shared" si="6"/>
        <v>111</v>
      </c>
      <c r="R14" s="1569" t="s">
        <v>8</v>
      </c>
      <c r="S14" s="1570">
        <f t="shared" si="0"/>
        <v>100</v>
      </c>
      <c r="T14" s="1569" t="s">
        <v>8</v>
      </c>
      <c r="U14" s="1570">
        <f t="shared" si="1"/>
        <v>100</v>
      </c>
      <c r="V14" s="1569" t="s">
        <v>8</v>
      </c>
      <c r="W14" s="1570">
        <f t="shared" si="2"/>
        <v>100</v>
      </c>
      <c r="X14" s="1571"/>
      <c r="Y14" s="3698"/>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86" t="s">
        <v>540</v>
      </c>
      <c r="Q15" s="1573" t="str">
        <f t="shared" si="6"/>
        <v>产业集聚程度</v>
      </c>
      <c r="R15" s="1574" t="s">
        <v>8</v>
      </c>
      <c r="S15" s="1575">
        <f t="shared" si="0"/>
        <v>100</v>
      </c>
      <c r="T15" s="1574" t="s">
        <v>8</v>
      </c>
      <c r="U15" s="1575">
        <f t="shared" si="1"/>
        <v>100</v>
      </c>
      <c r="V15" s="1574" t="s">
        <v>8</v>
      </c>
      <c r="W15" s="1575">
        <f t="shared" si="2"/>
        <v>100</v>
      </c>
      <c r="X15" s="1568"/>
      <c r="Y15" s="378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87"/>
      <c r="Q16" s="1573"/>
      <c r="R16" s="1574"/>
      <c r="S16" s="1575"/>
      <c r="T16" s="1574"/>
      <c r="U16" s="1575"/>
      <c r="V16" s="1574"/>
      <c r="W16" s="1575"/>
      <c r="X16" s="1568"/>
      <c r="Y16" s="378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87"/>
      <c r="Q17" s="1573" t="str">
        <f>B17</f>
        <v>交通便捷度</v>
      </c>
      <c r="R17" s="1574" t="s">
        <v>8</v>
      </c>
      <c r="S17" s="1575">
        <f>F17</f>
        <v>100</v>
      </c>
      <c r="T17" s="1574" t="s">
        <v>8</v>
      </c>
      <c r="U17" s="1575">
        <f>H17</f>
        <v>100</v>
      </c>
      <c r="V17" s="1574" t="s">
        <v>8</v>
      </c>
      <c r="W17" s="1575">
        <f>J17</f>
        <v>100</v>
      </c>
      <c r="X17" s="1568"/>
      <c r="Y17" s="378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87"/>
      <c r="Q18" s="1573"/>
      <c r="R18" s="1574"/>
      <c r="S18" s="1575"/>
      <c r="T18" s="1574"/>
      <c r="U18" s="1575"/>
      <c r="V18" s="1574"/>
      <c r="W18" s="1575"/>
      <c r="X18" s="1568"/>
      <c r="Y18" s="3787"/>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87"/>
      <c r="Q19" s="1573" t="str">
        <f>B19</f>
        <v>公共配套设施</v>
      </c>
      <c r="R19" s="1574" t="s">
        <v>8</v>
      </c>
      <c r="S19" s="1575">
        <f>F19</f>
        <v>100</v>
      </c>
      <c r="T19" s="1574" t="s">
        <v>8</v>
      </c>
      <c r="U19" s="1575">
        <f>H19</f>
        <v>100</v>
      </c>
      <c r="V19" s="1574" t="s">
        <v>8</v>
      </c>
      <c r="W19" s="1575">
        <f>J19</f>
        <v>100</v>
      </c>
      <c r="X19" s="1568"/>
      <c r="Y19" s="378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87"/>
      <c r="Q20" s="1573"/>
      <c r="R20" s="1574"/>
      <c r="S20" s="1575"/>
      <c r="T20" s="1574"/>
      <c r="U20" s="1575"/>
      <c r="V20" s="1574"/>
      <c r="W20" s="1575"/>
      <c r="X20" s="1568"/>
      <c r="Y20" s="3787"/>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87"/>
      <c r="Q21" s="2558" t="str">
        <f>B21</f>
        <v>基础设施水平</v>
      </c>
      <c r="R21" s="1574" t="s">
        <v>8</v>
      </c>
      <c r="S21" s="1575">
        <f>F21</f>
        <v>100</v>
      </c>
      <c r="T21" s="1574" t="s">
        <v>8</v>
      </c>
      <c r="U21" s="1575">
        <f>H21</f>
        <v>100</v>
      </c>
      <c r="V21" s="1574" t="s">
        <v>8</v>
      </c>
      <c r="W21" s="1575">
        <f>J21</f>
        <v>100</v>
      </c>
      <c r="X21" s="2560"/>
      <c r="Y21" s="3787"/>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87"/>
      <c r="Q22" s="2558"/>
      <c r="R22" s="1574"/>
      <c r="S22" s="1575"/>
      <c r="T22" s="1574"/>
      <c r="U22" s="1575"/>
      <c r="V22" s="1574"/>
      <c r="W22" s="1575"/>
      <c r="X22" s="2560"/>
      <c r="Y22" s="3787"/>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87"/>
      <c r="Q23" s="1573" t="str">
        <f>B23</f>
        <v>环境质量</v>
      </c>
      <c r="R23" s="1574" t="s">
        <v>8</v>
      </c>
      <c r="S23" s="1575">
        <f>F23</f>
        <v>100</v>
      </c>
      <c r="T23" s="1574" t="s">
        <v>8</v>
      </c>
      <c r="U23" s="1575">
        <f>H23</f>
        <v>100</v>
      </c>
      <c r="V23" s="1574" t="s">
        <v>8</v>
      </c>
      <c r="W23" s="1575">
        <f>J23</f>
        <v>100</v>
      </c>
      <c r="X23" s="1568"/>
      <c r="Y23" s="378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87"/>
      <c r="Q24" s="1573"/>
      <c r="R24" s="1574"/>
      <c r="S24" s="1575"/>
      <c r="T24" s="1574"/>
      <c r="U24" s="1575"/>
      <c r="V24" s="1574"/>
      <c r="W24" s="1575"/>
      <c r="X24" s="1568"/>
      <c r="Y24" s="378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87"/>
      <c r="Q25" s="1573">
        <f>B25</f>
        <v>111</v>
      </c>
      <c r="R25" s="1574" t="s">
        <v>8</v>
      </c>
      <c r="S25" s="1575">
        <f>F25</f>
        <v>100</v>
      </c>
      <c r="T25" s="1574" t="s">
        <v>8</v>
      </c>
      <c r="U25" s="1575">
        <f>H25</f>
        <v>100</v>
      </c>
      <c r="V25" s="1574" t="s">
        <v>8</v>
      </c>
      <c r="W25" s="1575">
        <f>J25</f>
        <v>100</v>
      </c>
      <c r="X25" s="1568"/>
      <c r="Y25" s="378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87"/>
      <c r="Q26" s="1573">
        <f t="shared" ref="Q26:Q40" si="11">B26</f>
        <v>111</v>
      </c>
      <c r="R26" s="1574" t="s">
        <v>8</v>
      </c>
      <c r="S26" s="1575">
        <f>F26</f>
        <v>100</v>
      </c>
      <c r="T26" s="1574" t="s">
        <v>8</v>
      </c>
      <c r="U26" s="1575">
        <f>H26</f>
        <v>100</v>
      </c>
      <c r="V26" s="1574" t="s">
        <v>8</v>
      </c>
      <c r="W26" s="1575">
        <f>J26</f>
        <v>100</v>
      </c>
      <c r="X26" s="1568"/>
      <c r="Y26" s="378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87"/>
      <c r="Q27" s="1151">
        <f t="shared" si="11"/>
        <v>111</v>
      </c>
      <c r="R27" s="1569" t="s">
        <v>8</v>
      </c>
      <c r="S27" s="1570">
        <f>F27</f>
        <v>100</v>
      </c>
      <c r="T27" s="1569" t="s">
        <v>8</v>
      </c>
      <c r="U27" s="1570">
        <f>H27</f>
        <v>100</v>
      </c>
      <c r="V27" s="1569" t="s">
        <v>8</v>
      </c>
      <c r="W27" s="1570">
        <f>J27</f>
        <v>100</v>
      </c>
      <c r="X27" s="1571"/>
      <c r="Y27" s="378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87"/>
      <c r="Q28" s="1573">
        <f t="shared" si="11"/>
        <v>111</v>
      </c>
      <c r="R28" s="1574" t="s">
        <v>8</v>
      </c>
      <c r="S28" s="1575">
        <f t="shared" ref="S28:S40" si="12">F28</f>
        <v>100</v>
      </c>
      <c r="T28" s="1574" t="s">
        <v>8</v>
      </c>
      <c r="U28" s="1575">
        <f t="shared" ref="U28:U40" si="13">H28</f>
        <v>100</v>
      </c>
      <c r="V28" s="1574" t="s">
        <v>8</v>
      </c>
      <c r="W28" s="1575">
        <f t="shared" ref="W28:W40" si="14">J28</f>
        <v>100</v>
      </c>
      <c r="X28" s="1568"/>
      <c r="Y28" s="3787"/>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88" t="s">
        <v>550</v>
      </c>
      <c r="Q29" s="1573" t="str">
        <f t="shared" si="11"/>
        <v>建筑类型</v>
      </c>
      <c r="R29" s="1574" t="s">
        <v>8</v>
      </c>
      <c r="S29" s="1575">
        <f t="shared" si="12"/>
        <v>100</v>
      </c>
      <c r="T29" s="1574" t="s">
        <v>8</v>
      </c>
      <c r="U29" s="1575">
        <f t="shared" si="13"/>
        <v>100</v>
      </c>
      <c r="V29" s="1574" t="s">
        <v>8</v>
      </c>
      <c r="W29" s="1575">
        <f t="shared" si="14"/>
        <v>100</v>
      </c>
      <c r="X29" s="1568"/>
      <c r="Y29" s="378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89"/>
      <c r="Q30" s="1606" t="str">
        <f t="shared" si="11"/>
        <v>项目建筑规模</v>
      </c>
      <c r="R30" s="1578" t="s">
        <v>8</v>
      </c>
      <c r="S30" s="1579" t="e">
        <f t="shared" si="12"/>
        <v>#N/A</v>
      </c>
      <c r="T30" s="1578" t="s">
        <v>8</v>
      </c>
      <c r="U30" s="1579" t="e">
        <f t="shared" si="13"/>
        <v>#N/A</v>
      </c>
      <c r="V30" s="1578" t="s">
        <v>8</v>
      </c>
      <c r="W30" s="1579" t="e">
        <f t="shared" si="14"/>
        <v>#N/A</v>
      </c>
      <c r="X30" s="1580"/>
      <c r="Y30" s="378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89"/>
      <c r="Q31" s="1573" t="str">
        <f t="shared" si="11"/>
        <v>建筑结构</v>
      </c>
      <c r="R31" s="1574" t="s">
        <v>8</v>
      </c>
      <c r="S31" s="1575">
        <f t="shared" si="12"/>
        <v>100</v>
      </c>
      <c r="T31" s="1574" t="s">
        <v>8</v>
      </c>
      <c r="U31" s="1575">
        <f t="shared" si="13"/>
        <v>100</v>
      </c>
      <c r="V31" s="1574" t="s">
        <v>8</v>
      </c>
      <c r="W31" s="1575">
        <f t="shared" si="14"/>
        <v>100</v>
      </c>
      <c r="X31" s="1568"/>
      <c r="Y31" s="378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89"/>
      <c r="Q32" s="1573" t="str">
        <f t="shared" si="11"/>
        <v>公共部分装修</v>
      </c>
      <c r="R32" s="1574" t="s">
        <v>8</v>
      </c>
      <c r="S32" s="1575">
        <f t="shared" si="12"/>
        <v>100</v>
      </c>
      <c r="T32" s="1574" t="s">
        <v>8</v>
      </c>
      <c r="U32" s="1575">
        <f t="shared" si="13"/>
        <v>100</v>
      </c>
      <c r="V32" s="1574" t="s">
        <v>8</v>
      </c>
      <c r="W32" s="1575">
        <f t="shared" si="14"/>
        <v>100</v>
      </c>
      <c r="X32" s="1568"/>
      <c r="Y32" s="378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89"/>
      <c r="Q33" s="1573" t="str">
        <f t="shared" si="11"/>
        <v>成新度</v>
      </c>
      <c r="R33" s="1574" t="s">
        <v>8</v>
      </c>
      <c r="S33" s="1575" t="e">
        <f t="shared" si="12"/>
        <v>#N/A</v>
      </c>
      <c r="T33" s="1574" t="s">
        <v>8</v>
      </c>
      <c r="U33" s="1575" t="e">
        <f t="shared" si="13"/>
        <v>#N/A</v>
      </c>
      <c r="V33" s="1574" t="s">
        <v>8</v>
      </c>
      <c r="W33" s="1575" t="e">
        <f t="shared" si="14"/>
        <v>#N/A</v>
      </c>
      <c r="X33" s="1568"/>
      <c r="Y33" s="378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89"/>
      <c r="Q34" s="1151" t="str">
        <f t="shared" si="11"/>
        <v>物业管理</v>
      </c>
      <c r="R34" s="1569" t="s">
        <v>8</v>
      </c>
      <c r="S34" s="1570">
        <f t="shared" si="12"/>
        <v>100</v>
      </c>
      <c r="T34" s="1569" t="s">
        <v>8</v>
      </c>
      <c r="U34" s="1570">
        <f t="shared" si="13"/>
        <v>100</v>
      </c>
      <c r="V34" s="1569" t="s">
        <v>8</v>
      </c>
      <c r="W34" s="1570">
        <f t="shared" si="14"/>
        <v>100</v>
      </c>
      <c r="X34" s="1571"/>
      <c r="Y34" s="3789"/>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89" t="s">
        <v>550</v>
      </c>
      <c r="Q35" s="1573" t="str">
        <f t="shared" si="11"/>
        <v>市政基础设施</v>
      </c>
      <c r="R35" s="1574" t="s">
        <v>8</v>
      </c>
      <c r="S35" s="1575">
        <f t="shared" si="12"/>
        <v>100</v>
      </c>
      <c r="T35" s="1574" t="s">
        <v>8</v>
      </c>
      <c r="U35" s="1575">
        <f t="shared" si="13"/>
        <v>100</v>
      </c>
      <c r="V35" s="1574" t="s">
        <v>8</v>
      </c>
      <c r="W35" s="1575">
        <f t="shared" si="14"/>
        <v>100</v>
      </c>
      <c r="X35" s="1568"/>
      <c r="Y35" s="378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89"/>
      <c r="Q36" s="1573" t="str">
        <f t="shared" si="11"/>
        <v>内部装修</v>
      </c>
      <c r="R36" s="1574" t="s">
        <v>8</v>
      </c>
      <c r="S36" s="1575">
        <f t="shared" si="12"/>
        <v>100</v>
      </c>
      <c r="T36" s="1574" t="s">
        <v>8</v>
      </c>
      <c r="U36" s="1575">
        <f t="shared" si="13"/>
        <v>100</v>
      </c>
      <c r="V36" s="1574" t="s">
        <v>8</v>
      </c>
      <c r="W36" s="1575">
        <f t="shared" si="14"/>
        <v>100</v>
      </c>
      <c r="X36" s="1568"/>
      <c r="Y36" s="378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89"/>
      <c r="Q37" s="1573" t="str">
        <f t="shared" si="11"/>
        <v>内部装修状况</v>
      </c>
      <c r="R37" s="1574" t="s">
        <v>8</v>
      </c>
      <c r="S37" s="1575">
        <f t="shared" si="12"/>
        <v>100</v>
      </c>
      <c r="T37" s="1574" t="s">
        <v>8</v>
      </c>
      <c r="U37" s="1575">
        <f t="shared" si="13"/>
        <v>100</v>
      </c>
      <c r="V37" s="1574" t="s">
        <v>8</v>
      </c>
      <c r="W37" s="1575">
        <f t="shared" si="14"/>
        <v>100</v>
      </c>
      <c r="X37" s="1568"/>
      <c r="Y37" s="378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89"/>
      <c r="Q38" s="1606">
        <f t="shared" si="11"/>
        <v>111</v>
      </c>
      <c r="R38" s="1578" t="s">
        <v>8</v>
      </c>
      <c r="S38" s="1579">
        <f t="shared" si="12"/>
        <v>100</v>
      </c>
      <c r="T38" s="1578" t="s">
        <v>8</v>
      </c>
      <c r="U38" s="1579">
        <f t="shared" si="13"/>
        <v>100</v>
      </c>
      <c r="V38" s="1578" t="s">
        <v>8</v>
      </c>
      <c r="W38" s="1579">
        <f t="shared" si="14"/>
        <v>100</v>
      </c>
      <c r="X38" s="1580"/>
      <c r="Y38" s="378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89"/>
      <c r="Q39" s="1573">
        <f t="shared" si="11"/>
        <v>111</v>
      </c>
      <c r="R39" s="1574" t="s">
        <v>8</v>
      </c>
      <c r="S39" s="1575">
        <f t="shared" si="12"/>
        <v>100</v>
      </c>
      <c r="T39" s="1574" t="s">
        <v>8</v>
      </c>
      <c r="U39" s="1575">
        <f t="shared" si="13"/>
        <v>100</v>
      </c>
      <c r="V39" s="1574" t="s">
        <v>8</v>
      </c>
      <c r="W39" s="1575">
        <f t="shared" si="14"/>
        <v>100</v>
      </c>
      <c r="X39" s="1568"/>
      <c r="Y39" s="378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10"/>
      <c r="Q40" s="1573">
        <f t="shared" si="11"/>
        <v>111</v>
      </c>
      <c r="R40" s="1574" t="s">
        <v>8</v>
      </c>
      <c r="S40" s="1575">
        <f t="shared" si="12"/>
        <v>100</v>
      </c>
      <c r="T40" s="1574" t="s">
        <v>8</v>
      </c>
      <c r="U40" s="1575">
        <f t="shared" si="13"/>
        <v>100</v>
      </c>
      <c r="V40" s="1574" t="s">
        <v>8</v>
      </c>
      <c r="W40" s="1575">
        <f t="shared" si="14"/>
        <v>100</v>
      </c>
      <c r="X40" s="1568"/>
      <c r="Y40" s="3910"/>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52" t="str">
        <f>A41</f>
        <v>成交单价（元/平方米）</v>
      </c>
      <c r="Q41" s="3752"/>
      <c r="R41" s="3909">
        <f>E41</f>
        <v>0</v>
      </c>
      <c r="S41" s="3909"/>
      <c r="T41" s="3909">
        <f>G41</f>
        <v>0</v>
      </c>
      <c r="U41" s="3909"/>
      <c r="V41" s="3909">
        <f>I41</f>
        <v>0</v>
      </c>
      <c r="W41" s="3909"/>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52" t="str">
        <f>A42</f>
        <v>比较价格（元/平方米）</v>
      </c>
      <c r="Q42" s="3752"/>
      <c r="R42" s="3909" t="e">
        <f>IF(F1="售价",ROUND(PRODUCT(R41,AA7:AA40),0),ROUND(PRODUCT(R41,AA7:AA40),1))</f>
        <v>#DIV/0!</v>
      </c>
      <c r="S42" s="3909"/>
      <c r="T42" s="3909" t="e">
        <f>IF(F1="售价",ROUND(PRODUCT(T41,AB7:AB40),0),ROUND(PRODUCT(T41,AB7:AB40),1))</f>
        <v>#DIV/0!</v>
      </c>
      <c r="U42" s="3909"/>
      <c r="V42" s="3909" t="e">
        <f>IF(F1="售价",ROUND(PRODUCT(V41,AC7:AC40),0),ROUND(PRODUCT(V41,AC7:AC40),1))</f>
        <v>#DIV/0!</v>
      </c>
      <c r="W42" s="3909"/>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749" t="str">
        <f>A43</f>
        <v>估价对象XX用房的比较价格（楼面单价，元/平方米）</v>
      </c>
      <c r="Q43" s="3750"/>
      <c r="R43" s="3908" t="e">
        <f>IF(F1="售价",ROUND(AVERAGE(R42:V42),0),ROUND(AVERAGE(R42:V42),1))</f>
        <v>#DIV/0!</v>
      </c>
      <c r="S43" s="3908"/>
      <c r="T43" s="3908"/>
      <c r="U43" s="3908"/>
      <c r="V43" s="3908"/>
      <c r="W43" s="3908"/>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58" t="s">
        <v>798</v>
      </c>
      <c r="D4" s="3759"/>
      <c r="E4" s="3758" t="s">
        <v>799</v>
      </c>
      <c r="F4" s="3759"/>
      <c r="G4" s="3758" t="s">
        <v>800</v>
      </c>
      <c r="H4" s="3759"/>
      <c r="I4" s="3758" t="s">
        <v>801</v>
      </c>
      <c r="J4" s="3759"/>
      <c r="K4" s="514" t="s">
        <v>802</v>
      </c>
      <c r="L4" s="2133"/>
      <c r="M4" s="2134"/>
      <c r="N4" s="2134"/>
      <c r="O4" s="2134"/>
      <c r="P4" s="3760" t="s">
        <v>803</v>
      </c>
      <c r="Q4" s="3761"/>
      <c r="R4" s="3766" t="s">
        <v>799</v>
      </c>
      <c r="S4" s="3767"/>
      <c r="T4" s="3766" t="s">
        <v>800</v>
      </c>
      <c r="U4" s="3767"/>
      <c r="V4" s="3753" t="s">
        <v>801</v>
      </c>
      <c r="W4" s="3753"/>
      <c r="X4" s="1568"/>
      <c r="Y4" s="3766" t="s">
        <v>803</v>
      </c>
      <c r="Z4" s="3767"/>
      <c r="AA4" s="3755" t="s">
        <v>799</v>
      </c>
      <c r="AB4" s="3756" t="s">
        <v>800</v>
      </c>
      <c r="AC4" s="3755" t="s">
        <v>801</v>
      </c>
    </row>
    <row r="5" spans="1:29" ht="15">
      <c r="A5" s="515"/>
      <c r="B5" s="516"/>
      <c r="C5" s="3774" t="s">
        <v>2929</v>
      </c>
      <c r="D5" s="3775"/>
      <c r="E5" s="3774" t="s">
        <v>2930</v>
      </c>
      <c r="F5" s="3775"/>
      <c r="G5" s="3774" t="s">
        <v>2931</v>
      </c>
      <c r="H5" s="3775"/>
      <c r="I5" s="3774" t="s">
        <v>2932</v>
      </c>
      <c r="J5" s="3775"/>
      <c r="K5" s="514"/>
      <c r="L5" s="2133"/>
      <c r="M5" s="2134"/>
      <c r="N5" s="2134"/>
      <c r="O5" s="2134"/>
      <c r="P5" s="3762"/>
      <c r="Q5" s="3763"/>
      <c r="R5" s="3768"/>
      <c r="S5" s="3769"/>
      <c r="T5" s="3768"/>
      <c r="U5" s="3769"/>
      <c r="V5" s="3753"/>
      <c r="W5" s="3753"/>
      <c r="X5" s="1568"/>
      <c r="Y5" s="3768"/>
      <c r="Z5" s="3769"/>
      <c r="AA5" s="3756"/>
      <c r="AB5" s="3756"/>
      <c r="AC5" s="3756"/>
    </row>
    <row r="6" spans="1:29" ht="15.75" thickBot="1">
      <c r="A6" s="517"/>
      <c r="B6" s="518"/>
      <c r="C6" s="3772" t="s">
        <v>2933</v>
      </c>
      <c r="D6" s="3773"/>
      <c r="E6" s="3776" t="s">
        <v>2933</v>
      </c>
      <c r="F6" s="3777"/>
      <c r="G6" s="3772" t="s">
        <v>2933</v>
      </c>
      <c r="H6" s="3773"/>
      <c r="I6" s="3772" t="s">
        <v>2933</v>
      </c>
      <c r="J6" s="3773"/>
      <c r="K6" s="514" t="s">
        <v>528</v>
      </c>
      <c r="L6" s="2133"/>
      <c r="M6" s="2134"/>
      <c r="N6" s="2134"/>
      <c r="O6" s="2134"/>
      <c r="P6" s="3764"/>
      <c r="Q6" s="3765"/>
      <c r="R6" s="3768"/>
      <c r="S6" s="3769"/>
      <c r="T6" s="3770"/>
      <c r="U6" s="3771"/>
      <c r="V6" s="3753"/>
      <c r="W6" s="3753"/>
      <c r="X6" s="1568"/>
      <c r="Y6" s="3770"/>
      <c r="Z6" s="3771"/>
      <c r="AA6" s="3757"/>
      <c r="AB6" s="3757"/>
      <c r="AC6" s="3757"/>
    </row>
    <row r="7" spans="1:29" s="1220" customFormat="1" ht="15.75" thickBot="1">
      <c r="A7" s="2890"/>
      <c r="B7" s="2897" t="s">
        <v>529</v>
      </c>
      <c r="C7" s="519">
        <f>'数据-取费表'!B2</f>
        <v>43648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83" t="s">
        <v>530</v>
      </c>
      <c r="Q7" s="3785"/>
      <c r="R7" s="1569" t="s">
        <v>8</v>
      </c>
      <c r="S7" s="1570">
        <f t="shared" ref="S7:S14" si="0">F7</f>
        <v>0</v>
      </c>
      <c r="T7" s="1569" t="s">
        <v>8</v>
      </c>
      <c r="U7" s="1570">
        <f t="shared" ref="U7:U14" si="1">H7</f>
        <v>0</v>
      </c>
      <c r="V7" s="1569" t="s">
        <v>8</v>
      </c>
      <c r="W7" s="1570">
        <f t="shared" ref="W7:W14" si="2">J7</f>
        <v>0</v>
      </c>
      <c r="X7" s="1571"/>
      <c r="Y7" s="3783" t="s">
        <v>530</v>
      </c>
      <c r="Z7" s="3784"/>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83" t="s">
        <v>533</v>
      </c>
      <c r="Q8" s="3784"/>
      <c r="R8" s="1569" t="s">
        <v>8</v>
      </c>
      <c r="S8" s="1570">
        <f t="shared" si="0"/>
        <v>0</v>
      </c>
      <c r="T8" s="1569" t="s">
        <v>8</v>
      </c>
      <c r="U8" s="1570">
        <f t="shared" si="1"/>
        <v>0</v>
      </c>
      <c r="V8" s="1569" t="s">
        <v>8</v>
      </c>
      <c r="W8" s="1570">
        <f t="shared" si="2"/>
        <v>0</v>
      </c>
      <c r="X8" s="1571"/>
      <c r="Y8" s="3783" t="s">
        <v>533</v>
      </c>
      <c r="Z8" s="3784"/>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52" t="s">
        <v>535</v>
      </c>
      <c r="Q9" s="1151" t="str">
        <f t="shared" ref="Q9:Q14" si="6">B9</f>
        <v>用途</v>
      </c>
      <c r="R9" s="1569" t="s">
        <v>8</v>
      </c>
      <c r="S9" s="1570">
        <f t="shared" si="0"/>
        <v>100</v>
      </c>
      <c r="T9" s="1569" t="s">
        <v>8</v>
      </c>
      <c r="U9" s="1570">
        <f t="shared" si="1"/>
        <v>100</v>
      </c>
      <c r="V9" s="1569" t="s">
        <v>8</v>
      </c>
      <c r="W9" s="1570">
        <f t="shared" si="2"/>
        <v>100</v>
      </c>
      <c r="X9" s="1571"/>
      <c r="Y9" s="3698"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698"/>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52"/>
      <c r="Q11" s="1151">
        <f t="shared" si="6"/>
        <v>111</v>
      </c>
      <c r="R11" s="1569" t="s">
        <v>8</v>
      </c>
      <c r="S11" s="1570">
        <f t="shared" si="0"/>
        <v>100</v>
      </c>
      <c r="T11" s="1569" t="s">
        <v>8</v>
      </c>
      <c r="U11" s="1570">
        <f t="shared" si="1"/>
        <v>100</v>
      </c>
      <c r="V11" s="1569" t="s">
        <v>8</v>
      </c>
      <c r="W11" s="1570">
        <f t="shared" si="2"/>
        <v>100</v>
      </c>
      <c r="X11" s="1571"/>
      <c r="Y11" s="3698"/>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698"/>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698"/>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86" t="s">
        <v>540</v>
      </c>
      <c r="Q14" s="1573" t="str">
        <f t="shared" si="6"/>
        <v>交通便捷度</v>
      </c>
      <c r="R14" s="1574" t="s">
        <v>8</v>
      </c>
      <c r="S14" s="1575">
        <f t="shared" si="0"/>
        <v>100</v>
      </c>
      <c r="T14" s="1574" t="s">
        <v>8</v>
      </c>
      <c r="U14" s="1575">
        <f t="shared" si="1"/>
        <v>100</v>
      </c>
      <c r="V14" s="1574" t="s">
        <v>8</v>
      </c>
      <c r="W14" s="1575">
        <f t="shared" si="2"/>
        <v>100</v>
      </c>
      <c r="X14" s="1568"/>
      <c r="Y14" s="378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87"/>
      <c r="Q15" s="1573"/>
      <c r="R15" s="1574"/>
      <c r="S15" s="1575"/>
      <c r="T15" s="1574"/>
      <c r="U15" s="1575"/>
      <c r="V15" s="1574"/>
      <c r="W15" s="1575"/>
      <c r="X15" s="1568"/>
      <c r="Y15" s="3787"/>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87"/>
      <c r="Q16" s="1573" t="str">
        <f>B16</f>
        <v>公共配套设施</v>
      </c>
      <c r="R16" s="1574" t="s">
        <v>8</v>
      </c>
      <c r="S16" s="1575">
        <f>F16</f>
        <v>100</v>
      </c>
      <c r="T16" s="1574" t="s">
        <v>8</v>
      </c>
      <c r="U16" s="1575">
        <f>H16</f>
        <v>100</v>
      </c>
      <c r="V16" s="1574" t="s">
        <v>8</v>
      </c>
      <c r="W16" s="1575">
        <f>J16</f>
        <v>100</v>
      </c>
      <c r="X16" s="1568"/>
      <c r="Y16" s="378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87"/>
      <c r="Q17" s="1573"/>
      <c r="R17" s="1574"/>
      <c r="S17" s="1575"/>
      <c r="T17" s="1574"/>
      <c r="U17" s="1575"/>
      <c r="V17" s="1574"/>
      <c r="W17" s="1575"/>
      <c r="X17" s="1568"/>
      <c r="Y17" s="3787"/>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87"/>
      <c r="Q18" s="2558" t="str">
        <f>B18</f>
        <v>基础设施水平</v>
      </c>
      <c r="R18" s="1574" t="s">
        <v>8</v>
      </c>
      <c r="S18" s="1575">
        <f>F18</f>
        <v>100</v>
      </c>
      <c r="T18" s="1574" t="s">
        <v>8</v>
      </c>
      <c r="U18" s="1575">
        <f>H18</f>
        <v>100</v>
      </c>
      <c r="V18" s="1574" t="s">
        <v>8</v>
      </c>
      <c r="W18" s="1575">
        <f>J18</f>
        <v>100</v>
      </c>
      <c r="X18" s="2560"/>
      <c r="Y18" s="3787"/>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87"/>
      <c r="Q19" s="2558"/>
      <c r="R19" s="1574"/>
      <c r="S19" s="1575"/>
      <c r="T19" s="1574"/>
      <c r="U19" s="1575"/>
      <c r="V19" s="1574"/>
      <c r="W19" s="1575"/>
      <c r="X19" s="2560"/>
      <c r="Y19" s="3787"/>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87"/>
      <c r="Q20" s="1573" t="str">
        <f>B20</f>
        <v>自然及人文环境</v>
      </c>
      <c r="R20" s="1574" t="s">
        <v>8</v>
      </c>
      <c r="S20" s="1575">
        <f>F20</f>
        <v>100</v>
      </c>
      <c r="T20" s="1574" t="s">
        <v>8</v>
      </c>
      <c r="U20" s="1575">
        <f>H20</f>
        <v>100</v>
      </c>
      <c r="V20" s="1574" t="s">
        <v>8</v>
      </c>
      <c r="W20" s="1575">
        <f>J20</f>
        <v>100</v>
      </c>
      <c r="X20" s="1568"/>
      <c r="Y20" s="378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87"/>
      <c r="Q21" s="1573"/>
      <c r="R21" s="1574"/>
      <c r="S21" s="1575"/>
      <c r="T21" s="1574"/>
      <c r="U21" s="1575"/>
      <c r="V21" s="1574"/>
      <c r="W21" s="1575"/>
      <c r="X21" s="1568"/>
      <c r="Y21" s="378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87"/>
      <c r="Q22" s="1573" t="str">
        <f>B22</f>
        <v>楼层</v>
      </c>
      <c r="R22" s="1574" t="s">
        <v>8</v>
      </c>
      <c r="S22" s="1575">
        <f>F22</f>
        <v>100</v>
      </c>
      <c r="T22" s="1574" t="s">
        <v>8</v>
      </c>
      <c r="U22" s="1575">
        <f>H22</f>
        <v>100</v>
      </c>
      <c r="V22" s="1574" t="s">
        <v>8</v>
      </c>
      <c r="W22" s="1575">
        <f>J22</f>
        <v>100</v>
      </c>
      <c r="X22" s="1568"/>
      <c r="Y22" s="378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87"/>
      <c r="Q23" s="1573">
        <f>B23</f>
        <v>111</v>
      </c>
      <c r="R23" s="1574" t="s">
        <v>8</v>
      </c>
      <c r="S23" s="1575">
        <f>F23</f>
        <v>100</v>
      </c>
      <c r="T23" s="1574" t="s">
        <v>8</v>
      </c>
      <c r="U23" s="1575">
        <f>H23</f>
        <v>100</v>
      </c>
      <c r="V23" s="1574" t="s">
        <v>8</v>
      </c>
      <c r="W23" s="1575">
        <f>J23</f>
        <v>100</v>
      </c>
      <c r="X23" s="1568"/>
      <c r="Y23" s="378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87"/>
      <c r="Q24" s="1573">
        <f t="shared" ref="Q24:Q36" si="11">B24</f>
        <v>111</v>
      </c>
      <c r="R24" s="1574" t="s">
        <v>8</v>
      </c>
      <c r="S24" s="1575">
        <f>F24</f>
        <v>100</v>
      </c>
      <c r="T24" s="1574" t="s">
        <v>8</v>
      </c>
      <c r="U24" s="1575">
        <f>H24</f>
        <v>100</v>
      </c>
      <c r="V24" s="1574" t="s">
        <v>8</v>
      </c>
      <c r="W24" s="1575">
        <f>J24</f>
        <v>100</v>
      </c>
      <c r="X24" s="1568"/>
      <c r="Y24" s="378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87"/>
      <c r="Q25" s="1151">
        <f t="shared" si="11"/>
        <v>111</v>
      </c>
      <c r="R25" s="1569" t="s">
        <v>8</v>
      </c>
      <c r="S25" s="1570">
        <f>F25</f>
        <v>100</v>
      </c>
      <c r="T25" s="1569" t="s">
        <v>8</v>
      </c>
      <c r="U25" s="1570">
        <f>H25</f>
        <v>100</v>
      </c>
      <c r="V25" s="1569" t="s">
        <v>8</v>
      </c>
      <c r="W25" s="1570">
        <f>J25</f>
        <v>100</v>
      </c>
      <c r="X25" s="1571"/>
      <c r="Y25" s="3787"/>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8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8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89"/>
      <c r="Q27" s="1606" t="str">
        <f t="shared" si="11"/>
        <v>项目停车位配比</v>
      </c>
      <c r="R27" s="1578" t="s">
        <v>8</v>
      </c>
      <c r="S27" s="1579">
        <f t="shared" si="12"/>
        <v>100</v>
      </c>
      <c r="T27" s="1578" t="s">
        <v>8</v>
      </c>
      <c r="U27" s="1579">
        <f t="shared" si="13"/>
        <v>100</v>
      </c>
      <c r="V27" s="1578" t="s">
        <v>8</v>
      </c>
      <c r="W27" s="1579">
        <f t="shared" si="14"/>
        <v>100</v>
      </c>
      <c r="X27" s="1580"/>
      <c r="Y27" s="378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89"/>
      <c r="Q28" s="1573" t="str">
        <f t="shared" si="11"/>
        <v>公共部分装修</v>
      </c>
      <c r="R28" s="1574" t="s">
        <v>8</v>
      </c>
      <c r="S28" s="1575">
        <f t="shared" si="12"/>
        <v>100</v>
      </c>
      <c r="T28" s="1574" t="s">
        <v>8</v>
      </c>
      <c r="U28" s="1575">
        <f t="shared" si="13"/>
        <v>100</v>
      </c>
      <c r="V28" s="1574" t="s">
        <v>8</v>
      </c>
      <c r="W28" s="1575">
        <f t="shared" si="14"/>
        <v>100</v>
      </c>
      <c r="X28" s="1568"/>
      <c r="Y28" s="378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89"/>
      <c r="Q29" s="1573" t="str">
        <f t="shared" si="11"/>
        <v>成新率</v>
      </c>
      <c r="R29" s="1574" t="s">
        <v>8</v>
      </c>
      <c r="S29" s="1575" t="e">
        <f t="shared" si="12"/>
        <v>#N/A</v>
      </c>
      <c r="T29" s="1574" t="s">
        <v>8</v>
      </c>
      <c r="U29" s="1575" t="e">
        <f t="shared" si="13"/>
        <v>#N/A</v>
      </c>
      <c r="V29" s="1574" t="s">
        <v>8</v>
      </c>
      <c r="W29" s="1575" t="e">
        <f t="shared" si="14"/>
        <v>#N/A</v>
      </c>
      <c r="X29" s="1568"/>
      <c r="Y29" s="378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89"/>
      <c r="Q30" s="1573" t="str">
        <f t="shared" si="11"/>
        <v>物业等级</v>
      </c>
      <c r="R30" s="1574" t="s">
        <v>8</v>
      </c>
      <c r="S30" s="1575">
        <f t="shared" si="12"/>
        <v>100</v>
      </c>
      <c r="T30" s="1574" t="s">
        <v>8</v>
      </c>
      <c r="U30" s="1575">
        <f t="shared" si="13"/>
        <v>100</v>
      </c>
      <c r="V30" s="1574" t="s">
        <v>8</v>
      </c>
      <c r="W30" s="1575">
        <f t="shared" si="14"/>
        <v>100</v>
      </c>
      <c r="X30" s="1568"/>
      <c r="Y30" s="378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89"/>
      <c r="Q31" s="1151" t="str">
        <f t="shared" si="11"/>
        <v>停车位面积</v>
      </c>
      <c r="R31" s="1569" t="s">
        <v>8</v>
      </c>
      <c r="S31" s="1570" t="e">
        <f t="shared" si="12"/>
        <v>#N/A</v>
      </c>
      <c r="T31" s="1569" t="s">
        <v>8</v>
      </c>
      <c r="U31" s="1570" t="e">
        <f t="shared" si="13"/>
        <v>#N/A</v>
      </c>
      <c r="V31" s="1569" t="s">
        <v>8</v>
      </c>
      <c r="W31" s="1570" t="e">
        <f t="shared" si="14"/>
        <v>#N/A</v>
      </c>
      <c r="X31" s="1571"/>
      <c r="Y31" s="378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89" t="s">
        <v>550</v>
      </c>
      <c r="Q32" s="1573" t="str">
        <f t="shared" si="11"/>
        <v>车位类型</v>
      </c>
      <c r="R32" s="1574" t="s">
        <v>8</v>
      </c>
      <c r="S32" s="1575">
        <f t="shared" si="12"/>
        <v>100</v>
      </c>
      <c r="T32" s="1574" t="s">
        <v>8</v>
      </c>
      <c r="U32" s="1575">
        <f t="shared" si="13"/>
        <v>100</v>
      </c>
      <c r="V32" s="1574" t="s">
        <v>8</v>
      </c>
      <c r="W32" s="1575">
        <f t="shared" si="14"/>
        <v>100</v>
      </c>
      <c r="X32" s="1568"/>
      <c r="Y32" s="378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89"/>
      <c r="Q33" s="1573" t="str">
        <f t="shared" si="11"/>
        <v>是否直接入户</v>
      </c>
      <c r="R33" s="1574" t="s">
        <v>8</v>
      </c>
      <c r="S33" s="1575">
        <f t="shared" si="12"/>
        <v>100</v>
      </c>
      <c r="T33" s="1574" t="s">
        <v>8</v>
      </c>
      <c r="U33" s="1575">
        <f t="shared" si="13"/>
        <v>100</v>
      </c>
      <c r="V33" s="1574" t="s">
        <v>8</v>
      </c>
      <c r="W33" s="1575">
        <f t="shared" si="14"/>
        <v>100</v>
      </c>
      <c r="X33" s="1568"/>
      <c r="Y33" s="378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89"/>
      <c r="Q34" s="1573">
        <f t="shared" si="11"/>
        <v>111</v>
      </c>
      <c r="R34" s="1574" t="s">
        <v>8</v>
      </c>
      <c r="S34" s="1575">
        <f t="shared" si="12"/>
        <v>100</v>
      </c>
      <c r="T34" s="1574" t="s">
        <v>8</v>
      </c>
      <c r="U34" s="1575">
        <f t="shared" si="13"/>
        <v>100</v>
      </c>
      <c r="V34" s="1574" t="s">
        <v>8</v>
      </c>
      <c r="W34" s="1575">
        <f t="shared" si="14"/>
        <v>100</v>
      </c>
      <c r="X34" s="1568"/>
      <c r="Y34" s="378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89"/>
      <c r="Q35" s="1606">
        <f t="shared" si="11"/>
        <v>111</v>
      </c>
      <c r="R35" s="1578" t="s">
        <v>8</v>
      </c>
      <c r="S35" s="1579">
        <f t="shared" si="12"/>
        <v>100</v>
      </c>
      <c r="T35" s="1578" t="s">
        <v>8</v>
      </c>
      <c r="U35" s="1579">
        <f t="shared" si="13"/>
        <v>100</v>
      </c>
      <c r="V35" s="1578" t="s">
        <v>8</v>
      </c>
      <c r="W35" s="1579">
        <f t="shared" si="14"/>
        <v>100</v>
      </c>
      <c r="X35" s="1580"/>
      <c r="Y35" s="378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89"/>
      <c r="Q36" s="1573">
        <f t="shared" si="11"/>
        <v>111</v>
      </c>
      <c r="R36" s="1574" t="s">
        <v>8</v>
      </c>
      <c r="S36" s="1575">
        <f t="shared" si="12"/>
        <v>100</v>
      </c>
      <c r="T36" s="1574" t="s">
        <v>8</v>
      </c>
      <c r="U36" s="1575">
        <f t="shared" si="13"/>
        <v>100</v>
      </c>
      <c r="V36" s="1574" t="s">
        <v>8</v>
      </c>
      <c r="W36" s="1575">
        <f t="shared" si="14"/>
        <v>100</v>
      </c>
      <c r="X36" s="1568"/>
      <c r="Y36" s="3789"/>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52" t="str">
        <f>A37</f>
        <v>成交单价</v>
      </c>
      <c r="Q37" s="3752"/>
      <c r="R37" s="3909">
        <f>E37</f>
        <v>0</v>
      </c>
      <c r="S37" s="3909"/>
      <c r="T37" s="3909">
        <f>G37</f>
        <v>0</v>
      </c>
      <c r="U37" s="3909"/>
      <c r="V37" s="3909">
        <f>I37</f>
        <v>0</v>
      </c>
      <c r="W37" s="3909"/>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52" t="str">
        <f>A38</f>
        <v>比较价格（元/平方米）</v>
      </c>
      <c r="Q38" s="3752"/>
      <c r="R38" s="3909" t="e">
        <f>IF(F1="售价",ROUND(PRODUCT(R37,AA7:AA36),0),ROUND(PRODUCT(R37,AA7:AA36),1))</f>
        <v>#DIV/0!</v>
      </c>
      <c r="S38" s="3909"/>
      <c r="T38" s="3909" t="e">
        <f>IF(F1="售价",ROUND(PRODUCT(T37,AB7:AB36),0),ROUND(PRODUCT(T37,AB7:AB36),1))</f>
        <v>#DIV/0!</v>
      </c>
      <c r="U38" s="3909"/>
      <c r="V38" s="3909" t="e">
        <f>IF(F1="售价",ROUND(PRODUCT(V37,AC7:AC36),0),ROUND(PRODUCT(V37,AC7:AC36),1))</f>
        <v>#DIV/0!</v>
      </c>
      <c r="W38" s="3909"/>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749" t="str">
        <f>A39</f>
        <v>估价对象XX用房的比较价格（楼面单价，元/平方米）</v>
      </c>
      <c r="Q39" s="3750"/>
      <c r="R39" s="3908" t="e">
        <f>IF(F1="售价",ROUND(AVERAGE(R38:V38),0),ROUND(AVERAGE(R38:V38),1))</f>
        <v>#DIV/0!</v>
      </c>
      <c r="S39" s="3908"/>
      <c r="T39" s="3908"/>
      <c r="U39" s="3908"/>
      <c r="V39" s="3908"/>
      <c r="W39" s="3908"/>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58" t="s">
        <v>798</v>
      </c>
      <c r="D4" s="3759"/>
      <c r="E4" s="3792" t="s">
        <v>799</v>
      </c>
      <c r="F4" s="3793"/>
      <c r="G4" s="3758" t="s">
        <v>800</v>
      </c>
      <c r="H4" s="3759"/>
      <c r="I4" s="3758" t="s">
        <v>801</v>
      </c>
      <c r="J4" s="3759"/>
      <c r="K4" s="514" t="s">
        <v>802</v>
      </c>
      <c r="L4" s="2133"/>
      <c r="M4" s="2134"/>
      <c r="N4" s="2134"/>
      <c r="O4" s="2134"/>
      <c r="P4" s="3760" t="s">
        <v>803</v>
      </c>
      <c r="Q4" s="3761"/>
      <c r="R4" s="3766" t="s">
        <v>799</v>
      </c>
      <c r="S4" s="3767"/>
      <c r="T4" s="3766" t="s">
        <v>800</v>
      </c>
      <c r="U4" s="3767"/>
      <c r="V4" s="3753" t="s">
        <v>801</v>
      </c>
      <c r="W4" s="3753"/>
      <c r="X4" s="1568"/>
      <c r="Y4" s="3766" t="s">
        <v>803</v>
      </c>
      <c r="Z4" s="3767"/>
      <c r="AA4" s="3755" t="s">
        <v>799</v>
      </c>
      <c r="AB4" s="3756" t="s">
        <v>800</v>
      </c>
      <c r="AC4" s="3755" t="s">
        <v>801</v>
      </c>
    </row>
    <row r="5" spans="1:29" ht="15">
      <c r="A5" s="515"/>
      <c r="B5" s="516"/>
      <c r="C5" s="3774" t="s">
        <v>2929</v>
      </c>
      <c r="D5" s="3775"/>
      <c r="E5" s="3794" t="s">
        <v>2930</v>
      </c>
      <c r="F5" s="3795"/>
      <c r="G5" s="3774" t="s">
        <v>2931</v>
      </c>
      <c r="H5" s="3775"/>
      <c r="I5" s="3774" t="s">
        <v>2932</v>
      </c>
      <c r="J5" s="3775"/>
      <c r="K5" s="514"/>
      <c r="L5" s="2133"/>
      <c r="M5" s="2134"/>
      <c r="N5" s="2134"/>
      <c r="O5" s="2134"/>
      <c r="P5" s="3762"/>
      <c r="Q5" s="3763"/>
      <c r="R5" s="3768"/>
      <c r="S5" s="3769"/>
      <c r="T5" s="3768"/>
      <c r="U5" s="3769"/>
      <c r="V5" s="3753"/>
      <c r="W5" s="3753"/>
      <c r="X5" s="1568"/>
      <c r="Y5" s="3768"/>
      <c r="Z5" s="3769"/>
      <c r="AA5" s="3756"/>
      <c r="AB5" s="3756"/>
      <c r="AC5" s="3756"/>
    </row>
    <row r="6" spans="1:29" ht="15.75" thickBot="1">
      <c r="A6" s="517"/>
      <c r="B6" s="518"/>
      <c r="C6" s="3772" t="s">
        <v>2933</v>
      </c>
      <c r="D6" s="3773"/>
      <c r="E6" s="3790" t="s">
        <v>2933</v>
      </c>
      <c r="F6" s="3791"/>
      <c r="G6" s="3772" t="s">
        <v>2933</v>
      </c>
      <c r="H6" s="3773"/>
      <c r="I6" s="3772" t="s">
        <v>2933</v>
      </c>
      <c r="J6" s="3773"/>
      <c r="K6" s="514" t="s">
        <v>528</v>
      </c>
      <c r="L6" s="2133"/>
      <c r="M6" s="2134"/>
      <c r="N6" s="2134"/>
      <c r="O6" s="2134"/>
      <c r="P6" s="3764"/>
      <c r="Q6" s="3765"/>
      <c r="R6" s="3768"/>
      <c r="S6" s="3769"/>
      <c r="T6" s="3770"/>
      <c r="U6" s="3771"/>
      <c r="V6" s="3753"/>
      <c r="W6" s="3753"/>
      <c r="X6" s="1568"/>
      <c r="Y6" s="3770"/>
      <c r="Z6" s="3771"/>
      <c r="AA6" s="3757"/>
      <c r="AB6" s="3757"/>
      <c r="AC6" s="3757"/>
    </row>
    <row r="7" spans="1:29" s="1220" customFormat="1" ht="15.75" thickBot="1">
      <c r="A7" s="2890"/>
      <c r="B7" s="2897" t="s">
        <v>529</v>
      </c>
      <c r="C7" s="519">
        <f>'数据-取费表'!B2</f>
        <v>43648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83" t="s">
        <v>530</v>
      </c>
      <c r="Q7" s="3785"/>
      <c r="R7" s="1569" t="s">
        <v>8</v>
      </c>
      <c r="S7" s="1570">
        <f t="shared" ref="S7:S14" si="0">F7</f>
        <v>0</v>
      </c>
      <c r="T7" s="1569" t="s">
        <v>8</v>
      </c>
      <c r="U7" s="1570">
        <f t="shared" ref="U7:U14" si="1">H7</f>
        <v>0</v>
      </c>
      <c r="V7" s="1569" t="s">
        <v>8</v>
      </c>
      <c r="W7" s="1570">
        <f t="shared" ref="W7:W14" si="2">J7</f>
        <v>0</v>
      </c>
      <c r="X7" s="1571"/>
      <c r="Y7" s="3783" t="s">
        <v>530</v>
      </c>
      <c r="Z7" s="3784"/>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83" t="s">
        <v>533</v>
      </c>
      <c r="Q8" s="3784"/>
      <c r="R8" s="1569" t="s">
        <v>8</v>
      </c>
      <c r="S8" s="1570">
        <f t="shared" si="0"/>
        <v>0</v>
      </c>
      <c r="T8" s="1569" t="s">
        <v>8</v>
      </c>
      <c r="U8" s="1570">
        <f t="shared" si="1"/>
        <v>0</v>
      </c>
      <c r="V8" s="1569" t="s">
        <v>8</v>
      </c>
      <c r="W8" s="1570">
        <f t="shared" si="2"/>
        <v>0</v>
      </c>
      <c r="X8" s="1571"/>
      <c r="Y8" s="3783" t="s">
        <v>533</v>
      </c>
      <c r="Z8" s="3784"/>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52" t="s">
        <v>535</v>
      </c>
      <c r="Q9" s="1151" t="str">
        <f t="shared" ref="Q9:Q14" si="6">B9</f>
        <v>用途</v>
      </c>
      <c r="R9" s="1569" t="s">
        <v>8</v>
      </c>
      <c r="S9" s="1570">
        <f t="shared" si="0"/>
        <v>100</v>
      </c>
      <c r="T9" s="1569" t="s">
        <v>8</v>
      </c>
      <c r="U9" s="1570">
        <f t="shared" si="1"/>
        <v>100</v>
      </c>
      <c r="V9" s="1569" t="s">
        <v>8</v>
      </c>
      <c r="W9" s="1570">
        <f t="shared" si="2"/>
        <v>100</v>
      </c>
      <c r="X9" s="1571"/>
      <c r="Y9" s="3698"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52"/>
      <c r="Q10" s="1151" t="str">
        <f t="shared" si="6"/>
        <v>土地使用年限（年）</v>
      </c>
      <c r="R10" s="1569" t="s">
        <v>8</v>
      </c>
      <c r="S10" s="1570">
        <f t="shared" si="0"/>
        <v>100</v>
      </c>
      <c r="T10" s="1569" t="s">
        <v>8</v>
      </c>
      <c r="U10" s="1570">
        <f t="shared" si="1"/>
        <v>100</v>
      </c>
      <c r="V10" s="1569" t="s">
        <v>8</v>
      </c>
      <c r="W10" s="1570">
        <f t="shared" si="2"/>
        <v>100</v>
      </c>
      <c r="X10" s="1571"/>
      <c r="Y10" s="3698"/>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52"/>
      <c r="Q11" s="1151">
        <f t="shared" si="6"/>
        <v>111</v>
      </c>
      <c r="R11" s="1569" t="s">
        <v>8</v>
      </c>
      <c r="S11" s="1570">
        <f t="shared" si="0"/>
        <v>100</v>
      </c>
      <c r="T11" s="1569" t="s">
        <v>8</v>
      </c>
      <c r="U11" s="1570">
        <f t="shared" si="1"/>
        <v>100</v>
      </c>
      <c r="V11" s="1569" t="s">
        <v>8</v>
      </c>
      <c r="W11" s="1570">
        <f t="shared" si="2"/>
        <v>100</v>
      </c>
      <c r="X11" s="1571"/>
      <c r="Y11" s="3698"/>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52"/>
      <c r="Q12" s="1151">
        <f t="shared" si="6"/>
        <v>111</v>
      </c>
      <c r="R12" s="1569" t="s">
        <v>8</v>
      </c>
      <c r="S12" s="1570">
        <f t="shared" si="0"/>
        <v>100</v>
      </c>
      <c r="T12" s="1569" t="s">
        <v>8</v>
      </c>
      <c r="U12" s="1570">
        <f t="shared" si="1"/>
        <v>100</v>
      </c>
      <c r="V12" s="1569" t="s">
        <v>8</v>
      </c>
      <c r="W12" s="1570">
        <f t="shared" si="2"/>
        <v>100</v>
      </c>
      <c r="X12" s="1571"/>
      <c r="Y12" s="3698"/>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52"/>
      <c r="Q13" s="1151">
        <f t="shared" si="6"/>
        <v>111</v>
      </c>
      <c r="R13" s="1569" t="s">
        <v>8</v>
      </c>
      <c r="S13" s="1570">
        <f t="shared" si="0"/>
        <v>100</v>
      </c>
      <c r="T13" s="1569" t="s">
        <v>8</v>
      </c>
      <c r="U13" s="1570">
        <f t="shared" si="1"/>
        <v>100</v>
      </c>
      <c r="V13" s="1569" t="s">
        <v>8</v>
      </c>
      <c r="W13" s="1570">
        <f t="shared" si="2"/>
        <v>100</v>
      </c>
      <c r="X13" s="1571"/>
      <c r="Y13" s="3698"/>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86" t="s">
        <v>540</v>
      </c>
      <c r="Q14" s="1573" t="str">
        <f t="shared" si="6"/>
        <v>交通便捷度</v>
      </c>
      <c r="R14" s="1574" t="s">
        <v>8</v>
      </c>
      <c r="S14" s="1575">
        <f t="shared" si="0"/>
        <v>100</v>
      </c>
      <c r="T14" s="1574" t="s">
        <v>8</v>
      </c>
      <c r="U14" s="1575">
        <f t="shared" si="1"/>
        <v>100</v>
      </c>
      <c r="V14" s="1574" t="s">
        <v>8</v>
      </c>
      <c r="W14" s="1575">
        <f t="shared" si="2"/>
        <v>100</v>
      </c>
      <c r="X14" s="1568"/>
      <c r="Y14" s="378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87"/>
      <c r="Q15" s="1573"/>
      <c r="R15" s="1574"/>
      <c r="S15" s="1575"/>
      <c r="T15" s="1574"/>
      <c r="U15" s="1575"/>
      <c r="V15" s="1574"/>
      <c r="W15" s="1575"/>
      <c r="X15" s="1568"/>
      <c r="Y15" s="3787"/>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87"/>
      <c r="Q16" s="1573" t="str">
        <f>B16</f>
        <v>公共配套设施</v>
      </c>
      <c r="R16" s="1574" t="s">
        <v>8</v>
      </c>
      <c r="S16" s="1575">
        <f>F16</f>
        <v>100</v>
      </c>
      <c r="T16" s="1574" t="s">
        <v>8</v>
      </c>
      <c r="U16" s="1575">
        <f>H16</f>
        <v>100</v>
      </c>
      <c r="V16" s="1574" t="s">
        <v>8</v>
      </c>
      <c r="W16" s="1575">
        <f>J16</f>
        <v>100</v>
      </c>
      <c r="X16" s="1568"/>
      <c r="Y16" s="378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87"/>
      <c r="Q17" s="1573"/>
      <c r="R17" s="1574"/>
      <c r="S17" s="1575"/>
      <c r="T17" s="1574"/>
      <c r="U17" s="1575"/>
      <c r="V17" s="1574"/>
      <c r="W17" s="1575"/>
      <c r="X17" s="1568"/>
      <c r="Y17" s="3787"/>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87"/>
      <c r="Q18" s="2558" t="str">
        <f>B18</f>
        <v>基础设施水平</v>
      </c>
      <c r="R18" s="1574" t="s">
        <v>8</v>
      </c>
      <c r="S18" s="1575">
        <f>F18</f>
        <v>100</v>
      </c>
      <c r="T18" s="1574" t="s">
        <v>8</v>
      </c>
      <c r="U18" s="1575">
        <f>H18</f>
        <v>100</v>
      </c>
      <c r="V18" s="1574" t="s">
        <v>8</v>
      </c>
      <c r="W18" s="1575">
        <f>J18</f>
        <v>100</v>
      </c>
      <c r="X18" s="2560"/>
      <c r="Y18" s="3787"/>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87"/>
      <c r="Q19" s="2558"/>
      <c r="R19" s="1574"/>
      <c r="S19" s="1575"/>
      <c r="T19" s="1574"/>
      <c r="U19" s="1575"/>
      <c r="V19" s="1574"/>
      <c r="W19" s="1575"/>
      <c r="X19" s="2560"/>
      <c r="Y19" s="3787"/>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87"/>
      <c r="Q20" s="1573" t="str">
        <f>B20</f>
        <v>自然及人文环境</v>
      </c>
      <c r="R20" s="1574" t="s">
        <v>8</v>
      </c>
      <c r="S20" s="1575">
        <f>F20</f>
        <v>100</v>
      </c>
      <c r="T20" s="1574" t="s">
        <v>8</v>
      </c>
      <c r="U20" s="1575">
        <f>H20</f>
        <v>100</v>
      </c>
      <c r="V20" s="1574" t="s">
        <v>8</v>
      </c>
      <c r="W20" s="1575">
        <f>J20</f>
        <v>100</v>
      </c>
      <c r="X20" s="1568"/>
      <c r="Y20" s="378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87"/>
      <c r="Q21" s="1573"/>
      <c r="R21" s="1574"/>
      <c r="S21" s="1575"/>
      <c r="T21" s="1574"/>
      <c r="U21" s="1575"/>
      <c r="V21" s="1574"/>
      <c r="W21" s="1575"/>
      <c r="X21" s="1568"/>
      <c r="Y21" s="378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87"/>
      <c r="Q22" s="1573" t="str">
        <f>B22</f>
        <v>楼层</v>
      </c>
      <c r="R22" s="1574" t="s">
        <v>8</v>
      </c>
      <c r="S22" s="1575">
        <f>F22</f>
        <v>100</v>
      </c>
      <c r="T22" s="1574" t="s">
        <v>8</v>
      </c>
      <c r="U22" s="1575">
        <f>H22</f>
        <v>100</v>
      </c>
      <c r="V22" s="1574" t="s">
        <v>8</v>
      </c>
      <c r="W22" s="1575">
        <f>J22</f>
        <v>100</v>
      </c>
      <c r="X22" s="1568"/>
      <c r="Y22" s="378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87"/>
      <c r="Q23" s="1573">
        <f>B23</f>
        <v>111</v>
      </c>
      <c r="R23" s="1574" t="s">
        <v>8</v>
      </c>
      <c r="S23" s="1575">
        <f>F23</f>
        <v>100</v>
      </c>
      <c r="T23" s="1574" t="s">
        <v>8</v>
      </c>
      <c r="U23" s="1575">
        <f>H23</f>
        <v>100</v>
      </c>
      <c r="V23" s="1574" t="s">
        <v>8</v>
      </c>
      <c r="W23" s="1575">
        <f>J23</f>
        <v>100</v>
      </c>
      <c r="X23" s="1568"/>
      <c r="Y23" s="378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87"/>
      <c r="Q24" s="1573">
        <f t="shared" ref="Q24:Q34" si="11">B24</f>
        <v>111</v>
      </c>
      <c r="R24" s="1574" t="s">
        <v>8</v>
      </c>
      <c r="S24" s="1575">
        <f>F24</f>
        <v>100</v>
      </c>
      <c r="T24" s="1574" t="s">
        <v>8</v>
      </c>
      <c r="U24" s="1575">
        <f>H24</f>
        <v>100</v>
      </c>
      <c r="V24" s="1574" t="s">
        <v>8</v>
      </c>
      <c r="W24" s="1575">
        <f>J24</f>
        <v>100</v>
      </c>
      <c r="X24" s="1568"/>
      <c r="Y24" s="378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87"/>
      <c r="Q25" s="1151">
        <f t="shared" si="11"/>
        <v>111</v>
      </c>
      <c r="R25" s="1569" t="s">
        <v>8</v>
      </c>
      <c r="S25" s="1570">
        <f>F25</f>
        <v>100</v>
      </c>
      <c r="T25" s="1569" t="s">
        <v>8</v>
      </c>
      <c r="U25" s="1570">
        <f>H25</f>
        <v>100</v>
      </c>
      <c r="V25" s="1569" t="s">
        <v>8</v>
      </c>
      <c r="W25" s="1570">
        <f>J25</f>
        <v>100</v>
      </c>
      <c r="X25" s="1571"/>
      <c r="Y25" s="3787"/>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8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8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89"/>
      <c r="Q27" s="1606" t="str">
        <f t="shared" si="11"/>
        <v>成新率</v>
      </c>
      <c r="R27" s="1578" t="s">
        <v>8</v>
      </c>
      <c r="S27" s="1579" t="e">
        <f t="shared" si="12"/>
        <v>#N/A</v>
      </c>
      <c r="T27" s="1578" t="s">
        <v>8</v>
      </c>
      <c r="U27" s="1579" t="e">
        <f t="shared" si="13"/>
        <v>#N/A</v>
      </c>
      <c r="V27" s="1578" t="s">
        <v>8</v>
      </c>
      <c r="W27" s="1579" t="e">
        <f t="shared" si="14"/>
        <v>#N/A</v>
      </c>
      <c r="X27" s="1580"/>
      <c r="Y27" s="378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89"/>
      <c r="Q28" s="1573" t="str">
        <f t="shared" si="11"/>
        <v>物业等级</v>
      </c>
      <c r="R28" s="1574" t="s">
        <v>8</v>
      </c>
      <c r="S28" s="1575">
        <f t="shared" si="12"/>
        <v>100</v>
      </c>
      <c r="T28" s="1574" t="s">
        <v>8</v>
      </c>
      <c r="U28" s="1575">
        <f t="shared" si="13"/>
        <v>100</v>
      </c>
      <c r="V28" s="1574" t="s">
        <v>8</v>
      </c>
      <c r="W28" s="1575">
        <f t="shared" si="14"/>
        <v>100</v>
      </c>
      <c r="X28" s="1568"/>
      <c r="Y28" s="378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89"/>
      <c r="Q29" s="1573" t="str">
        <f t="shared" si="11"/>
        <v>有无电梯</v>
      </c>
      <c r="R29" s="1574" t="s">
        <v>8</v>
      </c>
      <c r="S29" s="1575">
        <f t="shared" si="12"/>
        <v>100</v>
      </c>
      <c r="T29" s="1574" t="s">
        <v>8</v>
      </c>
      <c r="U29" s="1575">
        <f t="shared" si="13"/>
        <v>100</v>
      </c>
      <c r="V29" s="1574" t="s">
        <v>8</v>
      </c>
      <c r="W29" s="1575">
        <f t="shared" si="14"/>
        <v>100</v>
      </c>
      <c r="X29" s="1568"/>
      <c r="Y29" s="378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89"/>
      <c r="Q30" s="1573" t="str">
        <f t="shared" si="11"/>
        <v>建筑面积</v>
      </c>
      <c r="R30" s="1574" t="s">
        <v>8</v>
      </c>
      <c r="S30" s="1575" t="e">
        <f t="shared" si="12"/>
        <v>#N/A</v>
      </c>
      <c r="T30" s="1574" t="s">
        <v>8</v>
      </c>
      <c r="U30" s="1575" t="e">
        <f t="shared" si="13"/>
        <v>#N/A</v>
      </c>
      <c r="V30" s="1574" t="s">
        <v>8</v>
      </c>
      <c r="W30" s="1575" t="e">
        <f t="shared" si="14"/>
        <v>#N/A</v>
      </c>
      <c r="X30" s="1568"/>
      <c r="Y30" s="378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89"/>
      <c r="Q31" s="1151" t="str">
        <f t="shared" si="11"/>
        <v>是否封闭</v>
      </c>
      <c r="R31" s="1569" t="s">
        <v>8</v>
      </c>
      <c r="S31" s="1570">
        <f t="shared" si="12"/>
        <v>100</v>
      </c>
      <c r="T31" s="1569" t="s">
        <v>8</v>
      </c>
      <c r="U31" s="1570">
        <f t="shared" si="13"/>
        <v>100</v>
      </c>
      <c r="V31" s="1569" t="s">
        <v>8</v>
      </c>
      <c r="W31" s="1570">
        <f t="shared" si="14"/>
        <v>100</v>
      </c>
      <c r="X31" s="1571"/>
      <c r="Y31" s="378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89" t="s">
        <v>550</v>
      </c>
      <c r="Q32" s="1573">
        <f t="shared" si="11"/>
        <v>111</v>
      </c>
      <c r="R32" s="1574" t="s">
        <v>8</v>
      </c>
      <c r="S32" s="1575">
        <f t="shared" si="12"/>
        <v>100</v>
      </c>
      <c r="T32" s="1574" t="s">
        <v>8</v>
      </c>
      <c r="U32" s="1575">
        <f t="shared" si="13"/>
        <v>100</v>
      </c>
      <c r="V32" s="1574" t="s">
        <v>8</v>
      </c>
      <c r="W32" s="1575">
        <f t="shared" si="14"/>
        <v>100</v>
      </c>
      <c r="X32" s="1568"/>
      <c r="Y32" s="378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89"/>
      <c r="Q33" s="1573">
        <f t="shared" si="11"/>
        <v>111</v>
      </c>
      <c r="R33" s="1574" t="s">
        <v>8</v>
      </c>
      <c r="S33" s="1575">
        <f t="shared" si="12"/>
        <v>100</v>
      </c>
      <c r="T33" s="1574" t="s">
        <v>8</v>
      </c>
      <c r="U33" s="1575">
        <f t="shared" si="13"/>
        <v>100</v>
      </c>
      <c r="V33" s="1574" t="s">
        <v>8</v>
      </c>
      <c r="W33" s="1575">
        <f t="shared" si="14"/>
        <v>100</v>
      </c>
      <c r="X33" s="1568"/>
      <c r="Y33" s="378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89"/>
      <c r="Q34" s="1573">
        <f t="shared" si="11"/>
        <v>111</v>
      </c>
      <c r="R34" s="1574" t="s">
        <v>8</v>
      </c>
      <c r="S34" s="1575">
        <f t="shared" si="12"/>
        <v>100</v>
      </c>
      <c r="T34" s="1574" t="s">
        <v>8</v>
      </c>
      <c r="U34" s="1575">
        <f t="shared" si="13"/>
        <v>100</v>
      </c>
      <c r="V34" s="1574" t="s">
        <v>8</v>
      </c>
      <c r="W34" s="1575">
        <f t="shared" si="14"/>
        <v>100</v>
      </c>
      <c r="X34" s="1568"/>
      <c r="Y34" s="3789"/>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52" t="str">
        <f>A35</f>
        <v>成交单价（元/平方米）</v>
      </c>
      <c r="Q35" s="3752"/>
      <c r="R35" s="3909">
        <f>E35</f>
        <v>0</v>
      </c>
      <c r="S35" s="3909"/>
      <c r="T35" s="3909">
        <f>G35</f>
        <v>0</v>
      </c>
      <c r="U35" s="3909"/>
      <c r="V35" s="3909">
        <f>I35</f>
        <v>0</v>
      </c>
      <c r="W35" s="3909"/>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52" t="str">
        <f>A36</f>
        <v>比较价格（元/平方米）</v>
      </c>
      <c r="Q36" s="3752"/>
      <c r="R36" s="3909" t="e">
        <f>IF(F1="售价",ROUND(PRODUCT(R35,AA7:AA34),0),ROUND(PRODUCT(R35,AA7:AA34),1))</f>
        <v>#DIV/0!</v>
      </c>
      <c r="S36" s="3909"/>
      <c r="T36" s="3909" t="e">
        <f>IF(F1="售价",ROUND(PRODUCT(T35,AB7:AB34),0),ROUND(PRODUCT(T35,AB7:AB34),1))</f>
        <v>#DIV/0!</v>
      </c>
      <c r="U36" s="3909"/>
      <c r="V36" s="3909" t="e">
        <f>IF(F1="售价",ROUND(PRODUCT(V35,AC7:AC34),0),ROUND(PRODUCT(V35,AC7:AC34),1))</f>
        <v>#DIV/0!</v>
      </c>
      <c r="W36" s="3909"/>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749" t="str">
        <f>A37</f>
        <v>估价对象XX用房的比较价格（楼面单价，元/平方米）</v>
      </c>
      <c r="Q37" s="3750"/>
      <c r="R37" s="3908" t="e">
        <f>IF(F1="售价",ROUND(AVERAGE(R36:V36),0),ROUND(AVERAGE(R36:V36),1))</f>
        <v>#DIV/0!</v>
      </c>
      <c r="S37" s="3908"/>
      <c r="T37" s="3908"/>
      <c r="U37" s="3908"/>
      <c r="V37" s="3908"/>
      <c r="W37" s="3908"/>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扬中绿洲新城实业集团有限公司：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2019年7月2日（评估专业人员勘察现场之日）</v>
      </c>
    </row>
    <row r="12" spans="1:4" ht="18.75">
      <c r="A12" s="1797" t="s">
        <v>2026</v>
      </c>
    </row>
    <row r="13" spans="1:4" ht="18.75">
      <c r="A13" s="1791" t="s">
        <v>2072</v>
      </c>
    </row>
    <row r="14" spans="1:4" ht="37.5">
      <c r="A14" s="1791" t="str">
        <f>"根据"&amp;项目基本情况!F12&amp;"，本次评估估价对象证载（地类）用途为"&amp;项目基本情况!B12&amp;"。"</f>
        <v>根据《不动产权证书》[苏（2019）扬中市不动产权第9000044号]，本次评估估价对象证载（地类）用途为其它商服用地。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20" t="s">
        <v>2305</v>
      </c>
      <c r="D1" s="3921"/>
      <c r="E1" s="3921"/>
      <c r="F1" s="3921"/>
      <c r="G1" s="3921"/>
      <c r="H1" s="3921"/>
      <c r="I1" s="3921"/>
      <c r="J1" s="3921"/>
      <c r="K1" s="3921"/>
      <c r="L1" s="3921"/>
      <c r="M1" s="3921"/>
      <c r="N1" s="3921"/>
      <c r="O1" s="3921"/>
      <c r="P1" s="3921"/>
      <c r="Q1" s="3921"/>
      <c r="R1" s="3921"/>
      <c r="S1" s="3922"/>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17" t="s">
        <v>20</v>
      </c>
      <c r="D22" s="3918"/>
      <c r="E22" s="3918"/>
      <c r="F22" s="3918"/>
      <c r="G22" s="3918"/>
      <c r="H22" s="3918"/>
      <c r="I22" s="3918"/>
      <c r="J22" s="3918"/>
      <c r="K22" s="3918"/>
      <c r="L22" s="3918"/>
      <c r="M22" s="3918"/>
      <c r="N22" s="3918"/>
      <c r="O22" s="3918"/>
      <c r="P22" s="3918"/>
      <c r="Q22" s="3919"/>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43648</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Q85"/>
  <sheetViews>
    <sheetView topLeftCell="A43" workbookViewId="0">
      <selection activeCell="H102" sqref="H102"/>
    </sheetView>
  </sheetViews>
  <sheetFormatPr defaultColWidth="9" defaultRowHeight="12.75"/>
  <cols>
    <col min="1" max="1" width="22.75" style="3180" customWidth="1"/>
    <col min="2" max="2" width="6.25" style="3180" hidden="1" customWidth="1"/>
    <col min="3" max="3" width="7.875" style="3180" customWidth="1"/>
    <col min="4" max="4" width="14.125" style="3180" customWidth="1"/>
    <col min="5" max="5" width="7.875" style="3180" hidden="1" customWidth="1"/>
    <col min="6" max="6" width="11" style="3180" customWidth="1"/>
    <col min="7" max="7" width="13.875" style="3180" hidden="1" customWidth="1"/>
    <col min="8" max="8" width="25" style="3180" customWidth="1"/>
    <col min="9" max="9" width="6.5" style="3180" customWidth="1"/>
    <col min="10" max="10" width="9" style="3180" customWidth="1"/>
    <col min="11" max="11" width="15.25" style="3180" customWidth="1"/>
    <col min="12" max="12" width="10.625" style="3180" hidden="1" customWidth="1"/>
    <col min="13" max="13" width="10.625" style="3180" customWidth="1"/>
    <col min="14" max="14" width="14.375" style="3180" customWidth="1"/>
    <col min="15" max="15" width="6.25" style="3180" customWidth="1"/>
    <col min="16" max="256" width="9" style="3180"/>
    <col min="257" max="257" width="34.375" style="3180" customWidth="1"/>
    <col min="258" max="258" width="6.25" style="3180" customWidth="1"/>
    <col min="259" max="259" width="7.875" style="3180" customWidth="1"/>
    <col min="260" max="260" width="34.375" style="3180" customWidth="1"/>
    <col min="261" max="261" width="7.875" style="3180" customWidth="1"/>
    <col min="262" max="263" width="13.875" style="3180" customWidth="1"/>
    <col min="264" max="264" width="27" style="3180" customWidth="1"/>
    <col min="265" max="265" width="7.875" style="3180" customWidth="1"/>
    <col min="266" max="266" width="9" style="3180" customWidth="1"/>
    <col min="267" max="267" width="39.25" style="3180" customWidth="1"/>
    <col min="268" max="269" width="10.625" style="3180" customWidth="1"/>
    <col min="270" max="270" width="14.375" style="3180" customWidth="1"/>
    <col min="271" max="271" width="6.25" style="3180" customWidth="1"/>
    <col min="272" max="512" width="9" style="3180"/>
    <col min="513" max="513" width="34.375" style="3180" customWidth="1"/>
    <col min="514" max="514" width="6.25" style="3180" customWidth="1"/>
    <col min="515" max="515" width="7.875" style="3180" customWidth="1"/>
    <col min="516" max="516" width="34.375" style="3180" customWidth="1"/>
    <col min="517" max="517" width="7.875" style="3180" customWidth="1"/>
    <col min="518" max="519" width="13.875" style="3180" customWidth="1"/>
    <col min="520" max="520" width="27" style="3180" customWidth="1"/>
    <col min="521" max="521" width="7.875" style="3180" customWidth="1"/>
    <col min="522" max="522" width="9" style="3180" customWidth="1"/>
    <col min="523" max="523" width="39.25" style="3180" customWidth="1"/>
    <col min="524" max="525" width="10.625" style="3180" customWidth="1"/>
    <col min="526" max="526" width="14.375" style="3180" customWidth="1"/>
    <col min="527" max="527" width="6.25" style="3180" customWidth="1"/>
    <col min="528" max="768" width="9" style="3180"/>
    <col min="769" max="769" width="34.375" style="3180" customWidth="1"/>
    <col min="770" max="770" width="6.25" style="3180" customWidth="1"/>
    <col min="771" max="771" width="7.875" style="3180" customWidth="1"/>
    <col min="772" max="772" width="34.375" style="3180" customWidth="1"/>
    <col min="773" max="773" width="7.875" style="3180" customWidth="1"/>
    <col min="774" max="775" width="13.875" style="3180" customWidth="1"/>
    <col min="776" max="776" width="27" style="3180" customWidth="1"/>
    <col min="777" max="777" width="7.875" style="3180" customWidth="1"/>
    <col min="778" max="778" width="9" style="3180" customWidth="1"/>
    <col min="779" max="779" width="39.25" style="3180" customWidth="1"/>
    <col min="780" max="781" width="10.625" style="3180" customWidth="1"/>
    <col min="782" max="782" width="14.375" style="3180" customWidth="1"/>
    <col min="783" max="783" width="6.25" style="3180" customWidth="1"/>
    <col min="784" max="1024" width="9" style="3180"/>
    <col min="1025" max="1025" width="34.375" style="3180" customWidth="1"/>
    <col min="1026" max="1026" width="6.25" style="3180" customWidth="1"/>
    <col min="1027" max="1027" width="7.875" style="3180" customWidth="1"/>
    <col min="1028" max="1028" width="34.375" style="3180" customWidth="1"/>
    <col min="1029" max="1029" width="7.875" style="3180" customWidth="1"/>
    <col min="1030" max="1031" width="13.875" style="3180" customWidth="1"/>
    <col min="1032" max="1032" width="27" style="3180" customWidth="1"/>
    <col min="1033" max="1033" width="7.875" style="3180" customWidth="1"/>
    <col min="1034" max="1034" width="9" style="3180" customWidth="1"/>
    <col min="1035" max="1035" width="39.25" style="3180" customWidth="1"/>
    <col min="1036" max="1037" width="10.625" style="3180" customWidth="1"/>
    <col min="1038" max="1038" width="14.375" style="3180" customWidth="1"/>
    <col min="1039" max="1039" width="6.25" style="3180" customWidth="1"/>
    <col min="1040" max="1280" width="9" style="3180"/>
    <col min="1281" max="1281" width="34.375" style="3180" customWidth="1"/>
    <col min="1282" max="1282" width="6.25" style="3180" customWidth="1"/>
    <col min="1283" max="1283" width="7.875" style="3180" customWidth="1"/>
    <col min="1284" max="1284" width="34.375" style="3180" customWidth="1"/>
    <col min="1285" max="1285" width="7.875" style="3180" customWidth="1"/>
    <col min="1286" max="1287" width="13.875" style="3180" customWidth="1"/>
    <col min="1288" max="1288" width="27" style="3180" customWidth="1"/>
    <col min="1289" max="1289" width="7.875" style="3180" customWidth="1"/>
    <col min="1290" max="1290" width="9" style="3180" customWidth="1"/>
    <col min="1291" max="1291" width="39.25" style="3180" customWidth="1"/>
    <col min="1292" max="1293" width="10.625" style="3180" customWidth="1"/>
    <col min="1294" max="1294" width="14.375" style="3180" customWidth="1"/>
    <col min="1295" max="1295" width="6.25" style="3180" customWidth="1"/>
    <col min="1296" max="1536" width="9" style="3180"/>
    <col min="1537" max="1537" width="34.375" style="3180" customWidth="1"/>
    <col min="1538" max="1538" width="6.25" style="3180" customWidth="1"/>
    <col min="1539" max="1539" width="7.875" style="3180" customWidth="1"/>
    <col min="1540" max="1540" width="34.375" style="3180" customWidth="1"/>
    <col min="1541" max="1541" width="7.875" style="3180" customWidth="1"/>
    <col min="1542" max="1543" width="13.875" style="3180" customWidth="1"/>
    <col min="1544" max="1544" width="27" style="3180" customWidth="1"/>
    <col min="1545" max="1545" width="7.875" style="3180" customWidth="1"/>
    <col min="1546" max="1546" width="9" style="3180" customWidth="1"/>
    <col min="1547" max="1547" width="39.25" style="3180" customWidth="1"/>
    <col min="1548" max="1549" width="10.625" style="3180" customWidth="1"/>
    <col min="1550" max="1550" width="14.375" style="3180" customWidth="1"/>
    <col min="1551" max="1551" width="6.25" style="3180" customWidth="1"/>
    <col min="1552" max="1792" width="9" style="3180"/>
    <col min="1793" max="1793" width="34.375" style="3180" customWidth="1"/>
    <col min="1794" max="1794" width="6.25" style="3180" customWidth="1"/>
    <col min="1795" max="1795" width="7.875" style="3180" customWidth="1"/>
    <col min="1796" max="1796" width="34.375" style="3180" customWidth="1"/>
    <col min="1797" max="1797" width="7.875" style="3180" customWidth="1"/>
    <col min="1798" max="1799" width="13.875" style="3180" customWidth="1"/>
    <col min="1800" max="1800" width="27" style="3180" customWidth="1"/>
    <col min="1801" max="1801" width="7.875" style="3180" customWidth="1"/>
    <col min="1802" max="1802" width="9" style="3180" customWidth="1"/>
    <col min="1803" max="1803" width="39.25" style="3180" customWidth="1"/>
    <col min="1804" max="1805" width="10.625" style="3180" customWidth="1"/>
    <col min="1806" max="1806" width="14.375" style="3180" customWidth="1"/>
    <col min="1807" max="1807" width="6.25" style="3180" customWidth="1"/>
    <col min="1808" max="2048" width="9" style="3180"/>
    <col min="2049" max="2049" width="34.375" style="3180" customWidth="1"/>
    <col min="2050" max="2050" width="6.25" style="3180" customWidth="1"/>
    <col min="2051" max="2051" width="7.875" style="3180" customWidth="1"/>
    <col min="2052" max="2052" width="34.375" style="3180" customWidth="1"/>
    <col min="2053" max="2053" width="7.875" style="3180" customWidth="1"/>
    <col min="2054" max="2055" width="13.875" style="3180" customWidth="1"/>
    <col min="2056" max="2056" width="27" style="3180" customWidth="1"/>
    <col min="2057" max="2057" width="7.875" style="3180" customWidth="1"/>
    <col min="2058" max="2058" width="9" style="3180" customWidth="1"/>
    <col min="2059" max="2059" width="39.25" style="3180" customWidth="1"/>
    <col min="2060" max="2061" width="10.625" style="3180" customWidth="1"/>
    <col min="2062" max="2062" width="14.375" style="3180" customWidth="1"/>
    <col min="2063" max="2063" width="6.25" style="3180" customWidth="1"/>
    <col min="2064" max="2304" width="9" style="3180"/>
    <col min="2305" max="2305" width="34.375" style="3180" customWidth="1"/>
    <col min="2306" max="2306" width="6.25" style="3180" customWidth="1"/>
    <col min="2307" max="2307" width="7.875" style="3180" customWidth="1"/>
    <col min="2308" max="2308" width="34.375" style="3180" customWidth="1"/>
    <col min="2309" max="2309" width="7.875" style="3180" customWidth="1"/>
    <col min="2310" max="2311" width="13.875" style="3180" customWidth="1"/>
    <col min="2312" max="2312" width="27" style="3180" customWidth="1"/>
    <col min="2313" max="2313" width="7.875" style="3180" customWidth="1"/>
    <col min="2314" max="2314" width="9" style="3180" customWidth="1"/>
    <col min="2315" max="2315" width="39.25" style="3180" customWidth="1"/>
    <col min="2316" max="2317" width="10.625" style="3180" customWidth="1"/>
    <col min="2318" max="2318" width="14.375" style="3180" customWidth="1"/>
    <col min="2319" max="2319" width="6.25" style="3180" customWidth="1"/>
    <col min="2320" max="2560" width="9" style="3180"/>
    <col min="2561" max="2561" width="34.375" style="3180" customWidth="1"/>
    <col min="2562" max="2562" width="6.25" style="3180" customWidth="1"/>
    <col min="2563" max="2563" width="7.875" style="3180" customWidth="1"/>
    <col min="2564" max="2564" width="34.375" style="3180" customWidth="1"/>
    <col min="2565" max="2565" width="7.875" style="3180" customWidth="1"/>
    <col min="2566" max="2567" width="13.875" style="3180" customWidth="1"/>
    <col min="2568" max="2568" width="27" style="3180" customWidth="1"/>
    <col min="2569" max="2569" width="7.875" style="3180" customWidth="1"/>
    <col min="2570" max="2570" width="9" style="3180" customWidth="1"/>
    <col min="2571" max="2571" width="39.25" style="3180" customWidth="1"/>
    <col min="2572" max="2573" width="10.625" style="3180" customWidth="1"/>
    <col min="2574" max="2574" width="14.375" style="3180" customWidth="1"/>
    <col min="2575" max="2575" width="6.25" style="3180" customWidth="1"/>
    <col min="2576" max="2816" width="9" style="3180"/>
    <col min="2817" max="2817" width="34.375" style="3180" customWidth="1"/>
    <col min="2818" max="2818" width="6.25" style="3180" customWidth="1"/>
    <col min="2819" max="2819" width="7.875" style="3180" customWidth="1"/>
    <col min="2820" max="2820" width="34.375" style="3180" customWidth="1"/>
    <col min="2821" max="2821" width="7.875" style="3180" customWidth="1"/>
    <col min="2822" max="2823" width="13.875" style="3180" customWidth="1"/>
    <col min="2824" max="2824" width="27" style="3180" customWidth="1"/>
    <col min="2825" max="2825" width="7.875" style="3180" customWidth="1"/>
    <col min="2826" max="2826" width="9" style="3180" customWidth="1"/>
    <col min="2827" max="2827" width="39.25" style="3180" customWidth="1"/>
    <col min="2828" max="2829" width="10.625" style="3180" customWidth="1"/>
    <col min="2830" max="2830" width="14.375" style="3180" customWidth="1"/>
    <col min="2831" max="2831" width="6.25" style="3180" customWidth="1"/>
    <col min="2832" max="3072" width="9" style="3180"/>
    <col min="3073" max="3073" width="34.375" style="3180" customWidth="1"/>
    <col min="3074" max="3074" width="6.25" style="3180" customWidth="1"/>
    <col min="3075" max="3075" width="7.875" style="3180" customWidth="1"/>
    <col min="3076" max="3076" width="34.375" style="3180" customWidth="1"/>
    <col min="3077" max="3077" width="7.875" style="3180" customWidth="1"/>
    <col min="3078" max="3079" width="13.875" style="3180" customWidth="1"/>
    <col min="3080" max="3080" width="27" style="3180" customWidth="1"/>
    <col min="3081" max="3081" width="7.875" style="3180" customWidth="1"/>
    <col min="3082" max="3082" width="9" style="3180" customWidth="1"/>
    <col min="3083" max="3083" width="39.25" style="3180" customWidth="1"/>
    <col min="3084" max="3085" width="10.625" style="3180" customWidth="1"/>
    <col min="3086" max="3086" width="14.375" style="3180" customWidth="1"/>
    <col min="3087" max="3087" width="6.25" style="3180" customWidth="1"/>
    <col min="3088" max="3328" width="9" style="3180"/>
    <col min="3329" max="3329" width="34.375" style="3180" customWidth="1"/>
    <col min="3330" max="3330" width="6.25" style="3180" customWidth="1"/>
    <col min="3331" max="3331" width="7.875" style="3180" customWidth="1"/>
    <col min="3332" max="3332" width="34.375" style="3180" customWidth="1"/>
    <col min="3333" max="3333" width="7.875" style="3180" customWidth="1"/>
    <col min="3334" max="3335" width="13.875" style="3180" customWidth="1"/>
    <col min="3336" max="3336" width="27" style="3180" customWidth="1"/>
    <col min="3337" max="3337" width="7.875" style="3180" customWidth="1"/>
    <col min="3338" max="3338" width="9" style="3180" customWidth="1"/>
    <col min="3339" max="3339" width="39.25" style="3180" customWidth="1"/>
    <col min="3340" max="3341" width="10.625" style="3180" customWidth="1"/>
    <col min="3342" max="3342" width="14.375" style="3180" customWidth="1"/>
    <col min="3343" max="3343" width="6.25" style="3180" customWidth="1"/>
    <col min="3344" max="3584" width="9" style="3180"/>
    <col min="3585" max="3585" width="34.375" style="3180" customWidth="1"/>
    <col min="3586" max="3586" width="6.25" style="3180" customWidth="1"/>
    <col min="3587" max="3587" width="7.875" style="3180" customWidth="1"/>
    <col min="3588" max="3588" width="34.375" style="3180" customWidth="1"/>
    <col min="3589" max="3589" width="7.875" style="3180" customWidth="1"/>
    <col min="3590" max="3591" width="13.875" style="3180" customWidth="1"/>
    <col min="3592" max="3592" width="27" style="3180" customWidth="1"/>
    <col min="3593" max="3593" width="7.875" style="3180" customWidth="1"/>
    <col min="3594" max="3594" width="9" style="3180" customWidth="1"/>
    <col min="3595" max="3595" width="39.25" style="3180" customWidth="1"/>
    <col min="3596" max="3597" width="10.625" style="3180" customWidth="1"/>
    <col min="3598" max="3598" width="14.375" style="3180" customWidth="1"/>
    <col min="3599" max="3599" width="6.25" style="3180" customWidth="1"/>
    <col min="3600" max="3840" width="9" style="3180"/>
    <col min="3841" max="3841" width="34.375" style="3180" customWidth="1"/>
    <col min="3842" max="3842" width="6.25" style="3180" customWidth="1"/>
    <col min="3843" max="3843" width="7.875" style="3180" customWidth="1"/>
    <col min="3844" max="3844" width="34.375" style="3180" customWidth="1"/>
    <col min="3845" max="3845" width="7.875" style="3180" customWidth="1"/>
    <col min="3846" max="3847" width="13.875" style="3180" customWidth="1"/>
    <col min="3848" max="3848" width="27" style="3180" customWidth="1"/>
    <col min="3849" max="3849" width="7.875" style="3180" customWidth="1"/>
    <col min="3850" max="3850" width="9" style="3180" customWidth="1"/>
    <col min="3851" max="3851" width="39.25" style="3180" customWidth="1"/>
    <col min="3852" max="3853" width="10.625" style="3180" customWidth="1"/>
    <col min="3854" max="3854" width="14.375" style="3180" customWidth="1"/>
    <col min="3855" max="3855" width="6.25" style="3180" customWidth="1"/>
    <col min="3856" max="4096" width="9" style="3180"/>
    <col min="4097" max="4097" width="34.375" style="3180" customWidth="1"/>
    <col min="4098" max="4098" width="6.25" style="3180" customWidth="1"/>
    <col min="4099" max="4099" width="7.875" style="3180" customWidth="1"/>
    <col min="4100" max="4100" width="34.375" style="3180" customWidth="1"/>
    <col min="4101" max="4101" width="7.875" style="3180" customWidth="1"/>
    <col min="4102" max="4103" width="13.875" style="3180" customWidth="1"/>
    <col min="4104" max="4104" width="27" style="3180" customWidth="1"/>
    <col min="4105" max="4105" width="7.875" style="3180" customWidth="1"/>
    <col min="4106" max="4106" width="9" style="3180" customWidth="1"/>
    <col min="4107" max="4107" width="39.25" style="3180" customWidth="1"/>
    <col min="4108" max="4109" width="10.625" style="3180" customWidth="1"/>
    <col min="4110" max="4110" width="14.375" style="3180" customWidth="1"/>
    <col min="4111" max="4111" width="6.25" style="3180" customWidth="1"/>
    <col min="4112" max="4352" width="9" style="3180"/>
    <col min="4353" max="4353" width="34.375" style="3180" customWidth="1"/>
    <col min="4354" max="4354" width="6.25" style="3180" customWidth="1"/>
    <col min="4355" max="4355" width="7.875" style="3180" customWidth="1"/>
    <col min="4356" max="4356" width="34.375" style="3180" customWidth="1"/>
    <col min="4357" max="4357" width="7.875" style="3180" customWidth="1"/>
    <col min="4358" max="4359" width="13.875" style="3180" customWidth="1"/>
    <col min="4360" max="4360" width="27" style="3180" customWidth="1"/>
    <col min="4361" max="4361" width="7.875" style="3180" customWidth="1"/>
    <col min="4362" max="4362" width="9" style="3180" customWidth="1"/>
    <col min="4363" max="4363" width="39.25" style="3180" customWidth="1"/>
    <col min="4364" max="4365" width="10.625" style="3180" customWidth="1"/>
    <col min="4366" max="4366" width="14.375" style="3180" customWidth="1"/>
    <col min="4367" max="4367" width="6.25" style="3180" customWidth="1"/>
    <col min="4368" max="4608" width="9" style="3180"/>
    <col min="4609" max="4609" width="34.375" style="3180" customWidth="1"/>
    <col min="4610" max="4610" width="6.25" style="3180" customWidth="1"/>
    <col min="4611" max="4611" width="7.875" style="3180" customWidth="1"/>
    <col min="4612" max="4612" width="34.375" style="3180" customWidth="1"/>
    <col min="4613" max="4613" width="7.875" style="3180" customWidth="1"/>
    <col min="4614" max="4615" width="13.875" style="3180" customWidth="1"/>
    <col min="4616" max="4616" width="27" style="3180" customWidth="1"/>
    <col min="4617" max="4617" width="7.875" style="3180" customWidth="1"/>
    <col min="4618" max="4618" width="9" style="3180" customWidth="1"/>
    <col min="4619" max="4619" width="39.25" style="3180" customWidth="1"/>
    <col min="4620" max="4621" width="10.625" style="3180" customWidth="1"/>
    <col min="4622" max="4622" width="14.375" style="3180" customWidth="1"/>
    <col min="4623" max="4623" width="6.25" style="3180" customWidth="1"/>
    <col min="4624" max="4864" width="9" style="3180"/>
    <col min="4865" max="4865" width="34.375" style="3180" customWidth="1"/>
    <col min="4866" max="4866" width="6.25" style="3180" customWidth="1"/>
    <col min="4867" max="4867" width="7.875" style="3180" customWidth="1"/>
    <col min="4868" max="4868" width="34.375" style="3180" customWidth="1"/>
    <col min="4869" max="4869" width="7.875" style="3180" customWidth="1"/>
    <col min="4870" max="4871" width="13.875" style="3180" customWidth="1"/>
    <col min="4872" max="4872" width="27" style="3180" customWidth="1"/>
    <col min="4873" max="4873" width="7.875" style="3180" customWidth="1"/>
    <col min="4874" max="4874" width="9" style="3180" customWidth="1"/>
    <col min="4875" max="4875" width="39.25" style="3180" customWidth="1"/>
    <col min="4876" max="4877" width="10.625" style="3180" customWidth="1"/>
    <col min="4878" max="4878" width="14.375" style="3180" customWidth="1"/>
    <col min="4879" max="4879" width="6.25" style="3180" customWidth="1"/>
    <col min="4880" max="5120" width="9" style="3180"/>
    <col min="5121" max="5121" width="34.375" style="3180" customWidth="1"/>
    <col min="5122" max="5122" width="6.25" style="3180" customWidth="1"/>
    <col min="5123" max="5123" width="7.875" style="3180" customWidth="1"/>
    <col min="5124" max="5124" width="34.375" style="3180" customWidth="1"/>
    <col min="5125" max="5125" width="7.875" style="3180" customWidth="1"/>
    <col min="5126" max="5127" width="13.875" style="3180" customWidth="1"/>
    <col min="5128" max="5128" width="27" style="3180" customWidth="1"/>
    <col min="5129" max="5129" width="7.875" style="3180" customWidth="1"/>
    <col min="5130" max="5130" width="9" style="3180" customWidth="1"/>
    <col min="5131" max="5131" width="39.25" style="3180" customWidth="1"/>
    <col min="5132" max="5133" width="10.625" style="3180" customWidth="1"/>
    <col min="5134" max="5134" width="14.375" style="3180" customWidth="1"/>
    <col min="5135" max="5135" width="6.25" style="3180" customWidth="1"/>
    <col min="5136" max="5376" width="9" style="3180"/>
    <col min="5377" max="5377" width="34.375" style="3180" customWidth="1"/>
    <col min="5378" max="5378" width="6.25" style="3180" customWidth="1"/>
    <col min="5379" max="5379" width="7.875" style="3180" customWidth="1"/>
    <col min="5380" max="5380" width="34.375" style="3180" customWidth="1"/>
    <col min="5381" max="5381" width="7.875" style="3180" customWidth="1"/>
    <col min="5382" max="5383" width="13.875" style="3180" customWidth="1"/>
    <col min="5384" max="5384" width="27" style="3180" customWidth="1"/>
    <col min="5385" max="5385" width="7.875" style="3180" customWidth="1"/>
    <col min="5386" max="5386" width="9" style="3180" customWidth="1"/>
    <col min="5387" max="5387" width="39.25" style="3180" customWidth="1"/>
    <col min="5388" max="5389" width="10.625" style="3180" customWidth="1"/>
    <col min="5390" max="5390" width="14.375" style="3180" customWidth="1"/>
    <col min="5391" max="5391" width="6.25" style="3180" customWidth="1"/>
    <col min="5392" max="5632" width="9" style="3180"/>
    <col min="5633" max="5633" width="34.375" style="3180" customWidth="1"/>
    <col min="5634" max="5634" width="6.25" style="3180" customWidth="1"/>
    <col min="5635" max="5635" width="7.875" style="3180" customWidth="1"/>
    <col min="5636" max="5636" width="34.375" style="3180" customWidth="1"/>
    <col min="5637" max="5637" width="7.875" style="3180" customWidth="1"/>
    <col min="5638" max="5639" width="13.875" style="3180" customWidth="1"/>
    <col min="5640" max="5640" width="27" style="3180" customWidth="1"/>
    <col min="5641" max="5641" width="7.875" style="3180" customWidth="1"/>
    <col min="5642" max="5642" width="9" style="3180" customWidth="1"/>
    <col min="5643" max="5643" width="39.25" style="3180" customWidth="1"/>
    <col min="5644" max="5645" width="10.625" style="3180" customWidth="1"/>
    <col min="5646" max="5646" width="14.375" style="3180" customWidth="1"/>
    <col min="5647" max="5647" width="6.25" style="3180" customWidth="1"/>
    <col min="5648" max="5888" width="9" style="3180"/>
    <col min="5889" max="5889" width="34.375" style="3180" customWidth="1"/>
    <col min="5890" max="5890" width="6.25" style="3180" customWidth="1"/>
    <col min="5891" max="5891" width="7.875" style="3180" customWidth="1"/>
    <col min="5892" max="5892" width="34.375" style="3180" customWidth="1"/>
    <col min="5893" max="5893" width="7.875" style="3180" customWidth="1"/>
    <col min="5894" max="5895" width="13.875" style="3180" customWidth="1"/>
    <col min="5896" max="5896" width="27" style="3180" customWidth="1"/>
    <col min="5897" max="5897" width="7.875" style="3180" customWidth="1"/>
    <col min="5898" max="5898" width="9" style="3180" customWidth="1"/>
    <col min="5899" max="5899" width="39.25" style="3180" customWidth="1"/>
    <col min="5900" max="5901" width="10.625" style="3180" customWidth="1"/>
    <col min="5902" max="5902" width="14.375" style="3180" customWidth="1"/>
    <col min="5903" max="5903" width="6.25" style="3180" customWidth="1"/>
    <col min="5904" max="6144" width="9" style="3180"/>
    <col min="6145" max="6145" width="34.375" style="3180" customWidth="1"/>
    <col min="6146" max="6146" width="6.25" style="3180" customWidth="1"/>
    <col min="6147" max="6147" width="7.875" style="3180" customWidth="1"/>
    <col min="6148" max="6148" width="34.375" style="3180" customWidth="1"/>
    <col min="6149" max="6149" width="7.875" style="3180" customWidth="1"/>
    <col min="6150" max="6151" width="13.875" style="3180" customWidth="1"/>
    <col min="6152" max="6152" width="27" style="3180" customWidth="1"/>
    <col min="6153" max="6153" width="7.875" style="3180" customWidth="1"/>
    <col min="6154" max="6154" width="9" style="3180" customWidth="1"/>
    <col min="6155" max="6155" width="39.25" style="3180" customWidth="1"/>
    <col min="6156" max="6157" width="10.625" style="3180" customWidth="1"/>
    <col min="6158" max="6158" width="14.375" style="3180" customWidth="1"/>
    <col min="6159" max="6159" width="6.25" style="3180" customWidth="1"/>
    <col min="6160" max="6400" width="9" style="3180"/>
    <col min="6401" max="6401" width="34.375" style="3180" customWidth="1"/>
    <col min="6402" max="6402" width="6.25" style="3180" customWidth="1"/>
    <col min="6403" max="6403" width="7.875" style="3180" customWidth="1"/>
    <col min="6404" max="6404" width="34.375" style="3180" customWidth="1"/>
    <col min="6405" max="6405" width="7.875" style="3180" customWidth="1"/>
    <col min="6406" max="6407" width="13.875" style="3180" customWidth="1"/>
    <col min="6408" max="6408" width="27" style="3180" customWidth="1"/>
    <col min="6409" max="6409" width="7.875" style="3180" customWidth="1"/>
    <col min="6410" max="6410" width="9" style="3180" customWidth="1"/>
    <col min="6411" max="6411" width="39.25" style="3180" customWidth="1"/>
    <col min="6412" max="6413" width="10.625" style="3180" customWidth="1"/>
    <col min="6414" max="6414" width="14.375" style="3180" customWidth="1"/>
    <col min="6415" max="6415" width="6.25" style="3180" customWidth="1"/>
    <col min="6416" max="6656" width="9" style="3180"/>
    <col min="6657" max="6657" width="34.375" style="3180" customWidth="1"/>
    <col min="6658" max="6658" width="6.25" style="3180" customWidth="1"/>
    <col min="6659" max="6659" width="7.875" style="3180" customWidth="1"/>
    <col min="6660" max="6660" width="34.375" style="3180" customWidth="1"/>
    <col min="6661" max="6661" width="7.875" style="3180" customWidth="1"/>
    <col min="6662" max="6663" width="13.875" style="3180" customWidth="1"/>
    <col min="6664" max="6664" width="27" style="3180" customWidth="1"/>
    <col min="6665" max="6665" width="7.875" style="3180" customWidth="1"/>
    <col min="6666" max="6666" width="9" style="3180" customWidth="1"/>
    <col min="6667" max="6667" width="39.25" style="3180" customWidth="1"/>
    <col min="6668" max="6669" width="10.625" style="3180" customWidth="1"/>
    <col min="6670" max="6670" width="14.375" style="3180" customWidth="1"/>
    <col min="6671" max="6671" width="6.25" style="3180" customWidth="1"/>
    <col min="6672" max="6912" width="9" style="3180"/>
    <col min="6913" max="6913" width="34.375" style="3180" customWidth="1"/>
    <col min="6914" max="6914" width="6.25" style="3180" customWidth="1"/>
    <col min="6915" max="6915" width="7.875" style="3180" customWidth="1"/>
    <col min="6916" max="6916" width="34.375" style="3180" customWidth="1"/>
    <col min="6917" max="6917" width="7.875" style="3180" customWidth="1"/>
    <col min="6918" max="6919" width="13.875" style="3180" customWidth="1"/>
    <col min="6920" max="6920" width="27" style="3180" customWidth="1"/>
    <col min="6921" max="6921" width="7.875" style="3180" customWidth="1"/>
    <col min="6922" max="6922" width="9" style="3180" customWidth="1"/>
    <col min="6923" max="6923" width="39.25" style="3180" customWidth="1"/>
    <col min="6924" max="6925" width="10.625" style="3180" customWidth="1"/>
    <col min="6926" max="6926" width="14.375" style="3180" customWidth="1"/>
    <col min="6927" max="6927" width="6.25" style="3180" customWidth="1"/>
    <col min="6928" max="7168" width="9" style="3180"/>
    <col min="7169" max="7169" width="34.375" style="3180" customWidth="1"/>
    <col min="7170" max="7170" width="6.25" style="3180" customWidth="1"/>
    <col min="7171" max="7171" width="7.875" style="3180" customWidth="1"/>
    <col min="7172" max="7172" width="34.375" style="3180" customWidth="1"/>
    <col min="7173" max="7173" width="7.875" style="3180" customWidth="1"/>
    <col min="7174" max="7175" width="13.875" style="3180" customWidth="1"/>
    <col min="7176" max="7176" width="27" style="3180" customWidth="1"/>
    <col min="7177" max="7177" width="7.875" style="3180" customWidth="1"/>
    <col min="7178" max="7178" width="9" style="3180" customWidth="1"/>
    <col min="7179" max="7179" width="39.25" style="3180" customWidth="1"/>
    <col min="7180" max="7181" width="10.625" style="3180" customWidth="1"/>
    <col min="7182" max="7182" width="14.375" style="3180" customWidth="1"/>
    <col min="7183" max="7183" width="6.25" style="3180" customWidth="1"/>
    <col min="7184" max="7424" width="9" style="3180"/>
    <col min="7425" max="7425" width="34.375" style="3180" customWidth="1"/>
    <col min="7426" max="7426" width="6.25" style="3180" customWidth="1"/>
    <col min="7427" max="7427" width="7.875" style="3180" customWidth="1"/>
    <col min="7428" max="7428" width="34.375" style="3180" customWidth="1"/>
    <col min="7429" max="7429" width="7.875" style="3180" customWidth="1"/>
    <col min="7430" max="7431" width="13.875" style="3180" customWidth="1"/>
    <col min="7432" max="7432" width="27" style="3180" customWidth="1"/>
    <col min="7433" max="7433" width="7.875" style="3180" customWidth="1"/>
    <col min="7434" max="7434" width="9" style="3180" customWidth="1"/>
    <col min="7435" max="7435" width="39.25" style="3180" customWidth="1"/>
    <col min="7436" max="7437" width="10.625" style="3180" customWidth="1"/>
    <col min="7438" max="7438" width="14.375" style="3180" customWidth="1"/>
    <col min="7439" max="7439" width="6.25" style="3180" customWidth="1"/>
    <col min="7440" max="7680" width="9" style="3180"/>
    <col min="7681" max="7681" width="34.375" style="3180" customWidth="1"/>
    <col min="7682" max="7682" width="6.25" style="3180" customWidth="1"/>
    <col min="7683" max="7683" width="7.875" style="3180" customWidth="1"/>
    <col min="7684" max="7684" width="34.375" style="3180" customWidth="1"/>
    <col min="7685" max="7685" width="7.875" style="3180" customWidth="1"/>
    <col min="7686" max="7687" width="13.875" style="3180" customWidth="1"/>
    <col min="7688" max="7688" width="27" style="3180" customWidth="1"/>
    <col min="7689" max="7689" width="7.875" style="3180" customWidth="1"/>
    <col min="7690" max="7690" width="9" style="3180" customWidth="1"/>
    <col min="7691" max="7691" width="39.25" style="3180" customWidth="1"/>
    <col min="7692" max="7693" width="10.625" style="3180" customWidth="1"/>
    <col min="7694" max="7694" width="14.375" style="3180" customWidth="1"/>
    <col min="7695" max="7695" width="6.25" style="3180" customWidth="1"/>
    <col min="7696" max="7936" width="9" style="3180"/>
    <col min="7937" max="7937" width="34.375" style="3180" customWidth="1"/>
    <col min="7938" max="7938" width="6.25" style="3180" customWidth="1"/>
    <col min="7939" max="7939" width="7.875" style="3180" customWidth="1"/>
    <col min="7940" max="7940" width="34.375" style="3180" customWidth="1"/>
    <col min="7941" max="7941" width="7.875" style="3180" customWidth="1"/>
    <col min="7942" max="7943" width="13.875" style="3180" customWidth="1"/>
    <col min="7944" max="7944" width="27" style="3180" customWidth="1"/>
    <col min="7945" max="7945" width="7.875" style="3180" customWidth="1"/>
    <col min="7946" max="7946" width="9" style="3180" customWidth="1"/>
    <col min="7947" max="7947" width="39.25" style="3180" customWidth="1"/>
    <col min="7948" max="7949" width="10.625" style="3180" customWidth="1"/>
    <col min="7950" max="7950" width="14.375" style="3180" customWidth="1"/>
    <col min="7951" max="7951" width="6.25" style="3180" customWidth="1"/>
    <col min="7952" max="8192" width="9" style="3180"/>
    <col min="8193" max="8193" width="34.375" style="3180" customWidth="1"/>
    <col min="8194" max="8194" width="6.25" style="3180" customWidth="1"/>
    <col min="8195" max="8195" width="7.875" style="3180" customWidth="1"/>
    <col min="8196" max="8196" width="34.375" style="3180" customWidth="1"/>
    <col min="8197" max="8197" width="7.875" style="3180" customWidth="1"/>
    <col min="8198" max="8199" width="13.875" style="3180" customWidth="1"/>
    <col min="8200" max="8200" width="27" style="3180" customWidth="1"/>
    <col min="8201" max="8201" width="7.875" style="3180" customWidth="1"/>
    <col min="8202" max="8202" width="9" style="3180" customWidth="1"/>
    <col min="8203" max="8203" width="39.25" style="3180" customWidth="1"/>
    <col min="8204" max="8205" width="10.625" style="3180" customWidth="1"/>
    <col min="8206" max="8206" width="14.375" style="3180" customWidth="1"/>
    <col min="8207" max="8207" width="6.25" style="3180" customWidth="1"/>
    <col min="8208" max="8448" width="9" style="3180"/>
    <col min="8449" max="8449" width="34.375" style="3180" customWidth="1"/>
    <col min="8450" max="8450" width="6.25" style="3180" customWidth="1"/>
    <col min="8451" max="8451" width="7.875" style="3180" customWidth="1"/>
    <col min="8452" max="8452" width="34.375" style="3180" customWidth="1"/>
    <col min="8453" max="8453" width="7.875" style="3180" customWidth="1"/>
    <col min="8454" max="8455" width="13.875" style="3180" customWidth="1"/>
    <col min="8456" max="8456" width="27" style="3180" customWidth="1"/>
    <col min="8457" max="8457" width="7.875" style="3180" customWidth="1"/>
    <col min="8458" max="8458" width="9" style="3180" customWidth="1"/>
    <col min="8459" max="8459" width="39.25" style="3180" customWidth="1"/>
    <col min="8460" max="8461" width="10.625" style="3180" customWidth="1"/>
    <col min="8462" max="8462" width="14.375" style="3180" customWidth="1"/>
    <col min="8463" max="8463" width="6.25" style="3180" customWidth="1"/>
    <col min="8464" max="8704" width="9" style="3180"/>
    <col min="8705" max="8705" width="34.375" style="3180" customWidth="1"/>
    <col min="8706" max="8706" width="6.25" style="3180" customWidth="1"/>
    <col min="8707" max="8707" width="7.875" style="3180" customWidth="1"/>
    <col min="8708" max="8708" width="34.375" style="3180" customWidth="1"/>
    <col min="8709" max="8709" width="7.875" style="3180" customWidth="1"/>
    <col min="8710" max="8711" width="13.875" style="3180" customWidth="1"/>
    <col min="8712" max="8712" width="27" style="3180" customWidth="1"/>
    <col min="8713" max="8713" width="7.875" style="3180" customWidth="1"/>
    <col min="8714" max="8714" width="9" style="3180" customWidth="1"/>
    <col min="8715" max="8715" width="39.25" style="3180" customWidth="1"/>
    <col min="8716" max="8717" width="10.625" style="3180" customWidth="1"/>
    <col min="8718" max="8718" width="14.375" style="3180" customWidth="1"/>
    <col min="8719" max="8719" width="6.25" style="3180" customWidth="1"/>
    <col min="8720" max="8960" width="9" style="3180"/>
    <col min="8961" max="8961" width="34.375" style="3180" customWidth="1"/>
    <col min="8962" max="8962" width="6.25" style="3180" customWidth="1"/>
    <col min="8963" max="8963" width="7.875" style="3180" customWidth="1"/>
    <col min="8964" max="8964" width="34.375" style="3180" customWidth="1"/>
    <col min="8965" max="8965" width="7.875" style="3180" customWidth="1"/>
    <col min="8966" max="8967" width="13.875" style="3180" customWidth="1"/>
    <col min="8968" max="8968" width="27" style="3180" customWidth="1"/>
    <col min="8969" max="8969" width="7.875" style="3180" customWidth="1"/>
    <col min="8970" max="8970" width="9" style="3180" customWidth="1"/>
    <col min="8971" max="8971" width="39.25" style="3180" customWidth="1"/>
    <col min="8972" max="8973" width="10.625" style="3180" customWidth="1"/>
    <col min="8974" max="8974" width="14.375" style="3180" customWidth="1"/>
    <col min="8975" max="8975" width="6.25" style="3180" customWidth="1"/>
    <col min="8976" max="9216" width="9" style="3180"/>
    <col min="9217" max="9217" width="34.375" style="3180" customWidth="1"/>
    <col min="9218" max="9218" width="6.25" style="3180" customWidth="1"/>
    <col min="9219" max="9219" width="7.875" style="3180" customWidth="1"/>
    <col min="9220" max="9220" width="34.375" style="3180" customWidth="1"/>
    <col min="9221" max="9221" width="7.875" style="3180" customWidth="1"/>
    <col min="9222" max="9223" width="13.875" style="3180" customWidth="1"/>
    <col min="9224" max="9224" width="27" style="3180" customWidth="1"/>
    <col min="9225" max="9225" width="7.875" style="3180" customWidth="1"/>
    <col min="9226" max="9226" width="9" style="3180" customWidth="1"/>
    <col min="9227" max="9227" width="39.25" style="3180" customWidth="1"/>
    <col min="9228" max="9229" width="10.625" style="3180" customWidth="1"/>
    <col min="9230" max="9230" width="14.375" style="3180" customWidth="1"/>
    <col min="9231" max="9231" width="6.25" style="3180" customWidth="1"/>
    <col min="9232" max="9472" width="9" style="3180"/>
    <col min="9473" max="9473" width="34.375" style="3180" customWidth="1"/>
    <col min="9474" max="9474" width="6.25" style="3180" customWidth="1"/>
    <col min="9475" max="9475" width="7.875" style="3180" customWidth="1"/>
    <col min="9476" max="9476" width="34.375" style="3180" customWidth="1"/>
    <col min="9477" max="9477" width="7.875" style="3180" customWidth="1"/>
    <col min="9478" max="9479" width="13.875" style="3180" customWidth="1"/>
    <col min="9480" max="9480" width="27" style="3180" customWidth="1"/>
    <col min="9481" max="9481" width="7.875" style="3180" customWidth="1"/>
    <col min="9482" max="9482" width="9" style="3180" customWidth="1"/>
    <col min="9483" max="9483" width="39.25" style="3180" customWidth="1"/>
    <col min="9484" max="9485" width="10.625" style="3180" customWidth="1"/>
    <col min="9486" max="9486" width="14.375" style="3180" customWidth="1"/>
    <col min="9487" max="9487" width="6.25" style="3180" customWidth="1"/>
    <col min="9488" max="9728" width="9" style="3180"/>
    <col min="9729" max="9729" width="34.375" style="3180" customWidth="1"/>
    <col min="9730" max="9730" width="6.25" style="3180" customWidth="1"/>
    <col min="9731" max="9731" width="7.875" style="3180" customWidth="1"/>
    <col min="9732" max="9732" width="34.375" style="3180" customWidth="1"/>
    <col min="9733" max="9733" width="7.875" style="3180" customWidth="1"/>
    <col min="9734" max="9735" width="13.875" style="3180" customWidth="1"/>
    <col min="9736" max="9736" width="27" style="3180" customWidth="1"/>
    <col min="9737" max="9737" width="7.875" style="3180" customWidth="1"/>
    <col min="9738" max="9738" width="9" style="3180" customWidth="1"/>
    <col min="9739" max="9739" width="39.25" style="3180" customWidth="1"/>
    <col min="9740" max="9741" width="10.625" style="3180" customWidth="1"/>
    <col min="9742" max="9742" width="14.375" style="3180" customWidth="1"/>
    <col min="9743" max="9743" width="6.25" style="3180" customWidth="1"/>
    <col min="9744" max="9984" width="9" style="3180"/>
    <col min="9985" max="9985" width="34.375" style="3180" customWidth="1"/>
    <col min="9986" max="9986" width="6.25" style="3180" customWidth="1"/>
    <col min="9987" max="9987" width="7.875" style="3180" customWidth="1"/>
    <col min="9988" max="9988" width="34.375" style="3180" customWidth="1"/>
    <col min="9989" max="9989" width="7.875" style="3180" customWidth="1"/>
    <col min="9990" max="9991" width="13.875" style="3180" customWidth="1"/>
    <col min="9992" max="9992" width="27" style="3180" customWidth="1"/>
    <col min="9993" max="9993" width="7.875" style="3180" customWidth="1"/>
    <col min="9994" max="9994" width="9" style="3180" customWidth="1"/>
    <col min="9995" max="9995" width="39.25" style="3180" customWidth="1"/>
    <col min="9996" max="9997" width="10.625" style="3180" customWidth="1"/>
    <col min="9998" max="9998" width="14.375" style="3180" customWidth="1"/>
    <col min="9999" max="9999" width="6.25" style="3180" customWidth="1"/>
    <col min="10000" max="10240" width="9" style="3180"/>
    <col min="10241" max="10241" width="34.375" style="3180" customWidth="1"/>
    <col min="10242" max="10242" width="6.25" style="3180" customWidth="1"/>
    <col min="10243" max="10243" width="7.875" style="3180" customWidth="1"/>
    <col min="10244" max="10244" width="34.375" style="3180" customWidth="1"/>
    <col min="10245" max="10245" width="7.875" style="3180" customWidth="1"/>
    <col min="10246" max="10247" width="13.875" style="3180" customWidth="1"/>
    <col min="10248" max="10248" width="27" style="3180" customWidth="1"/>
    <col min="10249" max="10249" width="7.875" style="3180" customWidth="1"/>
    <col min="10250" max="10250" width="9" style="3180" customWidth="1"/>
    <col min="10251" max="10251" width="39.25" style="3180" customWidth="1"/>
    <col min="10252" max="10253" width="10.625" style="3180" customWidth="1"/>
    <col min="10254" max="10254" width="14.375" style="3180" customWidth="1"/>
    <col min="10255" max="10255" width="6.25" style="3180" customWidth="1"/>
    <col min="10256" max="10496" width="9" style="3180"/>
    <col min="10497" max="10497" width="34.375" style="3180" customWidth="1"/>
    <col min="10498" max="10498" width="6.25" style="3180" customWidth="1"/>
    <col min="10499" max="10499" width="7.875" style="3180" customWidth="1"/>
    <col min="10500" max="10500" width="34.375" style="3180" customWidth="1"/>
    <col min="10501" max="10501" width="7.875" style="3180" customWidth="1"/>
    <col min="10502" max="10503" width="13.875" style="3180" customWidth="1"/>
    <col min="10504" max="10504" width="27" style="3180" customWidth="1"/>
    <col min="10505" max="10505" width="7.875" style="3180" customWidth="1"/>
    <col min="10506" max="10506" width="9" style="3180" customWidth="1"/>
    <col min="10507" max="10507" width="39.25" style="3180" customWidth="1"/>
    <col min="10508" max="10509" width="10.625" style="3180" customWidth="1"/>
    <col min="10510" max="10510" width="14.375" style="3180" customWidth="1"/>
    <col min="10511" max="10511" width="6.25" style="3180" customWidth="1"/>
    <col min="10512" max="10752" width="9" style="3180"/>
    <col min="10753" max="10753" width="34.375" style="3180" customWidth="1"/>
    <col min="10754" max="10754" width="6.25" style="3180" customWidth="1"/>
    <col min="10755" max="10755" width="7.875" style="3180" customWidth="1"/>
    <col min="10756" max="10756" width="34.375" style="3180" customWidth="1"/>
    <col min="10757" max="10757" width="7.875" style="3180" customWidth="1"/>
    <col min="10758" max="10759" width="13.875" style="3180" customWidth="1"/>
    <col min="10760" max="10760" width="27" style="3180" customWidth="1"/>
    <col min="10761" max="10761" width="7.875" style="3180" customWidth="1"/>
    <col min="10762" max="10762" width="9" style="3180" customWidth="1"/>
    <col min="10763" max="10763" width="39.25" style="3180" customWidth="1"/>
    <col min="10764" max="10765" width="10.625" style="3180" customWidth="1"/>
    <col min="10766" max="10766" width="14.375" style="3180" customWidth="1"/>
    <col min="10767" max="10767" width="6.25" style="3180" customWidth="1"/>
    <col min="10768" max="11008" width="9" style="3180"/>
    <col min="11009" max="11009" width="34.375" style="3180" customWidth="1"/>
    <col min="11010" max="11010" width="6.25" style="3180" customWidth="1"/>
    <col min="11011" max="11011" width="7.875" style="3180" customWidth="1"/>
    <col min="11012" max="11012" width="34.375" style="3180" customWidth="1"/>
    <col min="11013" max="11013" width="7.875" style="3180" customWidth="1"/>
    <col min="11014" max="11015" width="13.875" style="3180" customWidth="1"/>
    <col min="11016" max="11016" width="27" style="3180" customWidth="1"/>
    <col min="11017" max="11017" width="7.875" style="3180" customWidth="1"/>
    <col min="11018" max="11018" width="9" style="3180" customWidth="1"/>
    <col min="11019" max="11019" width="39.25" style="3180" customWidth="1"/>
    <col min="11020" max="11021" width="10.625" style="3180" customWidth="1"/>
    <col min="11022" max="11022" width="14.375" style="3180" customWidth="1"/>
    <col min="11023" max="11023" width="6.25" style="3180" customWidth="1"/>
    <col min="11024" max="11264" width="9" style="3180"/>
    <col min="11265" max="11265" width="34.375" style="3180" customWidth="1"/>
    <col min="11266" max="11266" width="6.25" style="3180" customWidth="1"/>
    <col min="11267" max="11267" width="7.875" style="3180" customWidth="1"/>
    <col min="11268" max="11268" width="34.375" style="3180" customWidth="1"/>
    <col min="11269" max="11269" width="7.875" style="3180" customWidth="1"/>
    <col min="11270" max="11271" width="13.875" style="3180" customWidth="1"/>
    <col min="11272" max="11272" width="27" style="3180" customWidth="1"/>
    <col min="11273" max="11273" width="7.875" style="3180" customWidth="1"/>
    <col min="11274" max="11274" width="9" style="3180" customWidth="1"/>
    <col min="11275" max="11275" width="39.25" style="3180" customWidth="1"/>
    <col min="11276" max="11277" width="10.625" style="3180" customWidth="1"/>
    <col min="11278" max="11278" width="14.375" style="3180" customWidth="1"/>
    <col min="11279" max="11279" width="6.25" style="3180" customWidth="1"/>
    <col min="11280" max="11520" width="9" style="3180"/>
    <col min="11521" max="11521" width="34.375" style="3180" customWidth="1"/>
    <col min="11522" max="11522" width="6.25" style="3180" customWidth="1"/>
    <col min="11523" max="11523" width="7.875" style="3180" customWidth="1"/>
    <col min="11524" max="11524" width="34.375" style="3180" customWidth="1"/>
    <col min="11525" max="11525" width="7.875" style="3180" customWidth="1"/>
    <col min="11526" max="11527" width="13.875" style="3180" customWidth="1"/>
    <col min="11528" max="11528" width="27" style="3180" customWidth="1"/>
    <col min="11529" max="11529" width="7.875" style="3180" customWidth="1"/>
    <col min="11530" max="11530" width="9" style="3180" customWidth="1"/>
    <col min="11531" max="11531" width="39.25" style="3180" customWidth="1"/>
    <col min="11532" max="11533" width="10.625" style="3180" customWidth="1"/>
    <col min="11534" max="11534" width="14.375" style="3180" customWidth="1"/>
    <col min="11535" max="11535" width="6.25" style="3180" customWidth="1"/>
    <col min="11536" max="11776" width="9" style="3180"/>
    <col min="11777" max="11777" width="34.375" style="3180" customWidth="1"/>
    <col min="11778" max="11778" width="6.25" style="3180" customWidth="1"/>
    <col min="11779" max="11779" width="7.875" style="3180" customWidth="1"/>
    <col min="11780" max="11780" width="34.375" style="3180" customWidth="1"/>
    <col min="11781" max="11781" width="7.875" style="3180" customWidth="1"/>
    <col min="11782" max="11783" width="13.875" style="3180" customWidth="1"/>
    <col min="11784" max="11784" width="27" style="3180" customWidth="1"/>
    <col min="11785" max="11785" width="7.875" style="3180" customWidth="1"/>
    <col min="11786" max="11786" width="9" style="3180" customWidth="1"/>
    <col min="11787" max="11787" width="39.25" style="3180" customWidth="1"/>
    <col min="11788" max="11789" width="10.625" style="3180" customWidth="1"/>
    <col min="11790" max="11790" width="14.375" style="3180" customWidth="1"/>
    <col min="11791" max="11791" width="6.25" style="3180" customWidth="1"/>
    <col min="11792" max="12032" width="9" style="3180"/>
    <col min="12033" max="12033" width="34.375" style="3180" customWidth="1"/>
    <col min="12034" max="12034" width="6.25" style="3180" customWidth="1"/>
    <col min="12035" max="12035" width="7.875" style="3180" customWidth="1"/>
    <col min="12036" max="12036" width="34.375" style="3180" customWidth="1"/>
    <col min="12037" max="12037" width="7.875" style="3180" customWidth="1"/>
    <col min="12038" max="12039" width="13.875" style="3180" customWidth="1"/>
    <col min="12040" max="12040" width="27" style="3180" customWidth="1"/>
    <col min="12041" max="12041" width="7.875" style="3180" customWidth="1"/>
    <col min="12042" max="12042" width="9" style="3180" customWidth="1"/>
    <col min="12043" max="12043" width="39.25" style="3180" customWidth="1"/>
    <col min="12044" max="12045" width="10.625" style="3180" customWidth="1"/>
    <col min="12046" max="12046" width="14.375" style="3180" customWidth="1"/>
    <col min="12047" max="12047" width="6.25" style="3180" customWidth="1"/>
    <col min="12048" max="12288" width="9" style="3180"/>
    <col min="12289" max="12289" width="34.375" style="3180" customWidth="1"/>
    <col min="12290" max="12290" width="6.25" style="3180" customWidth="1"/>
    <col min="12291" max="12291" width="7.875" style="3180" customWidth="1"/>
    <col min="12292" max="12292" width="34.375" style="3180" customWidth="1"/>
    <col min="12293" max="12293" width="7.875" style="3180" customWidth="1"/>
    <col min="12294" max="12295" width="13.875" style="3180" customWidth="1"/>
    <col min="12296" max="12296" width="27" style="3180" customWidth="1"/>
    <col min="12297" max="12297" width="7.875" style="3180" customWidth="1"/>
    <col min="12298" max="12298" width="9" style="3180" customWidth="1"/>
    <col min="12299" max="12299" width="39.25" style="3180" customWidth="1"/>
    <col min="12300" max="12301" width="10.625" style="3180" customWidth="1"/>
    <col min="12302" max="12302" width="14.375" style="3180" customWidth="1"/>
    <col min="12303" max="12303" width="6.25" style="3180" customWidth="1"/>
    <col min="12304" max="12544" width="9" style="3180"/>
    <col min="12545" max="12545" width="34.375" style="3180" customWidth="1"/>
    <col min="12546" max="12546" width="6.25" style="3180" customWidth="1"/>
    <col min="12547" max="12547" width="7.875" style="3180" customWidth="1"/>
    <col min="12548" max="12548" width="34.375" style="3180" customWidth="1"/>
    <col min="12549" max="12549" width="7.875" style="3180" customWidth="1"/>
    <col min="12550" max="12551" width="13.875" style="3180" customWidth="1"/>
    <col min="12552" max="12552" width="27" style="3180" customWidth="1"/>
    <col min="12553" max="12553" width="7.875" style="3180" customWidth="1"/>
    <col min="12554" max="12554" width="9" style="3180" customWidth="1"/>
    <col min="12555" max="12555" width="39.25" style="3180" customWidth="1"/>
    <col min="12556" max="12557" width="10.625" style="3180" customWidth="1"/>
    <col min="12558" max="12558" width="14.375" style="3180" customWidth="1"/>
    <col min="12559" max="12559" width="6.25" style="3180" customWidth="1"/>
    <col min="12560" max="12800" width="9" style="3180"/>
    <col min="12801" max="12801" width="34.375" style="3180" customWidth="1"/>
    <col min="12802" max="12802" width="6.25" style="3180" customWidth="1"/>
    <col min="12803" max="12803" width="7.875" style="3180" customWidth="1"/>
    <col min="12804" max="12804" width="34.375" style="3180" customWidth="1"/>
    <col min="12805" max="12805" width="7.875" style="3180" customWidth="1"/>
    <col min="12806" max="12807" width="13.875" style="3180" customWidth="1"/>
    <col min="12808" max="12808" width="27" style="3180" customWidth="1"/>
    <col min="12809" max="12809" width="7.875" style="3180" customWidth="1"/>
    <col min="12810" max="12810" width="9" style="3180" customWidth="1"/>
    <col min="12811" max="12811" width="39.25" style="3180" customWidth="1"/>
    <col min="12812" max="12813" width="10.625" style="3180" customWidth="1"/>
    <col min="12814" max="12814" width="14.375" style="3180" customWidth="1"/>
    <col min="12815" max="12815" width="6.25" style="3180" customWidth="1"/>
    <col min="12816" max="13056" width="9" style="3180"/>
    <col min="13057" max="13057" width="34.375" style="3180" customWidth="1"/>
    <col min="13058" max="13058" width="6.25" style="3180" customWidth="1"/>
    <col min="13059" max="13059" width="7.875" style="3180" customWidth="1"/>
    <col min="13060" max="13060" width="34.375" style="3180" customWidth="1"/>
    <col min="13061" max="13061" width="7.875" style="3180" customWidth="1"/>
    <col min="13062" max="13063" width="13.875" style="3180" customWidth="1"/>
    <col min="13064" max="13064" width="27" style="3180" customWidth="1"/>
    <col min="13065" max="13065" width="7.875" style="3180" customWidth="1"/>
    <col min="13066" max="13066" width="9" style="3180" customWidth="1"/>
    <col min="13067" max="13067" width="39.25" style="3180" customWidth="1"/>
    <col min="13068" max="13069" width="10.625" style="3180" customWidth="1"/>
    <col min="13070" max="13070" width="14.375" style="3180" customWidth="1"/>
    <col min="13071" max="13071" width="6.25" style="3180" customWidth="1"/>
    <col min="13072" max="13312" width="9" style="3180"/>
    <col min="13313" max="13313" width="34.375" style="3180" customWidth="1"/>
    <col min="13314" max="13314" width="6.25" style="3180" customWidth="1"/>
    <col min="13315" max="13315" width="7.875" style="3180" customWidth="1"/>
    <col min="13316" max="13316" width="34.375" style="3180" customWidth="1"/>
    <col min="13317" max="13317" width="7.875" style="3180" customWidth="1"/>
    <col min="13318" max="13319" width="13.875" style="3180" customWidth="1"/>
    <col min="13320" max="13320" width="27" style="3180" customWidth="1"/>
    <col min="13321" max="13321" width="7.875" style="3180" customWidth="1"/>
    <col min="13322" max="13322" width="9" style="3180" customWidth="1"/>
    <col min="13323" max="13323" width="39.25" style="3180" customWidth="1"/>
    <col min="13324" max="13325" width="10.625" style="3180" customWidth="1"/>
    <col min="13326" max="13326" width="14.375" style="3180" customWidth="1"/>
    <col min="13327" max="13327" width="6.25" style="3180" customWidth="1"/>
    <col min="13328" max="13568" width="9" style="3180"/>
    <col min="13569" max="13569" width="34.375" style="3180" customWidth="1"/>
    <col min="13570" max="13570" width="6.25" style="3180" customWidth="1"/>
    <col min="13571" max="13571" width="7.875" style="3180" customWidth="1"/>
    <col min="13572" max="13572" width="34.375" style="3180" customWidth="1"/>
    <col min="13573" max="13573" width="7.875" style="3180" customWidth="1"/>
    <col min="13574" max="13575" width="13.875" style="3180" customWidth="1"/>
    <col min="13576" max="13576" width="27" style="3180" customWidth="1"/>
    <col min="13577" max="13577" width="7.875" style="3180" customWidth="1"/>
    <col min="13578" max="13578" width="9" style="3180" customWidth="1"/>
    <col min="13579" max="13579" width="39.25" style="3180" customWidth="1"/>
    <col min="13580" max="13581" width="10.625" style="3180" customWidth="1"/>
    <col min="13582" max="13582" width="14.375" style="3180" customWidth="1"/>
    <col min="13583" max="13583" width="6.25" style="3180" customWidth="1"/>
    <col min="13584" max="13824" width="9" style="3180"/>
    <col min="13825" max="13825" width="34.375" style="3180" customWidth="1"/>
    <col min="13826" max="13826" width="6.25" style="3180" customWidth="1"/>
    <col min="13827" max="13827" width="7.875" style="3180" customWidth="1"/>
    <col min="13828" max="13828" width="34.375" style="3180" customWidth="1"/>
    <col min="13829" max="13829" width="7.875" style="3180" customWidth="1"/>
    <col min="13830" max="13831" width="13.875" style="3180" customWidth="1"/>
    <col min="13832" max="13832" width="27" style="3180" customWidth="1"/>
    <col min="13833" max="13833" width="7.875" style="3180" customWidth="1"/>
    <col min="13834" max="13834" width="9" style="3180" customWidth="1"/>
    <col min="13835" max="13835" width="39.25" style="3180" customWidth="1"/>
    <col min="13836" max="13837" width="10.625" style="3180" customWidth="1"/>
    <col min="13838" max="13838" width="14.375" style="3180" customWidth="1"/>
    <col min="13839" max="13839" width="6.25" style="3180" customWidth="1"/>
    <col min="13840" max="14080" width="9" style="3180"/>
    <col min="14081" max="14081" width="34.375" style="3180" customWidth="1"/>
    <col min="14082" max="14082" width="6.25" style="3180" customWidth="1"/>
    <col min="14083" max="14083" width="7.875" style="3180" customWidth="1"/>
    <col min="14084" max="14084" width="34.375" style="3180" customWidth="1"/>
    <col min="14085" max="14085" width="7.875" style="3180" customWidth="1"/>
    <col min="14086" max="14087" width="13.875" style="3180" customWidth="1"/>
    <col min="14088" max="14088" width="27" style="3180" customWidth="1"/>
    <col min="14089" max="14089" width="7.875" style="3180" customWidth="1"/>
    <col min="14090" max="14090" width="9" style="3180" customWidth="1"/>
    <col min="14091" max="14091" width="39.25" style="3180" customWidth="1"/>
    <col min="14092" max="14093" width="10.625" style="3180" customWidth="1"/>
    <col min="14094" max="14094" width="14.375" style="3180" customWidth="1"/>
    <col min="14095" max="14095" width="6.25" style="3180" customWidth="1"/>
    <col min="14096" max="14336" width="9" style="3180"/>
    <col min="14337" max="14337" width="34.375" style="3180" customWidth="1"/>
    <col min="14338" max="14338" width="6.25" style="3180" customWidth="1"/>
    <col min="14339" max="14339" width="7.875" style="3180" customWidth="1"/>
    <col min="14340" max="14340" width="34.375" style="3180" customWidth="1"/>
    <col min="14341" max="14341" width="7.875" style="3180" customWidth="1"/>
    <col min="14342" max="14343" width="13.875" style="3180" customWidth="1"/>
    <col min="14344" max="14344" width="27" style="3180" customWidth="1"/>
    <col min="14345" max="14345" width="7.875" style="3180" customWidth="1"/>
    <col min="14346" max="14346" width="9" style="3180" customWidth="1"/>
    <col min="14347" max="14347" width="39.25" style="3180" customWidth="1"/>
    <col min="14348" max="14349" width="10.625" style="3180" customWidth="1"/>
    <col min="14350" max="14350" width="14.375" style="3180" customWidth="1"/>
    <col min="14351" max="14351" width="6.25" style="3180" customWidth="1"/>
    <col min="14352" max="14592" width="9" style="3180"/>
    <col min="14593" max="14593" width="34.375" style="3180" customWidth="1"/>
    <col min="14594" max="14594" width="6.25" style="3180" customWidth="1"/>
    <col min="14595" max="14595" width="7.875" style="3180" customWidth="1"/>
    <col min="14596" max="14596" width="34.375" style="3180" customWidth="1"/>
    <col min="14597" max="14597" width="7.875" style="3180" customWidth="1"/>
    <col min="14598" max="14599" width="13.875" style="3180" customWidth="1"/>
    <col min="14600" max="14600" width="27" style="3180" customWidth="1"/>
    <col min="14601" max="14601" width="7.875" style="3180" customWidth="1"/>
    <col min="14602" max="14602" width="9" style="3180" customWidth="1"/>
    <col min="14603" max="14603" width="39.25" style="3180" customWidth="1"/>
    <col min="14604" max="14605" width="10.625" style="3180" customWidth="1"/>
    <col min="14606" max="14606" width="14.375" style="3180" customWidth="1"/>
    <col min="14607" max="14607" width="6.25" style="3180" customWidth="1"/>
    <col min="14608" max="14848" width="9" style="3180"/>
    <col min="14849" max="14849" width="34.375" style="3180" customWidth="1"/>
    <col min="14850" max="14850" width="6.25" style="3180" customWidth="1"/>
    <col min="14851" max="14851" width="7.875" style="3180" customWidth="1"/>
    <col min="14852" max="14852" width="34.375" style="3180" customWidth="1"/>
    <col min="14853" max="14853" width="7.875" style="3180" customWidth="1"/>
    <col min="14854" max="14855" width="13.875" style="3180" customWidth="1"/>
    <col min="14856" max="14856" width="27" style="3180" customWidth="1"/>
    <col min="14857" max="14857" width="7.875" style="3180" customWidth="1"/>
    <col min="14858" max="14858" width="9" style="3180" customWidth="1"/>
    <col min="14859" max="14859" width="39.25" style="3180" customWidth="1"/>
    <col min="14860" max="14861" width="10.625" style="3180" customWidth="1"/>
    <col min="14862" max="14862" width="14.375" style="3180" customWidth="1"/>
    <col min="14863" max="14863" width="6.25" style="3180" customWidth="1"/>
    <col min="14864" max="15104" width="9" style="3180"/>
    <col min="15105" max="15105" width="34.375" style="3180" customWidth="1"/>
    <col min="15106" max="15106" width="6.25" style="3180" customWidth="1"/>
    <col min="15107" max="15107" width="7.875" style="3180" customWidth="1"/>
    <col min="15108" max="15108" width="34.375" style="3180" customWidth="1"/>
    <col min="15109" max="15109" width="7.875" style="3180" customWidth="1"/>
    <col min="15110" max="15111" width="13.875" style="3180" customWidth="1"/>
    <col min="15112" max="15112" width="27" style="3180" customWidth="1"/>
    <col min="15113" max="15113" width="7.875" style="3180" customWidth="1"/>
    <col min="15114" max="15114" width="9" style="3180" customWidth="1"/>
    <col min="15115" max="15115" width="39.25" style="3180" customWidth="1"/>
    <col min="15116" max="15117" width="10.625" style="3180" customWidth="1"/>
    <col min="15118" max="15118" width="14.375" style="3180" customWidth="1"/>
    <col min="15119" max="15119" width="6.25" style="3180" customWidth="1"/>
    <col min="15120" max="15360" width="9" style="3180"/>
    <col min="15361" max="15361" width="34.375" style="3180" customWidth="1"/>
    <col min="15362" max="15362" width="6.25" style="3180" customWidth="1"/>
    <col min="15363" max="15363" width="7.875" style="3180" customWidth="1"/>
    <col min="15364" max="15364" width="34.375" style="3180" customWidth="1"/>
    <col min="15365" max="15365" width="7.875" style="3180" customWidth="1"/>
    <col min="15366" max="15367" width="13.875" style="3180" customWidth="1"/>
    <col min="15368" max="15368" width="27" style="3180" customWidth="1"/>
    <col min="15369" max="15369" width="7.875" style="3180" customWidth="1"/>
    <col min="15370" max="15370" width="9" style="3180" customWidth="1"/>
    <col min="15371" max="15371" width="39.25" style="3180" customWidth="1"/>
    <col min="15372" max="15373" width="10.625" style="3180" customWidth="1"/>
    <col min="15374" max="15374" width="14.375" style="3180" customWidth="1"/>
    <col min="15375" max="15375" width="6.25" style="3180" customWidth="1"/>
    <col min="15376" max="15616" width="9" style="3180"/>
    <col min="15617" max="15617" width="34.375" style="3180" customWidth="1"/>
    <col min="15618" max="15618" width="6.25" style="3180" customWidth="1"/>
    <col min="15619" max="15619" width="7.875" style="3180" customWidth="1"/>
    <col min="15620" max="15620" width="34.375" style="3180" customWidth="1"/>
    <col min="15621" max="15621" width="7.875" style="3180" customWidth="1"/>
    <col min="15622" max="15623" width="13.875" style="3180" customWidth="1"/>
    <col min="15624" max="15624" width="27" style="3180" customWidth="1"/>
    <col min="15625" max="15625" width="7.875" style="3180" customWidth="1"/>
    <col min="15626" max="15626" width="9" style="3180" customWidth="1"/>
    <col min="15627" max="15627" width="39.25" style="3180" customWidth="1"/>
    <col min="15628" max="15629" width="10.625" style="3180" customWidth="1"/>
    <col min="15630" max="15630" width="14.375" style="3180" customWidth="1"/>
    <col min="15631" max="15631" width="6.25" style="3180" customWidth="1"/>
    <col min="15632" max="15872" width="9" style="3180"/>
    <col min="15873" max="15873" width="34.375" style="3180" customWidth="1"/>
    <col min="15874" max="15874" width="6.25" style="3180" customWidth="1"/>
    <col min="15875" max="15875" width="7.875" style="3180" customWidth="1"/>
    <col min="15876" max="15876" width="34.375" style="3180" customWidth="1"/>
    <col min="15877" max="15877" width="7.875" style="3180" customWidth="1"/>
    <col min="15878" max="15879" width="13.875" style="3180" customWidth="1"/>
    <col min="15880" max="15880" width="27" style="3180" customWidth="1"/>
    <col min="15881" max="15881" width="7.875" style="3180" customWidth="1"/>
    <col min="15882" max="15882" width="9" style="3180" customWidth="1"/>
    <col min="15883" max="15883" width="39.25" style="3180" customWidth="1"/>
    <col min="15884" max="15885" width="10.625" style="3180" customWidth="1"/>
    <col min="15886" max="15886" width="14.375" style="3180" customWidth="1"/>
    <col min="15887" max="15887" width="6.25" style="3180" customWidth="1"/>
    <col min="15888" max="16128" width="9" style="3180"/>
    <col min="16129" max="16129" width="34.375" style="3180" customWidth="1"/>
    <col min="16130" max="16130" width="6.25" style="3180" customWidth="1"/>
    <col min="16131" max="16131" width="7.875" style="3180" customWidth="1"/>
    <col min="16132" max="16132" width="34.375" style="3180" customWidth="1"/>
    <col min="16133" max="16133" width="7.875" style="3180" customWidth="1"/>
    <col min="16134" max="16135" width="13.875" style="3180" customWidth="1"/>
    <col min="16136" max="16136" width="27" style="3180" customWidth="1"/>
    <col min="16137" max="16137" width="7.875" style="3180" customWidth="1"/>
    <col min="16138" max="16138" width="9" style="3180" customWidth="1"/>
    <col min="16139" max="16139" width="39.25" style="3180" customWidth="1"/>
    <col min="16140" max="16141" width="10.625" style="3180" customWidth="1"/>
    <col min="16142" max="16142" width="14.375" style="3180" customWidth="1"/>
    <col min="16143" max="16143" width="6.25" style="3180" customWidth="1"/>
    <col min="16144" max="16384" width="9" style="3180"/>
  </cols>
  <sheetData>
    <row r="1" spans="1:17">
      <c r="A1" s="3180" t="s">
        <v>2993</v>
      </c>
      <c r="B1" s="3180" t="s">
        <v>2994</v>
      </c>
      <c r="C1" s="3180" t="s">
        <v>2995</v>
      </c>
      <c r="D1" s="3180" t="s">
        <v>3029</v>
      </c>
      <c r="E1" s="3180" t="s">
        <v>2998</v>
      </c>
      <c r="F1" s="3180" t="s">
        <v>2996</v>
      </c>
      <c r="G1" s="3180" t="s">
        <v>2997</v>
      </c>
      <c r="H1" s="3180" t="s">
        <v>2033</v>
      </c>
      <c r="I1" s="3180" t="s">
        <v>3030</v>
      </c>
      <c r="J1" s="3180" t="s">
        <v>3031</v>
      </c>
      <c r="K1" s="3180" t="s">
        <v>3003</v>
      </c>
      <c r="L1" s="3180" t="s">
        <v>2999</v>
      </c>
      <c r="M1" s="3180" t="s">
        <v>3000</v>
      </c>
      <c r="N1" s="3180" t="s">
        <v>3001</v>
      </c>
      <c r="O1" s="3180" t="s">
        <v>3002</v>
      </c>
    </row>
    <row r="2" spans="1:17" s="3185" customFormat="1">
      <c r="A2" s="3185" t="s">
        <v>3032</v>
      </c>
      <c r="B2" s="3185" t="s">
        <v>3033</v>
      </c>
      <c r="C2" s="3185" t="s">
        <v>3005</v>
      </c>
      <c r="D2" s="3185" t="s">
        <v>3032</v>
      </c>
      <c r="E2" s="3185" t="s">
        <v>3004</v>
      </c>
      <c r="F2" s="3185">
        <v>2118.7800000000002</v>
      </c>
      <c r="G2" s="3185">
        <v>3368.86</v>
      </c>
      <c r="H2" s="3185" t="s">
        <v>3034</v>
      </c>
      <c r="I2" s="3185" t="s">
        <v>2819</v>
      </c>
      <c r="J2" s="3185" t="s">
        <v>3035</v>
      </c>
      <c r="K2" s="3185" t="s">
        <v>3036</v>
      </c>
      <c r="L2" s="3185">
        <v>592</v>
      </c>
      <c r="M2" s="3185">
        <v>592</v>
      </c>
      <c r="N2" s="3185">
        <v>1757.26</v>
      </c>
      <c r="O2" s="3185">
        <v>0</v>
      </c>
      <c r="P2" s="3185" t="s">
        <v>3006</v>
      </c>
      <c r="Q2" s="3185" t="s">
        <v>3006</v>
      </c>
    </row>
    <row r="3" spans="1:17">
      <c r="A3" s="3179" t="s">
        <v>3165</v>
      </c>
      <c r="B3" s="3180" t="s">
        <v>3033</v>
      </c>
      <c r="C3" s="3180" t="s">
        <v>3005</v>
      </c>
      <c r="D3" s="3180" t="s">
        <v>3037</v>
      </c>
      <c r="E3" s="3180" t="s">
        <v>3004</v>
      </c>
      <c r="F3" s="3180">
        <v>25919.360000000001</v>
      </c>
      <c r="G3" s="3180">
        <v>57022.59</v>
      </c>
      <c r="H3" s="3180" t="s">
        <v>3038</v>
      </c>
      <c r="I3" s="3180" t="s">
        <v>2819</v>
      </c>
      <c r="J3" s="3180" t="s">
        <v>3035</v>
      </c>
      <c r="K3" s="3180" t="s">
        <v>3039</v>
      </c>
      <c r="L3" s="3180">
        <v>5204</v>
      </c>
      <c r="M3" s="3180">
        <v>5204</v>
      </c>
      <c r="N3" s="3180">
        <v>912.62</v>
      </c>
      <c r="O3" s="3180">
        <v>0</v>
      </c>
      <c r="P3" s="3180" t="s">
        <v>3006</v>
      </c>
      <c r="Q3" s="3180" t="s">
        <v>3006</v>
      </c>
    </row>
    <row r="4" spans="1:17">
      <c r="A4" s="3180" t="s">
        <v>3040</v>
      </c>
      <c r="B4" s="3180" t="s">
        <v>3033</v>
      </c>
      <c r="C4" s="3180" t="s">
        <v>3005</v>
      </c>
      <c r="D4" s="3180" t="s">
        <v>3040</v>
      </c>
      <c r="E4" s="3180" t="s">
        <v>3004</v>
      </c>
      <c r="F4" s="3180">
        <v>7705.68</v>
      </c>
      <c r="G4" s="3180">
        <v>7782.74</v>
      </c>
      <c r="H4" s="3180" t="s">
        <v>3041</v>
      </c>
      <c r="I4" s="3180" t="s">
        <v>2819</v>
      </c>
      <c r="J4" s="3180" t="s">
        <v>3035</v>
      </c>
      <c r="K4" s="3180" t="s">
        <v>3042</v>
      </c>
      <c r="L4" s="3180">
        <v>6242</v>
      </c>
      <c r="M4" s="3180">
        <v>6242</v>
      </c>
      <c r="N4" s="3180">
        <v>8020.31</v>
      </c>
      <c r="O4" s="3180">
        <v>0</v>
      </c>
      <c r="P4" s="3180" t="s">
        <v>3006</v>
      </c>
      <c r="Q4" s="3180" t="s">
        <v>3006</v>
      </c>
    </row>
    <row r="5" spans="1:17">
      <c r="A5" s="3179" t="s">
        <v>3043</v>
      </c>
      <c r="B5" s="3180" t="s">
        <v>3033</v>
      </c>
      <c r="C5" s="3180" t="s">
        <v>3005</v>
      </c>
      <c r="D5" s="3180" t="s">
        <v>3043</v>
      </c>
      <c r="E5" s="3180" t="s">
        <v>3004</v>
      </c>
      <c r="F5" s="3180">
        <v>40249.47</v>
      </c>
      <c r="G5" s="3180">
        <v>88548.83</v>
      </c>
      <c r="H5" s="3180" t="s">
        <v>3038</v>
      </c>
      <c r="I5" s="3180" t="s">
        <v>2819</v>
      </c>
      <c r="J5" s="3180" t="s">
        <v>3035</v>
      </c>
      <c r="K5" s="3180" t="s">
        <v>3044</v>
      </c>
      <c r="L5" s="3180">
        <v>27772</v>
      </c>
      <c r="M5" s="3180">
        <v>27772</v>
      </c>
      <c r="N5" s="3180">
        <v>3136.34</v>
      </c>
      <c r="O5" s="3180">
        <v>0</v>
      </c>
      <c r="P5" s="3180" t="s">
        <v>3006</v>
      </c>
      <c r="Q5" s="3180" t="s">
        <v>3006</v>
      </c>
    </row>
    <row r="6" spans="1:17" s="3181" customFormat="1">
      <c r="A6" s="3181" t="s">
        <v>3045</v>
      </c>
      <c r="B6" s="3181" t="s">
        <v>3033</v>
      </c>
      <c r="C6" s="3181" t="s">
        <v>3005</v>
      </c>
      <c r="D6" s="3181" t="s">
        <v>3045</v>
      </c>
      <c r="E6" s="3181" t="s">
        <v>3004</v>
      </c>
      <c r="F6" s="3181">
        <v>14690.24</v>
      </c>
      <c r="G6" s="3181">
        <v>22035.360000000001</v>
      </c>
      <c r="H6" s="3181" t="s">
        <v>3046</v>
      </c>
      <c r="I6" s="3181" t="s">
        <v>2819</v>
      </c>
      <c r="J6" s="3181" t="s">
        <v>3035</v>
      </c>
      <c r="K6" s="3181" t="s">
        <v>3047</v>
      </c>
      <c r="L6" s="3181">
        <v>1615</v>
      </c>
      <c r="M6" s="3181">
        <v>1615</v>
      </c>
      <c r="N6" s="3181">
        <v>732.9</v>
      </c>
      <c r="O6" s="3181">
        <v>0</v>
      </c>
      <c r="P6" s="3181" t="s">
        <v>3006</v>
      </c>
      <c r="Q6" s="3181" t="s">
        <v>3006</v>
      </c>
    </row>
    <row r="7" spans="1:17">
      <c r="A7" s="3179" t="s">
        <v>3171</v>
      </c>
      <c r="B7" s="3180" t="s">
        <v>3033</v>
      </c>
      <c r="C7" s="3180" t="s">
        <v>3005</v>
      </c>
      <c r="D7" s="3180" t="s">
        <v>3048</v>
      </c>
      <c r="E7" s="3180" t="s">
        <v>3004</v>
      </c>
      <c r="F7" s="3180">
        <v>30967.75</v>
      </c>
      <c r="G7" s="3180">
        <v>40258.080000000002</v>
      </c>
      <c r="H7" s="3180" t="s">
        <v>3049</v>
      </c>
      <c r="I7" s="3180" t="s">
        <v>2819</v>
      </c>
      <c r="J7" s="3180" t="s">
        <v>3035</v>
      </c>
      <c r="K7" s="3180" t="s">
        <v>3050</v>
      </c>
      <c r="L7" s="3180">
        <v>3637</v>
      </c>
      <c r="M7" s="3180">
        <v>3637</v>
      </c>
      <c r="N7" s="3180">
        <v>903.41</v>
      </c>
      <c r="O7" s="3180">
        <v>0</v>
      </c>
      <c r="P7" s="3180" t="s">
        <v>3006</v>
      </c>
      <c r="Q7" s="3180" t="s">
        <v>3006</v>
      </c>
    </row>
    <row r="8" spans="1:17">
      <c r="A8" s="3179" t="s">
        <v>3180</v>
      </c>
      <c r="B8" s="3180" t="s">
        <v>3033</v>
      </c>
      <c r="C8" s="3180" t="s">
        <v>3005</v>
      </c>
      <c r="D8" s="3180" t="s">
        <v>3032</v>
      </c>
      <c r="E8" s="3180" t="s">
        <v>3004</v>
      </c>
      <c r="F8" s="3180">
        <v>1020.98</v>
      </c>
      <c r="G8" s="3180">
        <v>1623.36</v>
      </c>
      <c r="H8" s="3180" t="s">
        <v>3034</v>
      </c>
      <c r="I8" s="3180" t="s">
        <v>2819</v>
      </c>
      <c r="J8" s="3180" t="s">
        <v>3035</v>
      </c>
      <c r="K8" s="3180" t="s">
        <v>3036</v>
      </c>
      <c r="L8" s="3180">
        <v>285</v>
      </c>
      <c r="M8" s="3180">
        <v>285</v>
      </c>
      <c r="N8" s="3180">
        <v>1755.61</v>
      </c>
      <c r="O8" s="3180">
        <v>0</v>
      </c>
      <c r="P8" s="3180" t="s">
        <v>3006</v>
      </c>
      <c r="Q8" s="3180" t="s">
        <v>3006</v>
      </c>
    </row>
    <row r="9" spans="1:17" s="3185" customFormat="1">
      <c r="A9" s="3184" t="s">
        <v>3181</v>
      </c>
      <c r="B9" s="3185" t="s">
        <v>3033</v>
      </c>
      <c r="C9" s="3185" t="s">
        <v>3005</v>
      </c>
      <c r="D9" s="3185" t="s">
        <v>3051</v>
      </c>
      <c r="E9" s="3185" t="s">
        <v>3004</v>
      </c>
      <c r="F9" s="3185">
        <v>1093.3699999999999</v>
      </c>
      <c r="G9" s="3185">
        <v>1640.06</v>
      </c>
      <c r="H9" s="3185" t="s">
        <v>3046</v>
      </c>
      <c r="I9" s="3185" t="s">
        <v>2819</v>
      </c>
      <c r="J9" s="3185" t="s">
        <v>3035</v>
      </c>
      <c r="K9" s="3185" t="s">
        <v>3052</v>
      </c>
      <c r="L9" s="3185">
        <v>271</v>
      </c>
      <c r="M9" s="3185">
        <v>271</v>
      </c>
      <c r="N9" s="3185">
        <v>1652.38</v>
      </c>
      <c r="O9" s="3185">
        <v>0</v>
      </c>
      <c r="P9" s="3185" t="s">
        <v>3006</v>
      </c>
      <c r="Q9" s="3185" t="s">
        <v>3006</v>
      </c>
    </row>
    <row r="10" spans="1:17">
      <c r="A10" s="3180" t="s">
        <v>3032</v>
      </c>
      <c r="B10" s="3180" t="s">
        <v>3033</v>
      </c>
      <c r="C10" s="3180" t="s">
        <v>3005</v>
      </c>
      <c r="D10" s="3180" t="s">
        <v>3032</v>
      </c>
      <c r="E10" s="3180" t="s">
        <v>3004</v>
      </c>
      <c r="F10" s="3180">
        <v>1644.63</v>
      </c>
      <c r="G10" s="3180">
        <v>2614.96</v>
      </c>
      <c r="H10" s="3180" t="s">
        <v>3034</v>
      </c>
      <c r="I10" s="3180" t="s">
        <v>2819</v>
      </c>
      <c r="J10" s="3180" t="s">
        <v>3035</v>
      </c>
      <c r="K10" s="3180" t="s">
        <v>3036</v>
      </c>
      <c r="L10" s="3180">
        <v>460</v>
      </c>
      <c r="M10" s="3180">
        <v>460</v>
      </c>
      <c r="N10" s="3180">
        <v>1759.1</v>
      </c>
      <c r="O10" s="3180">
        <v>0</v>
      </c>
      <c r="P10" s="3180" t="s">
        <v>3006</v>
      </c>
      <c r="Q10" s="3180" t="s">
        <v>3006</v>
      </c>
    </row>
    <row r="11" spans="1:17">
      <c r="A11" s="3180" t="s">
        <v>3053</v>
      </c>
      <c r="B11" s="3180" t="s">
        <v>3033</v>
      </c>
      <c r="C11" s="3180" t="s">
        <v>3005</v>
      </c>
      <c r="D11" s="3180" t="s">
        <v>3053</v>
      </c>
      <c r="E11" s="3180" t="s">
        <v>3004</v>
      </c>
      <c r="F11" s="3180">
        <v>4378</v>
      </c>
      <c r="G11" s="3180">
        <v>7880.4</v>
      </c>
      <c r="H11" s="3180" t="s">
        <v>3054</v>
      </c>
      <c r="I11" s="3180" t="s">
        <v>2819</v>
      </c>
      <c r="J11" s="3180" t="s">
        <v>3055</v>
      </c>
      <c r="K11" s="3180" t="s">
        <v>3056</v>
      </c>
      <c r="L11" s="3180">
        <v>2298</v>
      </c>
      <c r="M11" s="3180">
        <v>4098</v>
      </c>
      <c r="N11" s="3180">
        <v>5200.2299999999996</v>
      </c>
      <c r="O11" s="3180">
        <v>78.33</v>
      </c>
      <c r="P11" s="3180" t="s">
        <v>3006</v>
      </c>
      <c r="Q11" s="3180" t="s">
        <v>3006</v>
      </c>
    </row>
    <row r="12" spans="1:17">
      <c r="A12" s="3180" t="s">
        <v>3057</v>
      </c>
      <c r="B12" s="3180" t="s">
        <v>3033</v>
      </c>
      <c r="C12" s="3180" t="s">
        <v>3005</v>
      </c>
      <c r="D12" s="3180" t="s">
        <v>3057</v>
      </c>
      <c r="E12" s="3180" t="s">
        <v>3004</v>
      </c>
      <c r="F12" s="3180">
        <v>55262.09</v>
      </c>
      <c r="G12" s="3180">
        <v>121576.6</v>
      </c>
      <c r="H12" s="3180" t="s">
        <v>3058</v>
      </c>
      <c r="I12" s="3180" t="s">
        <v>2819</v>
      </c>
      <c r="J12" s="3180" t="s">
        <v>3055</v>
      </c>
      <c r="K12" s="3180" t="s">
        <v>3059</v>
      </c>
      <c r="L12" s="3180">
        <v>31582</v>
      </c>
      <c r="M12" s="3180">
        <v>58782</v>
      </c>
      <c r="N12" s="3180">
        <v>4834.97</v>
      </c>
      <c r="O12" s="3180">
        <v>86.13</v>
      </c>
      <c r="P12" s="3180" t="s">
        <v>3006</v>
      </c>
      <c r="Q12" s="3180" t="s">
        <v>3006</v>
      </c>
    </row>
    <row r="13" spans="1:17">
      <c r="A13" s="3179" t="s">
        <v>3173</v>
      </c>
      <c r="B13" s="3180" t="s">
        <v>3033</v>
      </c>
      <c r="C13" s="3180" t="s">
        <v>3005</v>
      </c>
      <c r="D13" s="3180" t="s">
        <v>3060</v>
      </c>
      <c r="E13" s="3180" t="s">
        <v>3004</v>
      </c>
      <c r="F13" s="3180">
        <v>40593.1</v>
      </c>
      <c r="G13" s="3180">
        <v>81186.2</v>
      </c>
      <c r="H13" s="3180" t="s">
        <v>3061</v>
      </c>
      <c r="I13" s="3180" t="s">
        <v>2819</v>
      </c>
      <c r="J13" s="3180" t="s">
        <v>3062</v>
      </c>
      <c r="K13" s="3180" t="s">
        <v>3063</v>
      </c>
      <c r="L13" s="3180">
        <v>4986</v>
      </c>
      <c r="M13" s="3180">
        <v>4986</v>
      </c>
      <c r="N13" s="3180">
        <v>614.13</v>
      </c>
      <c r="O13" s="3180">
        <v>0</v>
      </c>
      <c r="P13" s="3180" t="s">
        <v>3006</v>
      </c>
      <c r="Q13" s="3180" t="s">
        <v>3006</v>
      </c>
    </row>
    <row r="14" spans="1:17">
      <c r="A14" s="3179" t="s">
        <v>3172</v>
      </c>
      <c r="B14" s="3180" t="s">
        <v>3033</v>
      </c>
      <c r="C14" s="3180" t="s">
        <v>3005</v>
      </c>
      <c r="D14" s="3180" t="s">
        <v>3064</v>
      </c>
      <c r="E14" s="3180" t="s">
        <v>3004</v>
      </c>
      <c r="F14" s="3180">
        <v>35564.54</v>
      </c>
      <c r="G14" s="3180">
        <v>71129.08</v>
      </c>
      <c r="H14" s="3180" t="s">
        <v>3061</v>
      </c>
      <c r="I14" s="3180" t="s">
        <v>2819</v>
      </c>
      <c r="J14" s="3180" t="s">
        <v>3062</v>
      </c>
      <c r="K14" s="3180" t="s">
        <v>3063</v>
      </c>
      <c r="L14" s="3180">
        <v>4376</v>
      </c>
      <c r="M14" s="3180">
        <v>4376</v>
      </c>
      <c r="N14" s="3180">
        <v>615.22</v>
      </c>
      <c r="O14" s="3180">
        <v>0</v>
      </c>
      <c r="P14" s="3180" t="s">
        <v>3006</v>
      </c>
      <c r="Q14" s="3180" t="s">
        <v>3006</v>
      </c>
    </row>
    <row r="15" spans="1:17">
      <c r="A15" s="3180" t="s">
        <v>3065</v>
      </c>
      <c r="B15" s="3180" t="s">
        <v>3033</v>
      </c>
      <c r="C15" s="3180" t="s">
        <v>3005</v>
      </c>
      <c r="D15" s="3180" t="s">
        <v>3065</v>
      </c>
      <c r="E15" s="3180" t="s">
        <v>3004</v>
      </c>
      <c r="F15" s="3180">
        <v>53339.83</v>
      </c>
      <c r="G15" s="3180">
        <v>174954.6</v>
      </c>
      <c r="H15" s="3180" t="s">
        <v>3066</v>
      </c>
      <c r="I15" s="3180" t="s">
        <v>2819</v>
      </c>
      <c r="J15" s="3180" t="s">
        <v>3067</v>
      </c>
      <c r="K15" s="3180" t="s">
        <v>3068</v>
      </c>
      <c r="L15" s="3180">
        <v>28805</v>
      </c>
      <c r="M15" s="3180">
        <v>35605</v>
      </c>
      <c r="N15" s="3180">
        <v>2035.09</v>
      </c>
      <c r="O15" s="3180">
        <v>23.61</v>
      </c>
      <c r="P15" s="3180" t="s">
        <v>3006</v>
      </c>
      <c r="Q15" s="3180" t="s">
        <v>3006</v>
      </c>
    </row>
    <row r="16" spans="1:17">
      <c r="A16" s="3180" t="s">
        <v>3069</v>
      </c>
      <c r="B16" s="3180" t="s">
        <v>3033</v>
      </c>
      <c r="C16" s="3180" t="s">
        <v>3005</v>
      </c>
      <c r="D16" s="3180" t="s">
        <v>3069</v>
      </c>
      <c r="E16" s="3180" t="s">
        <v>3004</v>
      </c>
      <c r="F16" s="3180">
        <v>67785.55</v>
      </c>
      <c r="G16" s="3180">
        <v>135571.1</v>
      </c>
      <c r="H16" s="3180" t="s">
        <v>3061</v>
      </c>
      <c r="I16" s="3180" t="s">
        <v>2819</v>
      </c>
      <c r="J16" s="3180" t="s">
        <v>3067</v>
      </c>
      <c r="K16" s="3180" t="s">
        <v>3070</v>
      </c>
      <c r="L16" s="3180">
        <v>30808</v>
      </c>
      <c r="M16" s="3180">
        <v>30808</v>
      </c>
      <c r="N16" s="3180">
        <v>2272.46</v>
      </c>
      <c r="O16" s="3180">
        <v>0</v>
      </c>
      <c r="P16" s="3180" t="s">
        <v>3006</v>
      </c>
      <c r="Q16" s="3180" t="s">
        <v>3006</v>
      </c>
    </row>
    <row r="17" spans="1:17">
      <c r="A17" s="3179" t="s">
        <v>3071</v>
      </c>
      <c r="B17" s="3180" t="s">
        <v>3033</v>
      </c>
      <c r="C17" s="3180" t="s">
        <v>3005</v>
      </c>
      <c r="D17" s="3180" t="s">
        <v>3072</v>
      </c>
      <c r="E17" s="3180" t="s">
        <v>3004</v>
      </c>
      <c r="F17" s="3180">
        <v>21119.66</v>
      </c>
      <c r="G17" s="3180">
        <v>49631.199999999997</v>
      </c>
      <c r="H17" s="3180" t="s">
        <v>3073</v>
      </c>
      <c r="I17" s="3180" t="s">
        <v>2819</v>
      </c>
      <c r="J17" s="3180" t="s">
        <v>3067</v>
      </c>
      <c r="K17" s="3180" t="s">
        <v>3074</v>
      </c>
      <c r="L17" s="3180">
        <v>1426</v>
      </c>
      <c r="M17" s="3180">
        <v>1426</v>
      </c>
      <c r="N17" s="3180">
        <v>287.31</v>
      </c>
      <c r="O17" s="3180">
        <v>0</v>
      </c>
      <c r="P17" s="3180" t="s">
        <v>3006</v>
      </c>
      <c r="Q17" s="3180" t="s">
        <v>3006</v>
      </c>
    </row>
    <row r="18" spans="1:17">
      <c r="A18" s="3180" t="s">
        <v>3075</v>
      </c>
      <c r="B18" s="3180" t="s">
        <v>3033</v>
      </c>
      <c r="C18" s="3180" t="s">
        <v>3005</v>
      </c>
      <c r="D18" s="3180" t="s">
        <v>3075</v>
      </c>
      <c r="E18" s="3180" t="s">
        <v>3004</v>
      </c>
      <c r="F18" s="3180">
        <v>38982.82</v>
      </c>
      <c r="G18" s="3180">
        <v>62372.51</v>
      </c>
      <c r="H18" s="3180" t="s">
        <v>3076</v>
      </c>
      <c r="I18" s="3180" t="s">
        <v>2819</v>
      </c>
      <c r="J18" s="3180" t="s">
        <v>3067</v>
      </c>
      <c r="K18" s="3180" t="s">
        <v>3070</v>
      </c>
      <c r="L18" s="3180">
        <v>17041</v>
      </c>
      <c r="M18" s="3180">
        <v>17041</v>
      </c>
      <c r="N18" s="3180">
        <v>2732.13</v>
      </c>
      <c r="O18" s="3180">
        <v>0</v>
      </c>
      <c r="P18" s="3180" t="s">
        <v>3006</v>
      </c>
      <c r="Q18" s="3180" t="s">
        <v>3006</v>
      </c>
    </row>
    <row r="19" spans="1:17">
      <c r="A19" s="3180" t="s">
        <v>3075</v>
      </c>
      <c r="B19" s="3180" t="s">
        <v>3033</v>
      </c>
      <c r="C19" s="3180" t="s">
        <v>3005</v>
      </c>
      <c r="D19" s="3180" t="s">
        <v>3075</v>
      </c>
      <c r="E19" s="3180" t="s">
        <v>3004</v>
      </c>
      <c r="F19" s="3180">
        <v>56610.35</v>
      </c>
      <c r="G19" s="3180">
        <v>90576.56</v>
      </c>
      <c r="H19" s="3180" t="s">
        <v>3076</v>
      </c>
      <c r="I19" s="3180" t="s">
        <v>2819</v>
      </c>
      <c r="J19" s="3180" t="s">
        <v>3067</v>
      </c>
      <c r="K19" s="3180" t="s">
        <v>3070</v>
      </c>
      <c r="L19" s="3180">
        <v>24796</v>
      </c>
      <c r="M19" s="3180">
        <v>24796</v>
      </c>
      <c r="N19" s="3180">
        <v>2737.57</v>
      </c>
      <c r="O19" s="3180">
        <v>0</v>
      </c>
      <c r="P19" s="3180" t="s">
        <v>3006</v>
      </c>
      <c r="Q19" s="3180" t="s">
        <v>3006</v>
      </c>
    </row>
    <row r="20" spans="1:17">
      <c r="A20" s="3180" t="s">
        <v>3069</v>
      </c>
      <c r="B20" s="3180" t="s">
        <v>3033</v>
      </c>
      <c r="C20" s="3180" t="s">
        <v>3005</v>
      </c>
      <c r="D20" s="3180" t="s">
        <v>3069</v>
      </c>
      <c r="E20" s="3180" t="s">
        <v>3004</v>
      </c>
      <c r="F20" s="3180">
        <v>17405.89</v>
      </c>
      <c r="G20" s="3180">
        <v>34811.78</v>
      </c>
      <c r="H20" s="3180" t="s">
        <v>3061</v>
      </c>
      <c r="I20" s="3180" t="s">
        <v>2819</v>
      </c>
      <c r="J20" s="3180" t="s">
        <v>3067</v>
      </c>
      <c r="K20" s="3180" t="s">
        <v>3070</v>
      </c>
      <c r="L20" s="3180">
        <v>7911</v>
      </c>
      <c r="M20" s="3180">
        <v>7911</v>
      </c>
      <c r="N20" s="3180">
        <v>2272.5100000000002</v>
      </c>
      <c r="O20" s="3180">
        <v>0</v>
      </c>
      <c r="P20" s="3180" t="s">
        <v>3006</v>
      </c>
      <c r="Q20" s="3180" t="s">
        <v>3006</v>
      </c>
    </row>
    <row r="21" spans="1:17">
      <c r="A21" s="3180" t="s">
        <v>3077</v>
      </c>
      <c r="B21" s="3180" t="s">
        <v>3033</v>
      </c>
      <c r="C21" s="3180" t="s">
        <v>3005</v>
      </c>
      <c r="D21" s="3180" t="s">
        <v>3077</v>
      </c>
      <c r="E21" s="3180" t="s">
        <v>3004</v>
      </c>
      <c r="F21" s="3180">
        <v>1898.49</v>
      </c>
      <c r="G21" s="3180">
        <v>2297.17</v>
      </c>
      <c r="H21" s="3180" t="s">
        <v>3078</v>
      </c>
      <c r="I21" s="3180" t="s">
        <v>2819</v>
      </c>
      <c r="J21" s="3180" t="s">
        <v>3079</v>
      </c>
      <c r="K21" s="3180" t="s">
        <v>3080</v>
      </c>
      <c r="L21" s="3180">
        <v>854</v>
      </c>
      <c r="M21" s="3180">
        <v>854</v>
      </c>
      <c r="N21" s="3180">
        <v>3717.61</v>
      </c>
      <c r="O21" s="3180">
        <v>0</v>
      </c>
    </row>
    <row r="22" spans="1:17">
      <c r="A22" s="3180" t="s">
        <v>3081</v>
      </c>
      <c r="B22" s="3180" t="s">
        <v>3033</v>
      </c>
      <c r="C22" s="3180" t="s">
        <v>3005</v>
      </c>
      <c r="D22" s="3180" t="s">
        <v>3081</v>
      </c>
      <c r="E22" s="3180" t="s">
        <v>3004</v>
      </c>
      <c r="F22" s="3180">
        <v>6306.51</v>
      </c>
      <c r="G22" s="3180">
        <v>8198.4599999999991</v>
      </c>
      <c r="H22" s="3180" t="s">
        <v>3049</v>
      </c>
      <c r="I22" s="3180" t="s">
        <v>2819</v>
      </c>
      <c r="J22" s="3180" t="s">
        <v>3079</v>
      </c>
      <c r="K22" s="3180" t="s">
        <v>3082</v>
      </c>
      <c r="L22" s="3180">
        <v>2412</v>
      </c>
      <c r="M22" s="3180">
        <v>2412</v>
      </c>
      <c r="N22" s="3180">
        <v>2942.01</v>
      </c>
      <c r="O22" s="3180">
        <v>0</v>
      </c>
    </row>
    <row r="23" spans="1:17">
      <c r="A23" s="3180" t="s">
        <v>3083</v>
      </c>
      <c r="B23" s="3180" t="s">
        <v>3033</v>
      </c>
      <c r="C23" s="3180" t="s">
        <v>3005</v>
      </c>
      <c r="D23" s="3180" t="s">
        <v>3083</v>
      </c>
      <c r="E23" s="3180" t="s">
        <v>3004</v>
      </c>
      <c r="F23" s="3180">
        <v>5767.92</v>
      </c>
      <c r="G23" s="3180">
        <v>8075.09</v>
      </c>
      <c r="H23" s="3180" t="s">
        <v>3084</v>
      </c>
      <c r="I23" s="3180" t="s">
        <v>2819</v>
      </c>
      <c r="J23" s="3180" t="s">
        <v>3079</v>
      </c>
      <c r="K23" s="3180" t="s">
        <v>3056</v>
      </c>
      <c r="L23" s="3180">
        <v>2639</v>
      </c>
      <c r="M23" s="3180">
        <v>2639</v>
      </c>
      <c r="N23" s="3180">
        <v>3268.07</v>
      </c>
      <c r="O23" s="3180">
        <v>0</v>
      </c>
    </row>
    <row r="24" spans="1:17">
      <c r="A24" s="3179" t="s">
        <v>3085</v>
      </c>
      <c r="B24" s="3180" t="s">
        <v>3033</v>
      </c>
      <c r="C24" s="3180" t="s">
        <v>3005</v>
      </c>
      <c r="D24" s="3180" t="s">
        <v>3085</v>
      </c>
      <c r="E24" s="3180" t="s">
        <v>3004</v>
      </c>
      <c r="F24" s="3180">
        <v>40282.879999999997</v>
      </c>
      <c r="G24" s="3180">
        <v>80162.929999999993</v>
      </c>
      <c r="H24" s="3180" t="s">
        <v>3086</v>
      </c>
      <c r="I24" s="3180" t="s">
        <v>2819</v>
      </c>
      <c r="J24" s="3180" t="s">
        <v>3087</v>
      </c>
      <c r="K24" s="3180" t="s">
        <v>3088</v>
      </c>
      <c r="L24" s="3180">
        <v>14905</v>
      </c>
      <c r="M24" s="3180">
        <v>14905</v>
      </c>
      <c r="N24" s="3180">
        <v>1859.33</v>
      </c>
      <c r="O24" s="3180">
        <v>0</v>
      </c>
    </row>
    <row r="25" spans="1:17">
      <c r="A25" s="3179" t="s">
        <v>3166</v>
      </c>
      <c r="B25" s="3180" t="s">
        <v>3033</v>
      </c>
      <c r="C25" s="3180" t="s">
        <v>3005</v>
      </c>
      <c r="D25" s="3180" t="s">
        <v>3089</v>
      </c>
      <c r="E25" s="3180" t="s">
        <v>3004</v>
      </c>
      <c r="F25" s="3180">
        <v>5262.36</v>
      </c>
      <c r="G25" s="3180">
        <v>13155.9</v>
      </c>
      <c r="H25" s="3180" t="s">
        <v>3090</v>
      </c>
      <c r="I25" s="3180" t="s">
        <v>2819</v>
      </c>
      <c r="J25" s="3180" t="s">
        <v>3091</v>
      </c>
      <c r="K25" s="3180" t="s">
        <v>3056</v>
      </c>
      <c r="L25" s="3180">
        <v>2526</v>
      </c>
      <c r="M25" s="3180">
        <v>3776</v>
      </c>
      <c r="N25" s="3180">
        <v>2870.19</v>
      </c>
      <c r="O25" s="3180">
        <v>49.49</v>
      </c>
    </row>
    <row r="26" spans="1:17">
      <c r="A26" s="3180" t="s">
        <v>3092</v>
      </c>
      <c r="B26" s="3180" t="s">
        <v>3033</v>
      </c>
      <c r="C26" s="3180" t="s">
        <v>3005</v>
      </c>
      <c r="D26" s="3180" t="s">
        <v>3092</v>
      </c>
      <c r="E26" s="3180" t="s">
        <v>3004</v>
      </c>
      <c r="F26" s="3180">
        <v>1423.15</v>
      </c>
      <c r="G26" s="3180">
        <v>4269.45</v>
      </c>
      <c r="H26" s="3180" t="s">
        <v>3093</v>
      </c>
      <c r="I26" s="3180" t="s">
        <v>2819</v>
      </c>
      <c r="J26" s="3180" t="s">
        <v>3094</v>
      </c>
      <c r="K26" s="3180" t="s">
        <v>3095</v>
      </c>
      <c r="L26" s="3180">
        <v>598</v>
      </c>
      <c r="M26" s="3180">
        <v>598</v>
      </c>
      <c r="N26" s="3180">
        <v>1400.65</v>
      </c>
      <c r="O26" s="3180">
        <v>0</v>
      </c>
    </row>
    <row r="27" spans="1:17">
      <c r="A27" s="3180" t="s">
        <v>3096</v>
      </c>
      <c r="B27" s="3180" t="s">
        <v>3033</v>
      </c>
      <c r="C27" s="3180" t="s">
        <v>3005</v>
      </c>
      <c r="D27" s="3180" t="s">
        <v>3096</v>
      </c>
      <c r="E27" s="3180" t="s">
        <v>3004</v>
      </c>
      <c r="F27" s="3180">
        <v>7454.56</v>
      </c>
      <c r="G27" s="3180">
        <v>9690.93</v>
      </c>
      <c r="H27" s="3180" t="s">
        <v>3049</v>
      </c>
      <c r="I27" s="3180" t="s">
        <v>2819</v>
      </c>
      <c r="J27" s="3180" t="s">
        <v>3094</v>
      </c>
      <c r="K27" s="3180" t="s">
        <v>3082</v>
      </c>
      <c r="L27" s="3180">
        <v>2684</v>
      </c>
      <c r="M27" s="3180">
        <v>2684</v>
      </c>
      <c r="N27" s="3180">
        <v>2769.59</v>
      </c>
      <c r="O27" s="3180">
        <v>0</v>
      </c>
    </row>
    <row r="28" spans="1:17" s="3185" customFormat="1">
      <c r="A28" s="3184" t="s">
        <v>3097</v>
      </c>
      <c r="B28" s="3185" t="s">
        <v>3033</v>
      </c>
      <c r="C28" s="3185" t="s">
        <v>3005</v>
      </c>
      <c r="D28" s="3185" t="s">
        <v>3097</v>
      </c>
      <c r="E28" s="3185" t="s">
        <v>3004</v>
      </c>
      <c r="F28" s="3185">
        <v>37681.67</v>
      </c>
      <c r="G28" s="3185">
        <v>67827.009999999995</v>
      </c>
      <c r="H28" s="3185" t="s">
        <v>3098</v>
      </c>
      <c r="I28" s="3185" t="s">
        <v>2819</v>
      </c>
      <c r="J28" s="3185" t="s">
        <v>3094</v>
      </c>
      <c r="K28" s="3185" t="s">
        <v>3099</v>
      </c>
      <c r="L28" s="3185">
        <v>13000</v>
      </c>
      <c r="M28" s="3185">
        <v>13000</v>
      </c>
      <c r="N28" s="3185">
        <v>1916.64</v>
      </c>
      <c r="O28" s="3185">
        <v>0</v>
      </c>
    </row>
    <row r="29" spans="1:17">
      <c r="A29" s="3180" t="s">
        <v>3100</v>
      </c>
      <c r="B29" s="3180" t="s">
        <v>3033</v>
      </c>
      <c r="C29" s="3180" t="s">
        <v>3005</v>
      </c>
      <c r="D29" s="3180" t="s">
        <v>3100</v>
      </c>
      <c r="E29" s="3180" t="s">
        <v>3004</v>
      </c>
      <c r="F29" s="3180">
        <v>3025.54</v>
      </c>
      <c r="G29" s="3180">
        <v>3812.18</v>
      </c>
      <c r="H29" s="3180" t="s">
        <v>3101</v>
      </c>
      <c r="I29" s="3180" t="s">
        <v>2819</v>
      </c>
      <c r="J29" s="3180" t="s">
        <v>3102</v>
      </c>
      <c r="K29" s="3180" t="s">
        <v>3103</v>
      </c>
      <c r="L29" s="3180">
        <v>1203</v>
      </c>
      <c r="M29" s="3180">
        <v>1203</v>
      </c>
      <c r="N29" s="3180">
        <v>3155.67</v>
      </c>
      <c r="O29" s="3180">
        <v>0</v>
      </c>
    </row>
    <row r="30" spans="1:17">
      <c r="A30" s="3180" t="s">
        <v>3104</v>
      </c>
      <c r="B30" s="3180" t="s">
        <v>3033</v>
      </c>
      <c r="C30" s="3180" t="s">
        <v>3005</v>
      </c>
      <c r="D30" s="3180" t="s">
        <v>3104</v>
      </c>
      <c r="E30" s="3180" t="s">
        <v>3004</v>
      </c>
      <c r="F30" s="3180">
        <v>41681.620000000003</v>
      </c>
      <c r="G30" s="3180">
        <v>91699.56</v>
      </c>
      <c r="H30" s="3180" t="s">
        <v>3105</v>
      </c>
      <c r="I30" s="3180" t="s">
        <v>2819</v>
      </c>
      <c r="J30" s="3180" t="s">
        <v>3102</v>
      </c>
      <c r="K30" s="3180" t="s">
        <v>3036</v>
      </c>
      <c r="L30" s="3180">
        <v>3533</v>
      </c>
      <c r="M30" s="3180">
        <v>3533</v>
      </c>
      <c r="N30" s="3180">
        <v>385.27</v>
      </c>
      <c r="O30" s="3180">
        <v>0</v>
      </c>
    </row>
    <row r="31" spans="1:17">
      <c r="A31" s="3180" t="s">
        <v>3106</v>
      </c>
      <c r="B31" s="3180" t="s">
        <v>3033</v>
      </c>
      <c r="C31" s="3180" t="s">
        <v>3005</v>
      </c>
      <c r="D31" s="3180" t="s">
        <v>3106</v>
      </c>
      <c r="E31" s="3180" t="s">
        <v>3004</v>
      </c>
      <c r="F31" s="3180">
        <v>838.74</v>
      </c>
      <c r="G31" s="3180">
        <v>5451.81</v>
      </c>
      <c r="H31" s="3180" t="s">
        <v>3107</v>
      </c>
      <c r="I31" s="3180" t="s">
        <v>2819</v>
      </c>
      <c r="J31" s="3180" t="s">
        <v>3102</v>
      </c>
      <c r="K31" s="3180" t="s">
        <v>3108</v>
      </c>
      <c r="L31" s="3180">
        <v>1456</v>
      </c>
      <c r="M31" s="3180">
        <v>1456</v>
      </c>
      <c r="N31" s="3180">
        <v>2670.67</v>
      </c>
      <c r="O31" s="3180">
        <v>0</v>
      </c>
    </row>
    <row r="32" spans="1:17">
      <c r="A32" s="3180" t="s">
        <v>3109</v>
      </c>
      <c r="B32" s="3180" t="s">
        <v>3033</v>
      </c>
      <c r="C32" s="3180" t="s">
        <v>3005</v>
      </c>
      <c r="D32" s="3180" t="s">
        <v>3109</v>
      </c>
      <c r="E32" s="3180" t="s">
        <v>3004</v>
      </c>
      <c r="F32" s="3180">
        <v>621.66</v>
      </c>
      <c r="G32" s="3180">
        <v>4040.79</v>
      </c>
      <c r="H32" s="3180" t="s">
        <v>3107</v>
      </c>
      <c r="I32" s="3180" t="s">
        <v>2819</v>
      </c>
      <c r="J32" s="3180" t="s">
        <v>3102</v>
      </c>
      <c r="K32" s="3180" t="s">
        <v>3108</v>
      </c>
      <c r="L32" s="3180">
        <v>1076</v>
      </c>
      <c r="M32" s="3180">
        <v>1076</v>
      </c>
      <c r="N32" s="3180">
        <v>2662.84</v>
      </c>
      <c r="O32" s="3180">
        <v>0</v>
      </c>
    </row>
    <row r="33" spans="1:15">
      <c r="A33" s="3180" t="s">
        <v>3110</v>
      </c>
      <c r="B33" s="3180" t="s">
        <v>3033</v>
      </c>
      <c r="C33" s="3180" t="s">
        <v>3005</v>
      </c>
      <c r="D33" s="3180" t="s">
        <v>3110</v>
      </c>
      <c r="E33" s="3180" t="s">
        <v>3004</v>
      </c>
      <c r="F33" s="3180">
        <v>2536.42</v>
      </c>
      <c r="G33" s="3180">
        <v>4565.5600000000004</v>
      </c>
      <c r="H33" s="3180" t="s">
        <v>3098</v>
      </c>
      <c r="I33" s="3180" t="s">
        <v>2819</v>
      </c>
      <c r="J33" s="3180" t="s">
        <v>3111</v>
      </c>
      <c r="K33" s="3180" t="s">
        <v>3112</v>
      </c>
      <c r="L33" s="3180">
        <v>560</v>
      </c>
      <c r="M33" s="3180">
        <v>610</v>
      </c>
      <c r="N33" s="3180">
        <v>1336.08</v>
      </c>
      <c r="O33" s="3180">
        <v>8.93</v>
      </c>
    </row>
    <row r="34" spans="1:15">
      <c r="A34" s="3180" t="s">
        <v>3113</v>
      </c>
      <c r="B34" s="3180" t="s">
        <v>3033</v>
      </c>
      <c r="C34" s="3180" t="s">
        <v>3005</v>
      </c>
      <c r="D34" s="3180" t="s">
        <v>3113</v>
      </c>
      <c r="E34" s="3180" t="s">
        <v>3004</v>
      </c>
      <c r="F34" s="3180">
        <v>41492.46</v>
      </c>
      <c r="G34" s="3180">
        <v>122402.76</v>
      </c>
      <c r="H34" s="3180" t="s">
        <v>3114</v>
      </c>
      <c r="I34" s="3180" t="s">
        <v>2819</v>
      </c>
      <c r="J34" s="3180" t="s">
        <v>3111</v>
      </c>
      <c r="K34" s="3180" t="s">
        <v>3115</v>
      </c>
      <c r="L34" s="3180">
        <v>16186</v>
      </c>
      <c r="M34" s="3180">
        <v>17386</v>
      </c>
      <c r="N34" s="3180">
        <v>1420.39</v>
      </c>
      <c r="O34" s="3180">
        <v>7.41</v>
      </c>
    </row>
    <row r="35" spans="1:15">
      <c r="A35" s="3180" t="s">
        <v>3116</v>
      </c>
      <c r="B35" s="3180" t="s">
        <v>3033</v>
      </c>
      <c r="C35" s="3180" t="s">
        <v>3005</v>
      </c>
      <c r="D35" s="3180" t="s">
        <v>3116</v>
      </c>
      <c r="E35" s="3180" t="s">
        <v>3004</v>
      </c>
      <c r="F35" s="3180">
        <v>20468.189999999999</v>
      </c>
      <c r="G35" s="3180">
        <v>74913.58</v>
      </c>
      <c r="H35" s="3180" t="s">
        <v>3117</v>
      </c>
      <c r="I35" s="3180" t="s">
        <v>2819</v>
      </c>
      <c r="J35" s="3180" t="s">
        <v>3111</v>
      </c>
      <c r="K35" s="3180" t="s">
        <v>3115</v>
      </c>
      <c r="L35" s="3180">
        <v>7986</v>
      </c>
      <c r="M35" s="3180">
        <v>9386</v>
      </c>
      <c r="N35" s="3180">
        <v>1252.9100000000001</v>
      </c>
      <c r="O35" s="3180">
        <v>17.53</v>
      </c>
    </row>
    <row r="36" spans="1:15">
      <c r="A36" s="3180" t="s">
        <v>3118</v>
      </c>
      <c r="B36" s="3180" t="s">
        <v>3033</v>
      </c>
      <c r="C36" s="3180" t="s">
        <v>3005</v>
      </c>
      <c r="D36" s="3180" t="s">
        <v>3118</v>
      </c>
      <c r="E36" s="3180" t="s">
        <v>3004</v>
      </c>
      <c r="F36" s="3180">
        <v>2207.4499999999998</v>
      </c>
      <c r="G36" s="3180">
        <v>7726.08</v>
      </c>
      <c r="H36" s="3180" t="s">
        <v>3119</v>
      </c>
      <c r="I36" s="3180" t="s">
        <v>2819</v>
      </c>
      <c r="J36" s="3180" t="s">
        <v>3111</v>
      </c>
      <c r="K36" s="3180" t="s">
        <v>3120</v>
      </c>
      <c r="L36" s="3180">
        <v>928</v>
      </c>
      <c r="M36" s="3180">
        <v>928</v>
      </c>
      <c r="N36" s="3180">
        <v>1201.1300000000001</v>
      </c>
      <c r="O36" s="3180">
        <v>0</v>
      </c>
    </row>
    <row r="37" spans="1:15">
      <c r="A37" s="3180" t="s">
        <v>3121</v>
      </c>
      <c r="B37" s="3180" t="s">
        <v>3033</v>
      </c>
      <c r="C37" s="3180" t="s">
        <v>3005</v>
      </c>
      <c r="D37" s="3180" t="s">
        <v>3121</v>
      </c>
      <c r="E37" s="3180" t="s">
        <v>3004</v>
      </c>
      <c r="F37" s="3180">
        <v>13865.81</v>
      </c>
      <c r="G37" s="3180">
        <v>24958.46</v>
      </c>
      <c r="H37" s="3180" t="s">
        <v>3098</v>
      </c>
      <c r="I37" s="3180" t="s">
        <v>2819</v>
      </c>
      <c r="J37" s="3180" t="s">
        <v>3122</v>
      </c>
      <c r="K37" s="3180" t="s">
        <v>3123</v>
      </c>
      <c r="L37" s="3180">
        <v>1033</v>
      </c>
      <c r="M37" s="3180">
        <v>1033</v>
      </c>
      <c r="N37" s="3180">
        <v>413.88</v>
      </c>
      <c r="O37" s="3180">
        <v>0</v>
      </c>
    </row>
    <row r="38" spans="1:15">
      <c r="A38" s="3180" t="s">
        <v>3124</v>
      </c>
      <c r="B38" s="3180" t="s">
        <v>3033</v>
      </c>
      <c r="C38" s="3180" t="s">
        <v>3005</v>
      </c>
      <c r="D38" s="3180" t="s">
        <v>3124</v>
      </c>
      <c r="E38" s="3180" t="s">
        <v>3004</v>
      </c>
      <c r="F38" s="3180">
        <v>2474.36</v>
      </c>
      <c r="G38" s="3180">
        <v>3711.54</v>
      </c>
      <c r="H38" s="3180" t="s">
        <v>3125</v>
      </c>
      <c r="I38" s="3180" t="s">
        <v>2819</v>
      </c>
      <c r="J38" s="3180" t="s">
        <v>3122</v>
      </c>
      <c r="K38" s="3180" t="s">
        <v>3126</v>
      </c>
      <c r="L38" s="3180">
        <v>1608</v>
      </c>
      <c r="M38" s="3180">
        <v>1858</v>
      </c>
      <c r="N38" s="3180">
        <v>5006.01</v>
      </c>
      <c r="O38" s="3180">
        <v>15.55</v>
      </c>
    </row>
    <row r="39" spans="1:15">
      <c r="A39" s="3180" t="s">
        <v>3127</v>
      </c>
      <c r="B39" s="3180" t="s">
        <v>3033</v>
      </c>
      <c r="C39" s="3180" t="s">
        <v>3005</v>
      </c>
      <c r="D39" s="3180" t="s">
        <v>3127</v>
      </c>
      <c r="E39" s="3180" t="s">
        <v>3004</v>
      </c>
      <c r="F39" s="3180">
        <v>39020.300000000003</v>
      </c>
      <c r="G39" s="3180">
        <v>42922.33</v>
      </c>
      <c r="H39" s="3180" t="s">
        <v>3128</v>
      </c>
      <c r="I39" s="3180" t="s">
        <v>2819</v>
      </c>
      <c r="J39" s="3180" t="s">
        <v>3122</v>
      </c>
      <c r="K39" s="3180" t="s">
        <v>3123</v>
      </c>
      <c r="L39" s="3180">
        <v>8170</v>
      </c>
      <c r="M39" s="3180">
        <v>8370</v>
      </c>
      <c r="N39" s="3180">
        <v>1950.02</v>
      </c>
      <c r="O39" s="3180">
        <v>2.4500000000000002</v>
      </c>
    </row>
    <row r="40" spans="1:15">
      <c r="A40" s="3180" t="s">
        <v>3129</v>
      </c>
      <c r="B40" s="3180" t="s">
        <v>3033</v>
      </c>
      <c r="C40" s="3180" t="s">
        <v>3005</v>
      </c>
      <c r="D40" s="3180" t="s">
        <v>3129</v>
      </c>
      <c r="E40" s="3180" t="s">
        <v>3004</v>
      </c>
      <c r="F40" s="3180">
        <v>6846.74</v>
      </c>
      <c r="G40" s="3180">
        <v>9585.44</v>
      </c>
      <c r="H40" s="3180" t="s">
        <v>3084</v>
      </c>
      <c r="I40" s="3180" t="s">
        <v>2819</v>
      </c>
      <c r="J40" s="3180" t="s">
        <v>3122</v>
      </c>
      <c r="K40" s="3180" t="s">
        <v>3036</v>
      </c>
      <c r="L40" s="3180">
        <v>1183</v>
      </c>
      <c r="M40" s="3180">
        <v>1233</v>
      </c>
      <c r="N40" s="3180">
        <v>1286.32</v>
      </c>
      <c r="O40" s="3180">
        <v>4.2300000000000004</v>
      </c>
    </row>
    <row r="41" spans="1:15">
      <c r="A41" s="3180" t="s">
        <v>3130</v>
      </c>
      <c r="B41" s="3180" t="s">
        <v>3033</v>
      </c>
      <c r="C41" s="3180" t="s">
        <v>3005</v>
      </c>
      <c r="D41" s="3180" t="s">
        <v>3130</v>
      </c>
      <c r="E41" s="3180" t="s">
        <v>3004</v>
      </c>
      <c r="F41" s="3180">
        <v>12929.92</v>
      </c>
      <c r="G41" s="3180">
        <v>21980.86</v>
      </c>
      <c r="H41" s="3180" t="s">
        <v>3131</v>
      </c>
      <c r="I41" s="3180" t="s">
        <v>2819</v>
      </c>
      <c r="J41" s="3180" t="s">
        <v>3122</v>
      </c>
      <c r="K41" s="3180" t="s">
        <v>3074</v>
      </c>
      <c r="L41" s="3180">
        <v>808</v>
      </c>
      <c r="M41" s="3180">
        <v>808</v>
      </c>
      <c r="N41" s="3180">
        <v>367.58</v>
      </c>
      <c r="O41" s="3180">
        <v>0</v>
      </c>
    </row>
    <row r="42" spans="1:15">
      <c r="A42" s="3180" t="s">
        <v>3132</v>
      </c>
      <c r="B42" s="3180" t="s">
        <v>3033</v>
      </c>
      <c r="C42" s="3180" t="s">
        <v>3005</v>
      </c>
      <c r="D42" s="3180" t="s">
        <v>3132</v>
      </c>
      <c r="E42" s="3180" t="s">
        <v>3004</v>
      </c>
      <c r="F42" s="3180">
        <v>22753.09</v>
      </c>
      <c r="G42" s="3180">
        <v>31854.33</v>
      </c>
      <c r="H42" s="3180" t="s">
        <v>3084</v>
      </c>
      <c r="I42" s="3180" t="s">
        <v>2819</v>
      </c>
      <c r="J42" s="3180" t="s">
        <v>3122</v>
      </c>
      <c r="K42" s="3180" t="s">
        <v>3036</v>
      </c>
      <c r="L42" s="3180">
        <v>3996</v>
      </c>
      <c r="M42" s="3180">
        <v>4096</v>
      </c>
      <c r="N42" s="3180">
        <v>1285.8399999999999</v>
      </c>
      <c r="O42" s="3180">
        <v>2.5</v>
      </c>
    </row>
    <row r="43" spans="1:15">
      <c r="A43" s="3180" t="s">
        <v>3133</v>
      </c>
      <c r="B43" s="3180" t="s">
        <v>3033</v>
      </c>
      <c r="C43" s="3180" t="s">
        <v>3005</v>
      </c>
      <c r="D43" s="3180" t="s">
        <v>3133</v>
      </c>
      <c r="E43" s="3180" t="s">
        <v>3004</v>
      </c>
      <c r="F43" s="3180">
        <v>31371.89</v>
      </c>
      <c r="G43" s="3180">
        <v>94115.67</v>
      </c>
      <c r="H43" s="3180" t="s">
        <v>3093</v>
      </c>
      <c r="I43" s="3180" t="s">
        <v>2819</v>
      </c>
      <c r="J43" s="3180" t="s">
        <v>3134</v>
      </c>
      <c r="K43" s="3180" t="s">
        <v>3135</v>
      </c>
      <c r="L43" s="3180">
        <v>12606</v>
      </c>
      <c r="M43" s="3180">
        <v>12706</v>
      </c>
      <c r="N43" s="3180">
        <v>1350.03</v>
      </c>
      <c r="O43" s="3180">
        <v>0.79</v>
      </c>
    </row>
    <row r="44" spans="1:15">
      <c r="A44" s="3180" t="s">
        <v>3136</v>
      </c>
      <c r="B44" s="3180" t="s">
        <v>3033</v>
      </c>
      <c r="C44" s="3180" t="s">
        <v>3005</v>
      </c>
      <c r="D44" s="3180" t="s">
        <v>3136</v>
      </c>
      <c r="E44" s="3180" t="s">
        <v>3004</v>
      </c>
      <c r="F44" s="3180">
        <v>21085.55</v>
      </c>
      <c r="G44" s="3180">
        <v>46388.21</v>
      </c>
      <c r="H44" s="3180" t="s">
        <v>3105</v>
      </c>
      <c r="I44" s="3180" t="s">
        <v>2819</v>
      </c>
      <c r="J44" s="3180" t="s">
        <v>3134</v>
      </c>
      <c r="K44" s="3180" t="s">
        <v>3137</v>
      </c>
      <c r="L44" s="3180">
        <v>2798</v>
      </c>
      <c r="M44" s="3180">
        <v>2828</v>
      </c>
      <c r="N44" s="3180">
        <v>609.63</v>
      </c>
      <c r="O44" s="3180">
        <v>1.07</v>
      </c>
    </row>
    <row r="45" spans="1:15">
      <c r="A45" s="3180" t="s">
        <v>3138</v>
      </c>
      <c r="B45" s="3180" t="s">
        <v>3033</v>
      </c>
      <c r="C45" s="3180" t="s">
        <v>3005</v>
      </c>
      <c r="D45" s="3180" t="s">
        <v>3138</v>
      </c>
      <c r="E45" s="3180" t="s">
        <v>3004</v>
      </c>
      <c r="F45" s="3180">
        <v>4187.8500000000004</v>
      </c>
      <c r="G45" s="3180">
        <v>7956.92</v>
      </c>
      <c r="H45" s="3180" t="s">
        <v>3139</v>
      </c>
      <c r="I45" s="3180" t="s">
        <v>2819</v>
      </c>
      <c r="J45" s="3180" t="s">
        <v>3134</v>
      </c>
      <c r="K45" s="3180" t="s">
        <v>3112</v>
      </c>
      <c r="L45" s="3180">
        <v>556</v>
      </c>
      <c r="M45" s="3180">
        <v>566</v>
      </c>
      <c r="N45" s="3180">
        <v>711.33</v>
      </c>
      <c r="O45" s="3180">
        <v>1.8</v>
      </c>
    </row>
    <row r="46" spans="1:15">
      <c r="A46" s="3180" t="s">
        <v>3140</v>
      </c>
      <c r="B46" s="3180" t="s">
        <v>3033</v>
      </c>
      <c r="C46" s="3180" t="s">
        <v>3005</v>
      </c>
      <c r="D46" s="3180" t="s">
        <v>3140</v>
      </c>
      <c r="E46" s="3180" t="s">
        <v>3004</v>
      </c>
      <c r="F46" s="3180">
        <v>46169.91</v>
      </c>
      <c r="G46" s="3180">
        <v>83105.84</v>
      </c>
      <c r="H46" s="3180" t="s">
        <v>3098</v>
      </c>
      <c r="I46" s="3180" t="s">
        <v>2819</v>
      </c>
      <c r="J46" s="3180" t="s">
        <v>3141</v>
      </c>
      <c r="K46" s="3180" t="s">
        <v>3142</v>
      </c>
      <c r="L46" s="3180">
        <v>3118</v>
      </c>
      <c r="M46" s="3180">
        <v>3118</v>
      </c>
      <c r="N46" s="3180">
        <v>375.18</v>
      </c>
      <c r="O46" s="3180">
        <v>0</v>
      </c>
    </row>
    <row r="47" spans="1:15">
      <c r="A47" s="3180" t="s">
        <v>3143</v>
      </c>
      <c r="B47" s="3180" t="s">
        <v>3033</v>
      </c>
      <c r="C47" s="3180" t="s">
        <v>3005</v>
      </c>
      <c r="D47" s="3180" t="s">
        <v>3143</v>
      </c>
      <c r="E47" s="3180" t="s">
        <v>3004</v>
      </c>
      <c r="F47" s="3180">
        <v>1727</v>
      </c>
      <c r="G47" s="3180">
        <v>1727</v>
      </c>
      <c r="H47" s="3180" t="s">
        <v>3144</v>
      </c>
      <c r="I47" s="3180" t="s">
        <v>2819</v>
      </c>
      <c r="J47" s="3180" t="s">
        <v>3145</v>
      </c>
      <c r="K47" s="3180" t="s">
        <v>3146</v>
      </c>
      <c r="L47" s="3180">
        <v>680</v>
      </c>
      <c r="M47" s="3180">
        <v>720</v>
      </c>
      <c r="N47" s="3180">
        <v>4169.07</v>
      </c>
      <c r="O47" s="3180">
        <v>5.88</v>
      </c>
    </row>
    <row r="48" spans="1:15">
      <c r="A48" s="3180" t="s">
        <v>3147</v>
      </c>
      <c r="B48" s="3180" t="s">
        <v>3033</v>
      </c>
      <c r="C48" s="3180" t="s">
        <v>3005</v>
      </c>
      <c r="D48" s="3180" t="s">
        <v>3147</v>
      </c>
      <c r="E48" s="3180" t="s">
        <v>3004</v>
      </c>
      <c r="F48" s="3180">
        <v>14560.57</v>
      </c>
      <c r="G48" s="3180">
        <v>29121.14</v>
      </c>
      <c r="H48" s="3180" t="s">
        <v>3148</v>
      </c>
      <c r="I48" s="3180" t="s">
        <v>2819</v>
      </c>
      <c r="J48" s="3180" t="s">
        <v>3149</v>
      </c>
      <c r="K48" s="3180" t="s">
        <v>3150</v>
      </c>
      <c r="L48" s="3180">
        <v>788</v>
      </c>
      <c r="M48" s="3180">
        <v>788</v>
      </c>
      <c r="N48" s="3180">
        <v>270.58</v>
      </c>
      <c r="O48" s="3180">
        <v>0</v>
      </c>
    </row>
    <row r="49" spans="1:15">
      <c r="A49" s="3180" t="s">
        <v>3151</v>
      </c>
      <c r="B49" s="3180" t="s">
        <v>3033</v>
      </c>
      <c r="C49" s="3180" t="s">
        <v>3005</v>
      </c>
      <c r="D49" s="3180" t="s">
        <v>3151</v>
      </c>
      <c r="E49" s="3180" t="s">
        <v>3004</v>
      </c>
      <c r="F49" s="3180">
        <v>37484.519999999997</v>
      </c>
      <c r="G49" s="3180">
        <v>56226.78</v>
      </c>
      <c r="H49" s="3180" t="s">
        <v>3046</v>
      </c>
      <c r="I49" s="3180" t="s">
        <v>2819</v>
      </c>
      <c r="J49" s="3180" t="s">
        <v>3149</v>
      </c>
      <c r="K49" s="3180" t="s">
        <v>3142</v>
      </c>
      <c r="L49" s="3180">
        <v>8154</v>
      </c>
      <c r="M49" s="3180">
        <v>8154</v>
      </c>
      <c r="N49" s="3180">
        <v>1450.2</v>
      </c>
      <c r="O49" s="3180">
        <v>0</v>
      </c>
    </row>
    <row r="50" spans="1:15">
      <c r="A50" s="3180" t="s">
        <v>3152</v>
      </c>
      <c r="B50" s="3180" t="s">
        <v>3033</v>
      </c>
      <c r="C50" s="3180" t="s">
        <v>3005</v>
      </c>
      <c r="D50" s="3180" t="s">
        <v>3152</v>
      </c>
      <c r="E50" s="3180" t="s">
        <v>3004</v>
      </c>
      <c r="F50" s="3180">
        <v>6406.3</v>
      </c>
      <c r="G50" s="3180">
        <v>7687.56</v>
      </c>
      <c r="H50" s="3180" t="s">
        <v>3153</v>
      </c>
      <c r="I50" s="3180" t="s">
        <v>2819</v>
      </c>
      <c r="J50" s="3180" t="s">
        <v>3154</v>
      </c>
      <c r="K50" s="3180" t="s">
        <v>3142</v>
      </c>
      <c r="L50" s="3180">
        <v>1336</v>
      </c>
      <c r="M50" s="3180">
        <v>1336</v>
      </c>
      <c r="N50" s="3180">
        <v>1737.86</v>
      </c>
      <c r="O50" s="3180">
        <v>0</v>
      </c>
    </row>
    <row r="51" spans="1:15">
      <c r="A51" s="3180" t="s">
        <v>3155</v>
      </c>
      <c r="B51" s="3180" t="s">
        <v>3033</v>
      </c>
      <c r="C51" s="3180" t="s">
        <v>3005</v>
      </c>
      <c r="D51" s="3180" t="s">
        <v>3155</v>
      </c>
      <c r="E51" s="3180" t="s">
        <v>3004</v>
      </c>
      <c r="F51" s="3180">
        <v>48491.5</v>
      </c>
      <c r="G51" s="3180">
        <v>117349.43</v>
      </c>
      <c r="H51" s="3180" t="s">
        <v>3156</v>
      </c>
      <c r="I51" s="3180" t="s">
        <v>2819</v>
      </c>
      <c r="J51" s="3180" t="s">
        <v>3154</v>
      </c>
      <c r="K51" s="3180" t="s">
        <v>3157</v>
      </c>
      <c r="L51" s="3180">
        <v>4820</v>
      </c>
      <c r="M51" s="3180">
        <v>4820</v>
      </c>
      <c r="N51" s="3180">
        <v>410.74</v>
      </c>
      <c r="O51" s="3180">
        <v>0</v>
      </c>
    </row>
    <row r="52" spans="1:15">
      <c r="A52" s="3180" t="s">
        <v>3158</v>
      </c>
      <c r="B52" s="3180" t="s">
        <v>3033</v>
      </c>
      <c r="C52" s="3180" t="s">
        <v>3005</v>
      </c>
      <c r="D52" s="3180" t="s">
        <v>3158</v>
      </c>
      <c r="E52" s="3180" t="s">
        <v>3004</v>
      </c>
      <c r="F52" s="3180">
        <v>21651.200000000001</v>
      </c>
      <c r="G52" s="3180">
        <v>64953.599999999999</v>
      </c>
      <c r="H52" s="3180" t="s">
        <v>3159</v>
      </c>
      <c r="I52" s="3180" t="s">
        <v>2819</v>
      </c>
      <c r="J52" s="3180" t="s">
        <v>3154</v>
      </c>
      <c r="K52" s="3180" t="s">
        <v>3036</v>
      </c>
      <c r="L52" s="3180">
        <v>1786</v>
      </c>
      <c r="M52" s="3180">
        <v>1786</v>
      </c>
      <c r="N52" s="3180">
        <v>274.97000000000003</v>
      </c>
      <c r="O52" s="3180">
        <v>0</v>
      </c>
    </row>
    <row r="53" spans="1:15">
      <c r="A53" s="3180" t="s">
        <v>3160</v>
      </c>
      <c r="B53" s="3180" t="s">
        <v>3033</v>
      </c>
      <c r="C53" s="3180" t="s">
        <v>3005</v>
      </c>
      <c r="D53" s="3180" t="s">
        <v>3160</v>
      </c>
      <c r="E53" s="3180" t="s">
        <v>3004</v>
      </c>
      <c r="F53" s="3180">
        <v>59800.3</v>
      </c>
      <c r="G53" s="3180">
        <v>209301.05</v>
      </c>
      <c r="H53" s="3180" t="s">
        <v>3161</v>
      </c>
      <c r="I53" s="3180" t="s">
        <v>2819</v>
      </c>
      <c r="J53" s="3180" t="s">
        <v>3154</v>
      </c>
      <c r="K53" s="3180" t="s">
        <v>3120</v>
      </c>
      <c r="L53" s="3180">
        <v>27258</v>
      </c>
      <c r="M53" s="3180">
        <v>28258</v>
      </c>
      <c r="N53" s="3180">
        <v>1350.1</v>
      </c>
      <c r="O53" s="3180">
        <v>3.67</v>
      </c>
    </row>
    <row r="54" spans="1:15">
      <c r="A54" s="3180" t="s">
        <v>3162</v>
      </c>
      <c r="B54" s="3180" t="s">
        <v>3033</v>
      </c>
      <c r="C54" s="3180" t="s">
        <v>3005</v>
      </c>
      <c r="D54" s="3180" t="s">
        <v>3162</v>
      </c>
      <c r="E54" s="3180" t="s">
        <v>3004</v>
      </c>
      <c r="F54" s="3180">
        <v>26437.8</v>
      </c>
      <c r="G54" s="3180">
        <v>100463.64</v>
      </c>
      <c r="H54" s="3180" t="s">
        <v>3163</v>
      </c>
      <c r="I54" s="3180" t="s">
        <v>2819</v>
      </c>
      <c r="J54" s="3180" t="s">
        <v>3154</v>
      </c>
      <c r="K54" s="3180" t="s">
        <v>3164</v>
      </c>
      <c r="L54" s="3180">
        <v>2382</v>
      </c>
      <c r="M54" s="3180">
        <v>2382</v>
      </c>
      <c r="N54" s="3180">
        <v>237.09</v>
      </c>
      <c r="O54" s="3180">
        <v>0</v>
      </c>
    </row>
    <row r="55" spans="1:15">
      <c r="A55" s="3180" t="s">
        <v>3155</v>
      </c>
      <c r="B55" s="3180" t="s">
        <v>3033</v>
      </c>
      <c r="C55" s="3180" t="s">
        <v>3005</v>
      </c>
      <c r="D55" s="3180" t="s">
        <v>3155</v>
      </c>
      <c r="E55" s="3180" t="s">
        <v>3004</v>
      </c>
      <c r="F55" s="3180">
        <v>30196.5</v>
      </c>
      <c r="G55" s="3180">
        <v>73075.53</v>
      </c>
      <c r="H55" s="3180" t="s">
        <v>3156</v>
      </c>
      <c r="I55" s="3180" t="s">
        <v>2819</v>
      </c>
      <c r="J55" s="3180" t="s">
        <v>3154</v>
      </c>
      <c r="K55" s="3180" t="s">
        <v>3157</v>
      </c>
      <c r="L55" s="3180">
        <v>3002</v>
      </c>
      <c r="M55" s="3180">
        <v>3002</v>
      </c>
      <c r="N55" s="3180">
        <v>410.81</v>
      </c>
      <c r="O55" s="3180">
        <v>0</v>
      </c>
    </row>
    <row r="82" spans="4:6">
      <c r="D82" s="3179" t="s">
        <v>3182</v>
      </c>
    </row>
    <row r="83" spans="4:6">
      <c r="D83" s="3180">
        <v>40559</v>
      </c>
      <c r="F83" s="3180">
        <v>20498.400000000001</v>
      </c>
    </row>
    <row r="84" spans="4:6">
      <c r="D84" s="3180">
        <v>40562</v>
      </c>
      <c r="F84" s="3180">
        <v>33028.6</v>
      </c>
    </row>
    <row r="85" spans="4:6">
      <c r="D85" s="3180">
        <v>284</v>
      </c>
      <c r="F85" s="3180">
        <v>16996.97</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dimension ref="C6:K17"/>
  <sheetViews>
    <sheetView workbookViewId="0">
      <selection activeCell="H12" sqref="H12"/>
    </sheetView>
  </sheetViews>
  <sheetFormatPr defaultRowHeight="13.5"/>
  <cols>
    <col min="4" max="4" width="25.125" customWidth="1"/>
    <col min="5" max="5" width="20.625" customWidth="1"/>
    <col min="6" max="6" width="20.625" hidden="1" customWidth="1"/>
    <col min="7" max="8" width="20.625" customWidth="1"/>
    <col min="9" max="9" width="0" hidden="1" customWidth="1"/>
  </cols>
  <sheetData>
    <row r="6" spans="3:11">
      <c r="E6" s="3578"/>
      <c r="F6" s="3578"/>
      <c r="G6" s="3578"/>
      <c r="H6" s="3578"/>
      <c r="I6" s="3578"/>
      <c r="J6" s="3578"/>
      <c r="K6" s="3578"/>
    </row>
    <row r="7" spans="3:11" ht="16.5">
      <c r="D7" s="3579" t="s">
        <v>3377</v>
      </c>
      <c r="E7" s="3579" t="s">
        <v>3372</v>
      </c>
      <c r="F7" s="3579" t="s">
        <v>3370</v>
      </c>
      <c r="G7" s="3579" t="s">
        <v>3384</v>
      </c>
      <c r="H7" s="3579" t="s">
        <v>3385</v>
      </c>
      <c r="I7" s="3579" t="s">
        <v>3371</v>
      </c>
      <c r="J7" s="3578"/>
      <c r="K7" s="3578"/>
    </row>
    <row r="8" spans="3:11" ht="33">
      <c r="D8" s="3579" t="s">
        <v>3379</v>
      </c>
      <c r="E8" s="3579" t="s">
        <v>3373</v>
      </c>
      <c r="F8" s="3579">
        <v>72989.7</v>
      </c>
      <c r="G8" s="3579">
        <v>20854.2</v>
      </c>
      <c r="H8" s="3579">
        <f ca="1">结果表!G19</f>
        <v>12650</v>
      </c>
      <c r="I8" s="3579">
        <v>1709</v>
      </c>
      <c r="J8" s="3578"/>
      <c r="K8" s="3578"/>
    </row>
    <row r="9" spans="3:11" ht="16.5">
      <c r="D9" s="3579" t="s">
        <v>3380</v>
      </c>
      <c r="E9" s="3579" t="s">
        <v>3374</v>
      </c>
      <c r="F9" s="3579">
        <v>70400.400000000009</v>
      </c>
      <c r="G9" s="3579">
        <v>20114.400000000001</v>
      </c>
      <c r="H9" s="3579">
        <f ca="1">[2]结果表!$G$19</f>
        <v>10589</v>
      </c>
      <c r="I9" s="3579">
        <v>1481</v>
      </c>
      <c r="J9" s="3578"/>
      <c r="K9" s="3578"/>
    </row>
    <row r="10" spans="3:11" ht="16.5">
      <c r="D10" s="3579" t="s">
        <v>3382</v>
      </c>
      <c r="E10" s="3579" t="s">
        <v>3375</v>
      </c>
      <c r="F10" s="3579">
        <v>187907.65</v>
      </c>
      <c r="G10" s="3579">
        <v>53687.9</v>
      </c>
      <c r="H10" s="3579">
        <f ca="1">[3]结果表!$G$19</f>
        <v>23427</v>
      </c>
      <c r="I10" s="3579">
        <v>1457</v>
      </c>
      <c r="J10" s="3578"/>
      <c r="K10" s="3578"/>
    </row>
    <row r="11" spans="3:11" ht="16.5">
      <c r="D11" s="3579" t="s">
        <v>3381</v>
      </c>
      <c r="E11" s="3579" t="s">
        <v>3376</v>
      </c>
      <c r="F11" s="3579">
        <v>93354.45</v>
      </c>
      <c r="G11" s="3579">
        <v>26672.7</v>
      </c>
      <c r="H11" s="3579">
        <f ca="1">[4]结果表!$G$19</f>
        <v>11951</v>
      </c>
      <c r="I11" s="3579">
        <v>1493</v>
      </c>
      <c r="J11" s="3578"/>
      <c r="K11" s="3578"/>
    </row>
    <row r="12" spans="3:11" ht="16.5">
      <c r="D12" s="3923" t="s">
        <v>3383</v>
      </c>
      <c r="E12" s="3924"/>
      <c r="F12" s="3925"/>
      <c r="G12" s="3579">
        <f>SUM(G8:G11)</f>
        <v>121329.2</v>
      </c>
      <c r="H12" s="3579">
        <f ca="1">SUM(H8:H11)</f>
        <v>58617</v>
      </c>
      <c r="I12" s="3578"/>
      <c r="J12" s="3578"/>
      <c r="K12" s="3578"/>
    </row>
    <row r="13" spans="3:11" ht="16.5">
      <c r="C13" s="3582"/>
      <c r="D13" s="3583"/>
      <c r="E13" s="3583"/>
      <c r="F13" s="3583"/>
      <c r="G13" s="3583"/>
      <c r="H13" s="3583"/>
      <c r="I13" s="3578"/>
      <c r="J13" s="3581"/>
      <c r="K13" s="3578"/>
    </row>
    <row r="14" spans="3:11" ht="16.5">
      <c r="D14" s="3580"/>
      <c r="E14" s="3580"/>
      <c r="F14" s="3580"/>
      <c r="G14" s="3580"/>
      <c r="H14" s="3580"/>
      <c r="I14" s="3581"/>
      <c r="J14" s="3581"/>
      <c r="K14" s="3578"/>
    </row>
    <row r="15" spans="3:11">
      <c r="E15" s="3578"/>
      <c r="F15" s="3578"/>
      <c r="G15" s="3578"/>
      <c r="H15" s="3578"/>
      <c r="I15" s="3578"/>
      <c r="J15" s="3578"/>
      <c r="K15" s="3578"/>
    </row>
    <row r="16" spans="3:11">
      <c r="E16" s="3578"/>
      <c r="F16" s="3578"/>
      <c r="G16" s="3578"/>
      <c r="H16" s="3578"/>
      <c r="I16" s="3578"/>
      <c r="J16" s="3578"/>
      <c r="K16" s="3578"/>
    </row>
    <row r="17" spans="5:11">
      <c r="E17" s="3578"/>
      <c r="F17" s="3578"/>
      <c r="G17" s="3578"/>
      <c r="H17" s="3578"/>
      <c r="I17" s="3578"/>
      <c r="J17" s="3578"/>
      <c r="K17" s="3578"/>
    </row>
  </sheetData>
  <mergeCells count="1">
    <mergeCell ref="D12:F12"/>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9" t="s">
        <v>2039</v>
      </c>
      <c r="B1" s="3589"/>
      <c r="C1" s="3589"/>
      <c r="D1" s="3589"/>
      <c r="E1" s="3589"/>
      <c r="F1" s="3589"/>
      <c r="G1" s="3589"/>
      <c r="H1" s="3589"/>
      <c r="I1" s="3589"/>
      <c r="J1" s="3589"/>
      <c r="K1" s="3589"/>
      <c r="L1" s="3589"/>
      <c r="M1" s="3589"/>
      <c r="N1" s="3589"/>
      <c r="O1" s="3589"/>
      <c r="P1" s="3589"/>
      <c r="Q1" s="3589"/>
      <c r="R1" s="3589"/>
    </row>
    <row r="2" spans="1:18">
      <c r="A2" s="1807" t="s">
        <v>2041</v>
      </c>
      <c r="B2" s="1807"/>
      <c r="C2" s="1807"/>
      <c r="D2" s="1807"/>
      <c r="E2" s="1807"/>
      <c r="F2" s="1807"/>
      <c r="G2" s="1807"/>
      <c r="H2" s="1807"/>
      <c r="I2" s="1808"/>
      <c r="J2" s="1808"/>
      <c r="K2" s="1809" t="str">
        <f>"估价期日："&amp;TEXT(项目基本情况!D3,"yyyy年m月d日;;")</f>
        <v>估价期日：2019年7月2日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90" t="s">
        <v>2030</v>
      </c>
      <c r="B3" s="3590" t="s">
        <v>2732</v>
      </c>
      <c r="C3" s="3591" t="s">
        <v>2031</v>
      </c>
      <c r="D3" s="3590" t="s">
        <v>2736</v>
      </c>
      <c r="E3" s="3585" t="s">
        <v>2032</v>
      </c>
      <c r="F3" s="3585"/>
      <c r="G3" s="3585"/>
      <c r="H3" s="3585" t="s">
        <v>2033</v>
      </c>
      <c r="I3" s="3585"/>
      <c r="J3" s="3585"/>
      <c r="K3" s="3591" t="s">
        <v>2034</v>
      </c>
      <c r="L3" s="3591" t="s">
        <v>2035</v>
      </c>
      <c r="M3" s="3590" t="s">
        <v>2733</v>
      </c>
      <c r="N3" s="3592" t="str">
        <f>"（分摊）"&amp;项目基本情况!B16&amp;"国有建设用地使用权面积/㎡"</f>
        <v>（分摊）出让国有建设用地使用权面积/㎡</v>
      </c>
      <c r="O3" s="3590" t="s">
        <v>2064</v>
      </c>
      <c r="P3" s="3591" t="s">
        <v>2044</v>
      </c>
      <c r="Q3" s="3591" t="s">
        <v>2065</v>
      </c>
      <c r="R3" s="3591" t="s">
        <v>2036</v>
      </c>
    </row>
    <row r="4" spans="1:18" ht="36.75" customHeight="1">
      <c r="A4" s="3590"/>
      <c r="B4" s="3590"/>
      <c r="C4" s="3591"/>
      <c r="D4" s="3590"/>
      <c r="E4" s="2628" t="s">
        <v>2043</v>
      </c>
      <c r="F4" s="2628" t="s">
        <v>2745</v>
      </c>
      <c r="G4" s="2628" t="s">
        <v>2037</v>
      </c>
      <c r="H4" s="2628" t="s">
        <v>2038</v>
      </c>
      <c r="I4" s="2628" t="s">
        <v>2746</v>
      </c>
      <c r="J4" s="2628" t="s">
        <v>2037</v>
      </c>
      <c r="K4" s="3591"/>
      <c r="L4" s="3591"/>
      <c r="M4" s="3590"/>
      <c r="N4" s="3592"/>
      <c r="O4" s="3590"/>
      <c r="P4" s="3591"/>
      <c r="Q4" s="3591"/>
      <c r="R4" s="3591"/>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20854.2</v>
      </c>
      <c r="O5" s="1810">
        <f>项目基本情况!C21</f>
        <v>72989.7</v>
      </c>
      <c r="P5" s="1810">
        <f ca="1">结果表!E42</f>
        <v>6036</v>
      </c>
      <c r="Q5" s="1810">
        <f ca="1">结果表!D42</f>
        <v>1724</v>
      </c>
      <c r="R5" s="1811">
        <f ca="1">结果表!C42</f>
        <v>12587</v>
      </c>
    </row>
    <row r="6" spans="1:18">
      <c r="A6" s="3586" t="str">
        <f>IF(项目基本情况!B9="市场价格","——","抵押价格")</f>
        <v>抵押价格</v>
      </c>
      <c r="B6" s="3587"/>
      <c r="C6" s="3587"/>
      <c r="D6" s="3587"/>
      <c r="E6" s="3587"/>
      <c r="F6" s="3587"/>
      <c r="G6" s="3587"/>
      <c r="H6" s="3587"/>
      <c r="I6" s="3587"/>
      <c r="J6" s="3587"/>
      <c r="K6" s="3587"/>
      <c r="L6" s="3587"/>
      <c r="M6" s="3587"/>
      <c r="N6" s="3587"/>
      <c r="O6" s="3587"/>
      <c r="P6" s="3587"/>
      <c r="Q6" s="3588"/>
      <c r="R6" s="1812">
        <f ca="1">结果表!O39</f>
        <v>12587</v>
      </c>
    </row>
    <row r="7" spans="1:18">
      <c r="A7" s="3586" t="str">
        <f>IF(项目基本情况!B9="市场价格","——",IF(项目基本情况!E8="已注销及未注销","抵押担保权已注销时的抵押价格","——"))</f>
        <v>——</v>
      </c>
      <c r="B7" s="3587"/>
      <c r="C7" s="3587"/>
      <c r="D7" s="3587"/>
      <c r="E7" s="3587"/>
      <c r="F7" s="3587"/>
      <c r="G7" s="3587"/>
      <c r="H7" s="3587"/>
      <c r="I7" s="3587"/>
      <c r="J7" s="3587"/>
      <c r="K7" s="3587"/>
      <c r="L7" s="3587"/>
      <c r="M7" s="3587"/>
      <c r="N7" s="3587"/>
      <c r="O7" s="3587"/>
      <c r="P7" s="3587"/>
      <c r="Q7" s="3588"/>
      <c r="R7" s="1812" t="str">
        <f>结果表!O40</f>
        <v>——</v>
      </c>
    </row>
    <row r="8" spans="1:18">
      <c r="A8" s="3586" t="str">
        <f>IF(项目基本情况!B9="市场价格","——",项目基本情况!E9)</f>
        <v>——</v>
      </c>
      <c r="B8" s="3587"/>
      <c r="C8" s="3587"/>
      <c r="D8" s="3587"/>
      <c r="E8" s="3587"/>
      <c r="F8" s="3587"/>
      <c r="G8" s="3587"/>
      <c r="H8" s="3587"/>
      <c r="I8" s="3587"/>
      <c r="J8" s="3587"/>
      <c r="K8" s="3587"/>
      <c r="L8" s="3587"/>
      <c r="M8" s="3587"/>
      <c r="N8" s="3587"/>
      <c r="O8" s="3587"/>
      <c r="P8" s="3587"/>
      <c r="Q8" s="3588"/>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594" t="s">
        <v>2066</v>
      </c>
      <c r="B1" s="3594"/>
      <c r="C1" s="3594"/>
      <c r="D1" s="3594"/>
    </row>
    <row r="2" spans="1:4" ht="47.25" customHeight="1">
      <c r="A2" s="3595" t="str">
        <f>"1.权利限制："&amp;项目基本情况!L24&amp;"未设定租赁等其他他项权利。"</f>
        <v>1.权利限制：根据估价对象《不动产权证书》原件、《国有土地使用权》复印件，截至估价期日，估价对象抵押权未见登记。未设定租赁等其他他项权利。</v>
      </c>
      <c r="B2" s="3595"/>
      <c r="C2" s="3595"/>
      <c r="D2" s="3595"/>
    </row>
    <row r="3" spans="1:4" ht="48" customHeight="1">
      <c r="A3" s="35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94"/>
      <c r="C3" s="3594"/>
      <c r="D3" s="3594"/>
    </row>
    <row r="4" spans="1:4" ht="36.75" customHeight="1">
      <c r="A4" s="3594" t="str">
        <f>"3.估价规划限制条件：详见"&amp;项目基本情况!E21&amp;"。"</f>
        <v>3.估价规划限制条件：详见《建设工程规划许可证》[]、《出让合同》[]。</v>
      </c>
      <c r="B4" s="3594"/>
      <c r="C4" s="3594"/>
      <c r="D4" s="3594"/>
    </row>
    <row r="5" spans="1:4">
      <c r="A5" s="3593" t="s">
        <v>2067</v>
      </c>
      <c r="B5" s="3593"/>
      <c r="C5" s="3593"/>
      <c r="D5" s="3593"/>
    </row>
    <row r="6" spans="1:4">
      <c r="A6" s="3594" t="s">
        <v>2045</v>
      </c>
      <c r="B6" s="3594"/>
      <c r="C6" s="3594"/>
      <c r="D6" s="3594"/>
    </row>
    <row r="7" spans="1:4" ht="33" customHeight="1">
      <c r="A7" s="3594" t="s">
        <v>2576</v>
      </c>
      <c r="B7" s="3594"/>
      <c r="C7" s="3594"/>
      <c r="D7" s="3594"/>
    </row>
    <row r="8" spans="1:4" ht="32.25" customHeight="1">
      <c r="A8" s="35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4"/>
      <c r="C8" s="3594"/>
      <c r="D8" s="3594"/>
    </row>
    <row r="9" spans="1:4" ht="33.75" customHeight="1">
      <c r="A9" s="35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4"/>
      <c r="C9" s="3594"/>
      <c r="D9" s="3594"/>
    </row>
    <row r="10" spans="1:4">
      <c r="A10" s="3594" t="str">
        <f>IF(项目基本情况!B8="抵押","4.估价师所知悉的法定优先受偿款情况为：","——")</f>
        <v>4.估价师所知悉的法定优先受偿款情况为：</v>
      </c>
      <c r="B10" s="3594"/>
      <c r="C10" s="3594"/>
      <c r="D10" s="3594"/>
    </row>
    <row r="11" spans="1:4" ht="37.5" customHeight="1">
      <c r="A11" s="35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6"/>
      <c r="C11" s="3596"/>
      <c r="D11" s="3596"/>
    </row>
    <row r="12" spans="1:4" ht="168" customHeight="1">
      <c r="A12" s="3593" t="s">
        <v>2069</v>
      </c>
      <c r="B12" s="3593"/>
      <c r="C12" s="3593"/>
      <c r="D12" s="3593"/>
    </row>
    <row r="13" spans="1:4">
      <c r="A13" s="3597" t="s">
        <v>2747</v>
      </c>
      <c r="B13" s="3597"/>
      <c r="C13" s="3597"/>
      <c r="D13" s="3597"/>
    </row>
    <row r="14" spans="1:4">
      <c r="A14" s="3596" t="str">
        <f>IF(项目基本情况!B8="抵押","综上，"&amp;结果表!K47,"——")</f>
        <v>综上，本次评估不存在估价师知悉的法定优先受偿款</v>
      </c>
      <c r="B14" s="3596"/>
      <c r="C14" s="3596"/>
      <c r="D14" s="3596"/>
    </row>
    <row r="15" spans="1:4" ht="58.5" customHeight="1">
      <c r="A15" s="35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4"/>
      <c r="C15" s="3594"/>
      <c r="D15" s="3594"/>
    </row>
    <row r="16" spans="1:4" ht="70.5" customHeight="1">
      <c r="A16" s="35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4"/>
      <c r="C16" s="3594"/>
      <c r="D16" s="3594"/>
    </row>
    <row r="17" spans="1:4">
      <c r="A17" s="3594" t="s">
        <v>2703</v>
      </c>
      <c r="B17" s="3594"/>
      <c r="C17" s="3594"/>
      <c r="D17" s="3594"/>
    </row>
    <row r="18" spans="1:4">
      <c r="A18" s="3594" t="s">
        <v>2695</v>
      </c>
      <c r="B18" s="3594"/>
      <c r="C18" s="3594"/>
      <c r="D18" s="3594"/>
    </row>
    <row r="19" spans="1:4">
      <c r="A19" s="2846" t="s">
        <v>2696</v>
      </c>
      <c r="B19" s="2846" t="s">
        <v>2697</v>
      </c>
      <c r="C19" s="2846" t="s">
        <v>2698</v>
      </c>
      <c r="D19" s="2846" t="s">
        <v>2699</v>
      </c>
    </row>
    <row r="20" spans="1:4">
      <c r="A20" s="2846" t="str">
        <f>项目基本情况!B4</f>
        <v>赵雯</v>
      </c>
      <c r="B20" s="2846">
        <f ca="1">项目基本情况!C4</f>
        <v>2011110090</v>
      </c>
      <c r="C20" s="2848"/>
      <c r="D20" s="1800" t="s">
        <v>2704</v>
      </c>
    </row>
    <row r="21" spans="1:4">
      <c r="A21" s="2846" t="str">
        <f>项目基本情况!D4</f>
        <v>崔锴</v>
      </c>
      <c r="B21" s="2846">
        <f ca="1">项目基本情况!E4</f>
        <v>2010110070</v>
      </c>
      <c r="C21" s="2848"/>
      <c r="D21" s="1800" t="s">
        <v>2705</v>
      </c>
    </row>
    <row r="23" spans="1:4">
      <c r="A23" s="3594" t="s">
        <v>2700</v>
      </c>
      <c r="B23" s="3594"/>
      <c r="C23" s="3594"/>
      <c r="D23" s="3594"/>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605" t="s">
        <v>53</v>
      </c>
      <c r="B15" s="3606" t="s">
        <v>846</v>
      </c>
      <c r="C15" s="3602"/>
    </row>
    <row r="16" spans="1:7" ht="14.25">
      <c r="A16" s="3605"/>
      <c r="B16" s="3603" t="s">
        <v>54</v>
      </c>
      <c r="C16" s="1172" t="s">
        <v>53</v>
      </c>
    </row>
    <row r="17" spans="1:3" ht="14.25">
      <c r="A17" s="3605"/>
      <c r="B17" s="3603"/>
      <c r="C17" s="1172" t="s">
        <v>55</v>
      </c>
    </row>
    <row r="18" spans="1:3" ht="14.25">
      <c r="A18" s="3605"/>
      <c r="B18" s="3603"/>
      <c r="C18" s="1172" t="s">
        <v>56</v>
      </c>
    </row>
    <row r="19" spans="1:3" ht="14.25">
      <c r="A19" s="3605"/>
      <c r="B19" s="3601" t="s">
        <v>57</v>
      </c>
      <c r="C19" s="3602"/>
    </row>
    <row r="20" spans="1:3" ht="14.25">
      <c r="A20" s="1173" t="s">
        <v>58</v>
      </c>
      <c r="B20" s="1174"/>
      <c r="C20" s="1175"/>
    </row>
    <row r="21" spans="1:3" ht="14.25">
      <c r="A21" s="3604" t="s">
        <v>59</v>
      </c>
      <c r="B21" s="3601" t="s">
        <v>60</v>
      </c>
      <c r="C21" s="3602"/>
    </row>
    <row r="22" spans="1:3" ht="14.25">
      <c r="A22" s="3604"/>
      <c r="B22" s="3601" t="s">
        <v>61</v>
      </c>
      <c r="C22" s="3602"/>
    </row>
    <row r="23" spans="1:3" ht="14.25">
      <c r="A23" s="3604"/>
      <c r="B23" s="3601" t="s">
        <v>62</v>
      </c>
      <c r="C23" s="3602"/>
    </row>
    <row r="24" spans="1:3" ht="14.25">
      <c r="A24" s="3604"/>
      <c r="B24" s="3607" t="s">
        <v>63</v>
      </c>
      <c r="C24" s="1176" t="s">
        <v>837</v>
      </c>
    </row>
    <row r="25" spans="1:3" ht="14.25">
      <c r="A25" s="3604"/>
      <c r="B25" s="3608"/>
      <c r="C25" s="1176" t="s">
        <v>838</v>
      </c>
    </row>
    <row r="26" spans="1:3" ht="14.25">
      <c r="A26" s="3604"/>
      <c r="B26" s="3608"/>
      <c r="C26" s="1176" t="s">
        <v>839</v>
      </c>
    </row>
    <row r="27" spans="1:3" ht="14.25">
      <c r="A27" s="3604"/>
      <c r="B27" s="3608"/>
      <c r="C27" s="1176" t="s">
        <v>840</v>
      </c>
    </row>
    <row r="28" spans="1:3" ht="14.25">
      <c r="A28" s="3604"/>
      <c r="B28" s="3608"/>
      <c r="C28" s="1176" t="s">
        <v>841</v>
      </c>
    </row>
    <row r="29" spans="1:3" ht="14.25">
      <c r="A29" s="3604"/>
      <c r="B29" s="3608"/>
      <c r="C29" s="1176" t="s">
        <v>842</v>
      </c>
    </row>
    <row r="30" spans="1:3" ht="14.25">
      <c r="A30" s="3604"/>
      <c r="B30" s="3608"/>
      <c r="C30" s="1176" t="s">
        <v>843</v>
      </c>
    </row>
    <row r="31" spans="1:3" ht="14.25">
      <c r="A31" s="3604"/>
      <c r="B31" s="3608"/>
      <c r="C31" s="1176" t="s">
        <v>844</v>
      </c>
    </row>
    <row r="32" spans="1:3" ht="14.25">
      <c r="A32" s="3604"/>
      <c r="B32" s="3608"/>
      <c r="C32" s="1176" t="s">
        <v>1647</v>
      </c>
    </row>
    <row r="33" spans="1:3" ht="14.25">
      <c r="A33" s="3604"/>
      <c r="B33" s="3598" t="s">
        <v>1653</v>
      </c>
      <c r="C33" s="1176" t="s">
        <v>1648</v>
      </c>
    </row>
    <row r="34" spans="1:3" ht="14.25">
      <c r="A34" s="3604"/>
      <c r="B34" s="3599"/>
      <c r="C34" s="1181" t="s">
        <v>1649</v>
      </c>
    </row>
    <row r="35" spans="1:3" ht="14.25">
      <c r="A35" s="3604"/>
      <c r="B35" s="3599"/>
      <c r="C35" s="1182" t="s">
        <v>1650</v>
      </c>
    </row>
    <row r="36" spans="1:3" ht="14.25">
      <c r="A36" s="3604"/>
      <c r="B36" s="3599"/>
      <c r="C36" s="1182" t="s">
        <v>1651</v>
      </c>
    </row>
    <row r="37" spans="1:3" ht="14.25">
      <c r="A37" s="3604"/>
      <c r="B37" s="360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43665</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t="str">
        <f ca="1">IF(C11&lt;B2,"已过期",1120100036)</f>
        <v>已过期</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609" t="s">
        <v>1927</v>
      </c>
      <c r="B25" s="3609"/>
      <c r="C25" s="3609"/>
      <c r="D25" s="3609"/>
      <c r="E25" s="3609"/>
      <c r="F25" s="3609"/>
      <c r="G25" s="3609"/>
    </row>
    <row r="26" spans="1:7" ht="20.25" customHeight="1">
      <c r="A26" s="3610" t="s">
        <v>1928</v>
      </c>
      <c r="B26" s="3610"/>
      <c r="C26" s="3610"/>
      <c r="D26" s="3610" t="s">
        <v>1929</v>
      </c>
      <c r="E26" s="3610"/>
      <c r="F26" s="3610"/>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2957</v>
      </c>
      <c r="C18" s="1555"/>
    </row>
    <row r="19" spans="1:3">
      <c r="A19" s="8" t="s">
        <v>120</v>
      </c>
      <c r="B19" s="3088"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11"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日，在规划利用条件下、设定土地开发程度为红线外“七通”、宗地内场地，设定用途为商住用地，剩余土地使用年限为的出让国有建设用地使用权价格。</v>
      </c>
      <c r="D53" s="1767"/>
      <c r="E53" s="1767"/>
    </row>
    <row r="54" spans="1:5">
      <c r="A54" s="3611"/>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11"/>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11"/>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11"/>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2019-07-19T05:58:17Z</dcterms:modified>
</cp:coreProperties>
</file>